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.xml" ContentType="application/vnd.openxmlformats-officedocument.spreadsheetml.worksheet+xml"/>
  <Override PartName="/xl/worksheets/sheet27.xml" ContentType="application/vnd.openxmlformats-officedocument.spreadsheetml.worksheet+xml"/>
  <Override PartName="/xl/worksheets/sheet29.xml" ContentType="application/vnd.openxmlformats-officedocument.spreadsheetml.worksheet+xml"/>
  <Override PartName="/xl/worksheets/sheet46.xml" ContentType="application/vnd.openxmlformats-officedocument.spreadsheetml.worksheet+xml"/>
  <Override PartName="/xl/worksheets/sheet45.xml" ContentType="application/vnd.openxmlformats-officedocument.spreadsheetml.worksheet+xml"/>
  <Override PartName="/xl/worksheets/sheet44.xml" ContentType="application/vnd.openxmlformats-officedocument.spreadsheetml.worksheet+xml"/>
  <Override PartName="/xl/worksheets/sheet43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worksheets/sheet42.xml" ContentType="application/vnd.openxmlformats-officedocument.spreadsheetml.worksheet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worksheets/sheet3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8.xml" ContentType="application/vnd.openxmlformats-officedocument.spreadsheetml.worksheet+xml"/>
  <Override PartName="/xl/worksheets/sheet34.xml" ContentType="application/vnd.openxmlformats-officedocument.spreadsheetml.worksheet+xml"/>
  <Override PartName="/xl/worksheets/sheet36.xml" ContentType="application/vnd.openxmlformats-officedocument.spreadsheetml.worksheet+xml"/>
  <Override PartName="/xl/worksheets/sheet3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35.xml" ContentType="application/vnd.openxmlformats-officedocument.spreadsheetml.worksheet+xml"/>
  <Override PartName="/docProps/app.xml" ContentType="application/vnd.openxmlformats-officedocument.extended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919"/>
  <workbookPr defaultThemeVersion="124226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xr:revisionPtr revIDLastSave="0" documentId="11_18C7E628669591D5971030EBF89171621C8C7C6B" xr6:coauthVersionLast="37" xr6:coauthVersionMax="37" xr10:uidLastSave="{00000000-0000-0000-0000-000000000000}"/>
  <bookViews>
    <workbookView xWindow="0" yWindow="0" windowWidth="28800" windowHeight="12420" tabRatio="870" firstSheet="1" activeTab="1" xr2:uid="{00000000-000D-0000-FFFF-FFFF00000000}"/>
  </bookViews>
  <sheets>
    <sheet name="Instructions" sheetId="117" r:id="rId1"/>
    <sheet name="Commission Rates" sheetId="47" r:id="rId2"/>
    <sheet name="Exclusivity" sheetId="201" r:id="rId3"/>
    <sheet name="Rev. Assump. &amp; Add'l. Info." sheetId="80" r:id="rId4"/>
    <sheet name="Start Up Costs" sheetId="49" r:id="rId5"/>
    <sheet name="Invest. &amp; Support" sheetId="89" r:id="rId6"/>
    <sheet name="Yr 1-10 REVISED - FTIC" sheetId="202" r:id="rId7"/>
    <sheet name="Addl MP Voluntary" sheetId="152" state="hidden" r:id="rId8"/>
    <sheet name="Addl MP Mandatory" sheetId="199" state="hidden" r:id="rId9"/>
    <sheet name="Addl MP FTIC (DB)" sheetId="200" state="hidden" r:id="rId10"/>
    <sheet name="Fresh Food Co." sheetId="118" r:id="rId11"/>
    <sheet name="POD Breezeway" sheetId="15" r:id="rId12"/>
    <sheet name="Express GL" sheetId="158" r:id="rId13"/>
    <sheet name="Starbucks GL-SBX Truck" sheetId="159" r:id="rId14"/>
    <sheet name="Miro's" sheetId="160" r:id="rId15"/>
    <sheet name="Faculty Club" sheetId="161" r:id="rId16"/>
    <sheet name="Almazar &amp; Brand X" sheetId="162" r:id="rId17"/>
    <sheet name="Burger King" sheetId="163" r:id="rId18"/>
    <sheet name="Bustelo" sheetId="164" r:id="rId19"/>
    <sheet name="Chilis" sheetId="165" r:id="rId20"/>
    <sheet name="Einstein" sheetId="167" r:id="rId21"/>
    <sheet name="Jamba" sheetId="168" r:id="rId22"/>
    <sheet name="Pollo Tropical" sheetId="169" r:id="rId23"/>
    <sheet name="Subway GC" sheetId="170" r:id="rId24"/>
    <sheet name="Sushi Maki" sheetId="171" r:id="rId25"/>
    <sheet name="Panda" sheetId="172" r:id="rId26"/>
    <sheet name="Starbucks Mango" sheetId="173" r:id="rId27"/>
    <sheet name="Taco Bell" sheetId="174" r:id="rId28"/>
    <sheet name="Chick-fil-A" sheetId="175" r:id="rId29"/>
    <sheet name="Dunkin" sheetId="176" r:id="rId30"/>
    <sheet name="Chipotle" sheetId="177" r:id="rId31"/>
    <sheet name="Sergios" sheetId="178" r:id="rId32"/>
    <sheet name="Moes PG5" sheetId="179" r:id="rId33"/>
    <sheet name="Papa Johns" sheetId="180" r:id="rId34"/>
    <sheet name="Salad" sheetId="181" r:id="rId35"/>
    <sheet name="Half Moon &amp; Trop Smoothie" sheetId="182" r:id="rId36"/>
    <sheet name="Athletic Concessions -Kitchen" sheetId="183" r:id="rId37"/>
    <sheet name="Starbucks BBC" sheetId="184" r:id="rId38"/>
    <sheet name="Moes BBC" sheetId="185" r:id="rId39"/>
    <sheet name="Grille Works BBC &amp; Shipping" sheetId="186" r:id="rId40"/>
    <sheet name="Subway BBC" sheetId="187" r:id="rId41"/>
    <sheet name="Chic Fil A BBC" sheetId="189" r:id="rId42"/>
    <sheet name="Market Pavillion" sheetId="188" r:id="rId43"/>
    <sheet name="Panera" sheetId="190" r:id="rId44"/>
    <sheet name="Heritage Market" sheetId="191" r:id="rId45"/>
    <sheet name="Retail Roll Up" sheetId="192" r:id="rId46"/>
    <sheet name="Catering MMC" sheetId="193" r:id="rId47"/>
    <sheet name="Catering BBC" sheetId="194" r:id="rId48"/>
    <sheet name="Catering Roll Up" sheetId="195" r:id="rId49"/>
    <sheet name="G&amp;A" sheetId="197" r:id="rId50"/>
    <sheet name="Total Roll Up" sheetId="198" r:id="rId51"/>
  </sheets>
  <definedNames>
    <definedName name="_xlnm.Print_Area" localSheetId="16">'Almazar &amp; Brand X'!$A$1:$V$125</definedName>
    <definedName name="_xlnm.Print_Area" localSheetId="36">'Athletic Concessions -Kitchen'!$A$1:$V$125</definedName>
    <definedName name="_xlnm.Print_Area" localSheetId="17">'Burger King'!$A$1:$V$125</definedName>
    <definedName name="_xlnm.Print_Area" localSheetId="18">Bustelo!$A$1:$V$125</definedName>
    <definedName name="_xlnm.Print_Area" localSheetId="47">'Catering BBC'!$A$1:$V$125</definedName>
    <definedName name="_xlnm.Print_Area" localSheetId="46">'Catering MMC'!$A$1:$V$125</definedName>
    <definedName name="_xlnm.Print_Area" localSheetId="48">'Catering Roll Up'!$A$1:$V$125</definedName>
    <definedName name="_xlnm.Print_Area" localSheetId="41">'Chic Fil A BBC'!$A$1:$V$125</definedName>
    <definedName name="_xlnm.Print_Area" localSheetId="28">'Chick-fil-A'!$A$1:$V$125</definedName>
    <definedName name="_xlnm.Print_Area" localSheetId="19">Chilis!$A$1:$V$125</definedName>
    <definedName name="_xlnm.Print_Area" localSheetId="30">Chipotle!$A$1:$V$125</definedName>
    <definedName name="_xlnm.Print_Area" localSheetId="29">Dunkin!$A$1:$V$125</definedName>
    <definedName name="_xlnm.Print_Area" localSheetId="20">Einstein!$A$1:$V$125</definedName>
    <definedName name="_xlnm.Print_Area" localSheetId="12">'Express GL'!$A$1:$V$125</definedName>
    <definedName name="_xlnm.Print_Area" localSheetId="15">'Faculty Club'!$A$1:$V$125</definedName>
    <definedName name="_xlnm.Print_Area" localSheetId="10">'Fresh Food Co.'!$A$1:$V$125</definedName>
    <definedName name="_xlnm.Print_Area" localSheetId="49">'G&amp;A'!$A$1:$V$125</definedName>
    <definedName name="_xlnm.Print_Area" localSheetId="39">'Grille Works BBC &amp; Shipping'!$A$1:$V$125</definedName>
    <definedName name="_xlnm.Print_Area" localSheetId="35">'Half Moon &amp; Trop Smoothie'!$A$1:$V$125</definedName>
    <definedName name="_xlnm.Print_Area" localSheetId="44">'Heritage Market'!$A$1:$V$125</definedName>
    <definedName name="_xlnm.Print_Area" localSheetId="21">Jamba!$A$1:$V$125</definedName>
    <definedName name="_xlnm.Print_Area" localSheetId="42">'Market Pavillion'!$A$1:$V$125</definedName>
    <definedName name="_xlnm.Print_Area" localSheetId="14">'Miro''s'!$A$1:$V$125</definedName>
    <definedName name="_xlnm.Print_Area" localSheetId="38">'Moes BBC'!$A$1:$V$125</definedName>
    <definedName name="_xlnm.Print_Area" localSheetId="32">'Moes PG5'!$A$1:$V$125</definedName>
    <definedName name="_xlnm.Print_Area" localSheetId="25">Panda!$A$1:$V$125</definedName>
    <definedName name="_xlnm.Print_Area" localSheetId="43">Panera!$A$1:$V$125</definedName>
    <definedName name="_xlnm.Print_Area" localSheetId="33">'Papa Johns'!$A$1:$V$125</definedName>
    <definedName name="_xlnm.Print_Area" localSheetId="11">'POD Breezeway'!$A$1:$V$125</definedName>
    <definedName name="_xlnm.Print_Area" localSheetId="22">'Pollo Tropical'!$A$1:$V$125</definedName>
    <definedName name="_xlnm.Print_Area" localSheetId="45">'Retail Roll Up'!$A$1:$V$125</definedName>
    <definedName name="_xlnm.Print_Area" localSheetId="34">Salad!$A$1:$V$125</definedName>
    <definedName name="_xlnm.Print_Area" localSheetId="31">Sergios!$A$1:$V$125</definedName>
    <definedName name="_xlnm.Print_Area" localSheetId="37">'Starbucks BBC'!$A$1:$V$125</definedName>
    <definedName name="_xlnm.Print_Area" localSheetId="13">'Starbucks GL-SBX Truck'!$A$1:$V$125</definedName>
    <definedName name="_xlnm.Print_Area" localSheetId="26">'Starbucks Mango'!$A$1:$V$125</definedName>
    <definedName name="_xlnm.Print_Area" localSheetId="4">'Start Up Costs'!$A$1:$H$39</definedName>
    <definedName name="_xlnm.Print_Area" localSheetId="40">'Subway BBC'!$A$1:$V$125</definedName>
    <definedName name="_xlnm.Print_Area" localSheetId="23">'Subway GC'!$A$1:$V$125</definedName>
    <definedName name="_xlnm.Print_Area" localSheetId="24">'Sushi Maki'!$A$1:$V$125</definedName>
    <definedName name="_xlnm.Print_Area" localSheetId="27">'Taco Bell'!$A$1:$V$125</definedName>
    <definedName name="_xlnm.Print_Area" localSheetId="50">'Total Roll Up'!$A$1:$V$125</definedName>
  </definedNames>
  <calcPr calcId="179020" iterate="1"/>
</workbook>
</file>

<file path=xl/calcChain.xml><?xml version="1.0" encoding="utf-8"?>
<calcChain xmlns="http://schemas.openxmlformats.org/spreadsheetml/2006/main">
  <c r="P46" i="89" l="1"/>
  <c r="U111" i="198"/>
  <c r="S111" i="198"/>
  <c r="Q111" i="198"/>
  <c r="O111" i="198"/>
  <c r="M111" i="198"/>
  <c r="K111" i="198"/>
  <c r="I111" i="198"/>
  <c r="G111" i="198"/>
  <c r="E111" i="198"/>
  <c r="C111" i="198"/>
  <c r="I14" i="191"/>
  <c r="K14" i="191"/>
  <c r="M14" i="191"/>
  <c r="O14" i="191"/>
  <c r="Q14" i="191"/>
  <c r="S14" i="191"/>
  <c r="U14" i="191"/>
  <c r="E17" i="118"/>
  <c r="G17" i="118"/>
  <c r="I17" i="118"/>
  <c r="K17" i="118"/>
  <c r="M17" i="118"/>
  <c r="O17" i="118"/>
  <c r="Q17" i="118"/>
  <c r="S17" i="118"/>
  <c r="U17" i="118"/>
  <c r="I14" i="165"/>
  <c r="K14" i="165"/>
  <c r="M14" i="165"/>
  <c r="O14" i="165"/>
  <c r="Q14" i="165"/>
  <c r="S14" i="165"/>
  <c r="U14" i="165"/>
  <c r="I14" i="164"/>
  <c r="K14" i="164"/>
  <c r="M14" i="164"/>
  <c r="O14" i="164"/>
  <c r="Q14" i="164"/>
  <c r="S14" i="164"/>
  <c r="U14" i="164"/>
  <c r="I14" i="162"/>
  <c r="K14" i="162"/>
  <c r="M14" i="162"/>
  <c r="O14" i="162"/>
  <c r="Q14" i="162"/>
  <c r="S14" i="162"/>
  <c r="U14" i="162"/>
  <c r="I14" i="177"/>
  <c r="E8" i="177"/>
  <c r="G8" i="177"/>
  <c r="I8" i="177"/>
  <c r="I10" i="177"/>
  <c r="K14" i="177"/>
  <c r="G10" i="177"/>
  <c r="C153" i="202"/>
  <c r="C178" i="202"/>
  <c r="C203" i="202"/>
  <c r="C228" i="202"/>
  <c r="C253" i="202"/>
  <c r="H153" i="202"/>
  <c r="H178" i="202"/>
  <c r="H203" i="202"/>
  <c r="H228" i="202"/>
  <c r="H253" i="202"/>
  <c r="J153" i="202"/>
  <c r="J178" i="202"/>
  <c r="J203" i="202"/>
  <c r="J228" i="202"/>
  <c r="J253" i="202"/>
  <c r="C154" i="202"/>
  <c r="C179" i="202"/>
  <c r="C204" i="202"/>
  <c r="C229" i="202"/>
  <c r="C254" i="202"/>
  <c r="H154" i="202"/>
  <c r="H179" i="202"/>
  <c r="H204" i="202"/>
  <c r="H229" i="202"/>
  <c r="H254" i="202"/>
  <c r="J154" i="202"/>
  <c r="J179" i="202"/>
  <c r="J204" i="202"/>
  <c r="J229" i="202"/>
  <c r="J254" i="202"/>
  <c r="C155" i="202"/>
  <c r="C180" i="202"/>
  <c r="C205" i="202"/>
  <c r="C230" i="202"/>
  <c r="C255" i="202"/>
  <c r="H155" i="202"/>
  <c r="H180" i="202"/>
  <c r="H205" i="202"/>
  <c r="H230" i="202"/>
  <c r="H255" i="202"/>
  <c r="J155" i="202"/>
  <c r="J180" i="202"/>
  <c r="J205" i="202"/>
  <c r="J230" i="202"/>
  <c r="J255" i="202"/>
  <c r="C156" i="202"/>
  <c r="C181" i="202"/>
  <c r="C206" i="202"/>
  <c r="C231" i="202"/>
  <c r="C256" i="202"/>
  <c r="H156" i="202"/>
  <c r="H181" i="202"/>
  <c r="H206" i="202"/>
  <c r="H231" i="202"/>
  <c r="H256" i="202"/>
  <c r="J156" i="202"/>
  <c r="J181" i="202"/>
  <c r="J206" i="202"/>
  <c r="J231" i="202"/>
  <c r="J256" i="202"/>
  <c r="C157" i="202"/>
  <c r="C182" i="202"/>
  <c r="C207" i="202"/>
  <c r="C232" i="202"/>
  <c r="C257" i="202"/>
  <c r="H157" i="202"/>
  <c r="H182" i="202"/>
  <c r="H207" i="202"/>
  <c r="H232" i="202"/>
  <c r="H257" i="202"/>
  <c r="J157" i="202"/>
  <c r="J182" i="202"/>
  <c r="J207" i="202"/>
  <c r="J232" i="202"/>
  <c r="J257" i="202"/>
  <c r="C162" i="202"/>
  <c r="C187" i="202"/>
  <c r="C212" i="202"/>
  <c r="C237" i="202"/>
  <c r="C262" i="202"/>
  <c r="C163" i="202"/>
  <c r="C188" i="202"/>
  <c r="C213" i="202"/>
  <c r="C238" i="202"/>
  <c r="C263" i="202"/>
  <c r="C164" i="202"/>
  <c r="C189" i="202"/>
  <c r="C214" i="202"/>
  <c r="C239" i="202"/>
  <c r="C264" i="202"/>
  <c r="K274" i="202"/>
  <c r="U24" i="118"/>
  <c r="K249" i="202"/>
  <c r="S24" i="118"/>
  <c r="K224" i="202"/>
  <c r="Q24" i="118"/>
  <c r="K199" i="202"/>
  <c r="O24" i="118"/>
  <c r="K174" i="202"/>
  <c r="M24" i="118"/>
  <c r="K149" i="202"/>
  <c r="K24" i="118"/>
  <c r="K124" i="202"/>
  <c r="I24" i="118"/>
  <c r="K99" i="202"/>
  <c r="G24" i="118"/>
  <c r="D52" i="202"/>
  <c r="D53" i="202"/>
  <c r="K73" i="202"/>
  <c r="E24" i="118"/>
  <c r="J25" i="202"/>
  <c r="J26" i="202"/>
  <c r="H27" i="202"/>
  <c r="J27" i="202"/>
  <c r="K47" i="202"/>
  <c r="C24" i="118"/>
  <c r="G14" i="183"/>
  <c r="I14" i="183"/>
  <c r="K14" i="183"/>
  <c r="M14" i="183"/>
  <c r="O14" i="183"/>
  <c r="Q14" i="183"/>
  <c r="S14" i="183"/>
  <c r="U14" i="183"/>
  <c r="J160" i="202"/>
  <c r="J185" i="202"/>
  <c r="J210" i="202"/>
  <c r="J235" i="202"/>
  <c r="J260" i="202"/>
  <c r="J158" i="202"/>
  <c r="J183" i="202"/>
  <c r="J208" i="202"/>
  <c r="J233" i="202"/>
  <c r="J258" i="202"/>
  <c r="H158" i="202"/>
  <c r="H183" i="202"/>
  <c r="H208" i="202"/>
  <c r="H233" i="202"/>
  <c r="H258" i="202"/>
  <c r="H159" i="202"/>
  <c r="H184" i="202"/>
  <c r="H209" i="202"/>
  <c r="H234" i="202"/>
  <c r="H259" i="202"/>
  <c r="J159" i="202"/>
  <c r="J184" i="202"/>
  <c r="J209" i="202"/>
  <c r="J234" i="202"/>
  <c r="J259" i="202"/>
  <c r="H160" i="202"/>
  <c r="H185" i="202"/>
  <c r="H210" i="202"/>
  <c r="H235" i="202"/>
  <c r="H260" i="202"/>
  <c r="H236" i="202"/>
  <c r="H261" i="202"/>
  <c r="J236" i="202"/>
  <c r="J261" i="202"/>
  <c r="C167" i="202"/>
  <c r="C192" i="202"/>
  <c r="C217" i="202"/>
  <c r="C242" i="202"/>
  <c r="C267" i="202"/>
  <c r="C166" i="202"/>
  <c r="C191" i="202"/>
  <c r="C216" i="202"/>
  <c r="C241" i="202"/>
  <c r="C266" i="202"/>
  <c r="C165" i="202"/>
  <c r="C190" i="202"/>
  <c r="C215" i="202"/>
  <c r="C240" i="202"/>
  <c r="C265" i="202"/>
  <c r="C161" i="202"/>
  <c r="C186" i="202"/>
  <c r="C211" i="202"/>
  <c r="C236" i="202"/>
  <c r="C261" i="202"/>
  <c r="J186" i="202"/>
  <c r="H186" i="202"/>
  <c r="E142" i="202"/>
  <c r="E117" i="202"/>
  <c r="J60" i="202"/>
  <c r="J86" i="202"/>
  <c r="H86" i="202"/>
  <c r="D58" i="202"/>
  <c r="D59" i="202"/>
  <c r="D57" i="202"/>
  <c r="D70" i="47"/>
  <c r="D44" i="47"/>
  <c r="M14" i="177"/>
  <c r="K8" i="177"/>
  <c r="K10" i="177"/>
  <c r="G36" i="190"/>
  <c r="I39" i="191"/>
  <c r="K39" i="191"/>
  <c r="M39" i="191"/>
  <c r="O39" i="191"/>
  <c r="Q39" i="191"/>
  <c r="S39" i="191"/>
  <c r="I38" i="191"/>
  <c r="K38" i="191"/>
  <c r="M38" i="191"/>
  <c r="O38" i="191"/>
  <c r="I37" i="191"/>
  <c r="K37" i="191"/>
  <c r="M37" i="191"/>
  <c r="O37" i="191"/>
  <c r="I36" i="191"/>
  <c r="K36" i="191"/>
  <c r="M36" i="191"/>
  <c r="O36" i="191"/>
  <c r="C38" i="118"/>
  <c r="E38" i="118"/>
  <c r="G38" i="118"/>
  <c r="I38" i="118"/>
  <c r="K38" i="118"/>
  <c r="M38" i="118"/>
  <c r="O38" i="118"/>
  <c r="Q38" i="118"/>
  <c r="S38" i="118"/>
  <c r="U38" i="118"/>
  <c r="C37" i="118"/>
  <c r="E37" i="118"/>
  <c r="G37" i="118"/>
  <c r="I37" i="118"/>
  <c r="K37" i="118"/>
  <c r="M37" i="118"/>
  <c r="O37" i="118"/>
  <c r="Q37" i="118"/>
  <c r="S37" i="118"/>
  <c r="U37" i="118"/>
  <c r="E36" i="118"/>
  <c r="G36" i="118"/>
  <c r="I36" i="118"/>
  <c r="K36" i="118"/>
  <c r="M36" i="118"/>
  <c r="O36" i="118"/>
  <c r="Q36" i="118"/>
  <c r="S36" i="118"/>
  <c r="E39" i="159"/>
  <c r="G39" i="159"/>
  <c r="I39" i="159"/>
  <c r="K39" i="159"/>
  <c r="M39" i="159"/>
  <c r="O39" i="159"/>
  <c r="Q39" i="159"/>
  <c r="S39" i="159"/>
  <c r="E38" i="159"/>
  <c r="G38" i="159"/>
  <c r="I38" i="159"/>
  <c r="K38" i="159"/>
  <c r="M38" i="159"/>
  <c r="O38" i="159"/>
  <c r="Q38" i="159"/>
  <c r="S38" i="159"/>
  <c r="E37" i="159"/>
  <c r="G37" i="159"/>
  <c r="I37" i="159"/>
  <c r="K37" i="159"/>
  <c r="M37" i="159"/>
  <c r="O37" i="159"/>
  <c r="Q37" i="159"/>
  <c r="S37" i="159"/>
  <c r="I38" i="162"/>
  <c r="K38" i="162"/>
  <c r="M38" i="162"/>
  <c r="O38" i="162"/>
  <c r="Q38" i="162"/>
  <c r="S38" i="162"/>
  <c r="I37" i="162"/>
  <c r="K37" i="162"/>
  <c r="M37" i="162"/>
  <c r="O37" i="162"/>
  <c r="Q37" i="162"/>
  <c r="S37" i="162"/>
  <c r="E39" i="165"/>
  <c r="G39" i="165"/>
  <c r="I39" i="165"/>
  <c r="K39" i="165"/>
  <c r="M39" i="165"/>
  <c r="O39" i="165"/>
  <c r="Q39" i="165"/>
  <c r="S39" i="165"/>
  <c r="E38" i="165"/>
  <c r="G38" i="165"/>
  <c r="I38" i="165"/>
  <c r="K38" i="165"/>
  <c r="M38" i="165"/>
  <c r="O38" i="165"/>
  <c r="Q38" i="165"/>
  <c r="S38" i="165"/>
  <c r="E37" i="165"/>
  <c r="G37" i="165"/>
  <c r="I37" i="165"/>
  <c r="K37" i="165"/>
  <c r="M37" i="165"/>
  <c r="O37" i="165"/>
  <c r="Q37" i="165"/>
  <c r="S37" i="165"/>
  <c r="E39" i="168"/>
  <c r="G39" i="168"/>
  <c r="I39" i="168"/>
  <c r="K39" i="168"/>
  <c r="M39" i="168"/>
  <c r="O39" i="168"/>
  <c r="Q39" i="168"/>
  <c r="S39" i="168"/>
  <c r="E39" i="169"/>
  <c r="G39" i="169"/>
  <c r="I39" i="169"/>
  <c r="K39" i="169"/>
  <c r="M39" i="169"/>
  <c r="O39" i="169"/>
  <c r="Q39" i="169"/>
  <c r="S39" i="169"/>
  <c r="E38" i="169"/>
  <c r="G38" i="169"/>
  <c r="I38" i="169"/>
  <c r="K38" i="169"/>
  <c r="M38" i="169"/>
  <c r="O38" i="169"/>
  <c r="Q38" i="169"/>
  <c r="S38" i="169"/>
  <c r="E37" i="169"/>
  <c r="G37" i="169"/>
  <c r="I37" i="169"/>
  <c r="K37" i="169"/>
  <c r="M37" i="169"/>
  <c r="O37" i="169"/>
  <c r="Q37" i="169"/>
  <c r="S37" i="169"/>
  <c r="E39" i="172"/>
  <c r="G39" i="172"/>
  <c r="I39" i="172"/>
  <c r="K39" i="172"/>
  <c r="M39" i="172"/>
  <c r="O39" i="172"/>
  <c r="Q39" i="172"/>
  <c r="S39" i="172"/>
  <c r="E38" i="172"/>
  <c r="G38" i="172"/>
  <c r="I38" i="172"/>
  <c r="K38" i="172"/>
  <c r="M38" i="172"/>
  <c r="O38" i="172"/>
  <c r="Q38" i="172"/>
  <c r="S38" i="172"/>
  <c r="E37" i="172"/>
  <c r="G37" i="172"/>
  <c r="I37" i="172"/>
  <c r="K37" i="172"/>
  <c r="M37" i="172"/>
  <c r="O37" i="172"/>
  <c r="Q37" i="172"/>
  <c r="S37" i="172"/>
  <c r="E36" i="172"/>
  <c r="G36" i="172"/>
  <c r="I36" i="172"/>
  <c r="K36" i="172"/>
  <c r="M36" i="172"/>
  <c r="O36" i="172"/>
  <c r="Q36" i="172"/>
  <c r="S36" i="172"/>
  <c r="E39" i="173"/>
  <c r="G39" i="173"/>
  <c r="I39" i="173"/>
  <c r="K39" i="173"/>
  <c r="M39" i="173"/>
  <c r="O39" i="173"/>
  <c r="Q39" i="173"/>
  <c r="S39" i="173"/>
  <c r="E38" i="173"/>
  <c r="G38" i="173"/>
  <c r="I38" i="173"/>
  <c r="K38" i="173"/>
  <c r="M38" i="173"/>
  <c r="O38" i="173"/>
  <c r="Q38" i="173"/>
  <c r="S38" i="173"/>
  <c r="E37" i="173"/>
  <c r="G37" i="173"/>
  <c r="I37" i="173"/>
  <c r="K37" i="173"/>
  <c r="M37" i="173"/>
  <c r="O37" i="173"/>
  <c r="Q37" i="173"/>
  <c r="S37" i="173"/>
  <c r="E39" i="174"/>
  <c r="G39" i="174"/>
  <c r="I39" i="174"/>
  <c r="K39" i="174"/>
  <c r="M39" i="174"/>
  <c r="O39" i="174"/>
  <c r="Q39" i="174"/>
  <c r="S39" i="174"/>
  <c r="E38" i="174"/>
  <c r="G38" i="174"/>
  <c r="I38" i="174"/>
  <c r="K38" i="174"/>
  <c r="M38" i="174"/>
  <c r="O38" i="174"/>
  <c r="Q38" i="174"/>
  <c r="S38" i="174"/>
  <c r="E37" i="174"/>
  <c r="G37" i="174"/>
  <c r="I37" i="174"/>
  <c r="K37" i="174"/>
  <c r="M37" i="174"/>
  <c r="O37" i="174"/>
  <c r="Q37" i="174"/>
  <c r="S37" i="174"/>
  <c r="E39" i="175"/>
  <c r="G39" i="175"/>
  <c r="I39" i="175"/>
  <c r="K39" i="175"/>
  <c r="M39" i="175"/>
  <c r="O39" i="175"/>
  <c r="Q39" i="175"/>
  <c r="S39" i="175"/>
  <c r="E38" i="175"/>
  <c r="G38" i="175"/>
  <c r="I38" i="175"/>
  <c r="K38" i="175"/>
  <c r="M38" i="175"/>
  <c r="O38" i="175"/>
  <c r="Q38" i="175"/>
  <c r="S38" i="175"/>
  <c r="E37" i="175"/>
  <c r="G37" i="175"/>
  <c r="I37" i="175"/>
  <c r="K37" i="175"/>
  <c r="M37" i="175"/>
  <c r="O37" i="175"/>
  <c r="Q37" i="175"/>
  <c r="S37" i="175"/>
  <c r="E38" i="179"/>
  <c r="G38" i="179"/>
  <c r="I38" i="179"/>
  <c r="K38" i="179"/>
  <c r="M38" i="179"/>
  <c r="O38" i="179"/>
  <c r="Q38" i="179"/>
  <c r="S38" i="179"/>
  <c r="E37" i="179"/>
  <c r="G37" i="179"/>
  <c r="I37" i="179"/>
  <c r="K37" i="179"/>
  <c r="M37" i="179"/>
  <c r="O37" i="179"/>
  <c r="Q37" i="179"/>
  <c r="S37" i="179"/>
  <c r="G38" i="188"/>
  <c r="I38" i="188"/>
  <c r="K38" i="188"/>
  <c r="M38" i="188"/>
  <c r="O38" i="188"/>
  <c r="Q38" i="188"/>
  <c r="S38" i="188"/>
  <c r="G37" i="188"/>
  <c r="I37" i="188"/>
  <c r="K37" i="188"/>
  <c r="M37" i="188"/>
  <c r="O37" i="188"/>
  <c r="Q37" i="188"/>
  <c r="S37" i="188"/>
  <c r="I39" i="190"/>
  <c r="K39" i="190"/>
  <c r="M39" i="190"/>
  <c r="O39" i="190"/>
  <c r="Q39" i="190"/>
  <c r="S39" i="190"/>
  <c r="I38" i="190"/>
  <c r="K38" i="190"/>
  <c r="M38" i="190"/>
  <c r="O38" i="190"/>
  <c r="Q38" i="190"/>
  <c r="S38" i="190"/>
  <c r="I37" i="190"/>
  <c r="K37" i="190"/>
  <c r="M37" i="190"/>
  <c r="O37" i="190"/>
  <c r="Q37" i="190"/>
  <c r="S37" i="190"/>
  <c r="G36" i="159"/>
  <c r="I36" i="159"/>
  <c r="K36" i="159"/>
  <c r="M36" i="159"/>
  <c r="O36" i="159"/>
  <c r="Q36" i="159"/>
  <c r="E36" i="169"/>
  <c r="G36" i="169"/>
  <c r="I36" i="169"/>
  <c r="K36" i="169"/>
  <c r="M36" i="169"/>
  <c r="O36" i="169"/>
  <c r="Q36" i="169"/>
  <c r="G37" i="189"/>
  <c r="I37" i="189"/>
  <c r="K37" i="189"/>
  <c r="M37" i="189"/>
  <c r="O37" i="189"/>
  <c r="Q37" i="189"/>
  <c r="G39" i="188"/>
  <c r="I39" i="188"/>
  <c r="K39" i="188"/>
  <c r="M39" i="188"/>
  <c r="O39" i="188"/>
  <c r="Q39" i="188"/>
  <c r="Q36" i="191"/>
  <c r="S36" i="191"/>
  <c r="Q38" i="191"/>
  <c r="S38" i="191"/>
  <c r="Q37" i="191"/>
  <c r="S37" i="191"/>
  <c r="E37" i="164"/>
  <c r="E39" i="184"/>
  <c r="G39" i="184"/>
  <c r="I39" i="184"/>
  <c r="K39" i="184"/>
  <c r="E38" i="184"/>
  <c r="G38" i="184"/>
  <c r="I38" i="184"/>
  <c r="K38" i="184"/>
  <c r="E37" i="184"/>
  <c r="G37" i="184"/>
  <c r="I37" i="184"/>
  <c r="K37" i="184"/>
  <c r="G41" i="162"/>
  <c r="E14" i="189"/>
  <c r="G14" i="189"/>
  <c r="I14" i="189"/>
  <c r="K14" i="189"/>
  <c r="M14" i="189"/>
  <c r="O14" i="189"/>
  <c r="Q14" i="189"/>
  <c r="S14" i="189"/>
  <c r="U14" i="189"/>
  <c r="U14" i="169"/>
  <c r="S14" i="169"/>
  <c r="Q14" i="169"/>
  <c r="O14" i="169"/>
  <c r="M14" i="169"/>
  <c r="G14" i="179"/>
  <c r="I14" i="179"/>
  <c r="K14" i="179"/>
  <c r="M14" i="179"/>
  <c r="O14" i="179"/>
  <c r="Q20" i="165"/>
  <c r="Q19" i="165"/>
  <c r="G14" i="173"/>
  <c r="I14" i="173"/>
  <c r="K14" i="173"/>
  <c r="U20" i="162"/>
  <c r="U19" i="162"/>
  <c r="S20" i="162"/>
  <c r="S19" i="162"/>
  <c r="Q20" i="162"/>
  <c r="Q19" i="162"/>
  <c r="O20" i="162"/>
  <c r="O19" i="162"/>
  <c r="M20" i="162"/>
  <c r="M19" i="162"/>
  <c r="K20" i="162"/>
  <c r="K19" i="162"/>
  <c r="I20" i="162"/>
  <c r="I19" i="162"/>
  <c r="E14" i="169"/>
  <c r="G27" i="188"/>
  <c r="I27" i="188"/>
  <c r="K27" i="188"/>
  <c r="M27" i="188"/>
  <c r="O27" i="188"/>
  <c r="Q27" i="188"/>
  <c r="S27" i="188"/>
  <c r="U27" i="188"/>
  <c r="C27" i="182"/>
  <c r="U20" i="118"/>
  <c r="U19" i="118"/>
  <c r="S20" i="118"/>
  <c r="S19" i="118"/>
  <c r="Q20" i="118"/>
  <c r="Q19" i="118"/>
  <c r="O20" i="118"/>
  <c r="O19" i="118"/>
  <c r="M20" i="118"/>
  <c r="M19" i="118"/>
  <c r="K20" i="118"/>
  <c r="K19" i="118"/>
  <c r="I20" i="118"/>
  <c r="I19" i="118"/>
  <c r="G20" i="118"/>
  <c r="G19" i="118"/>
  <c r="C25" i="194"/>
  <c r="E25" i="194"/>
  <c r="G25" i="194"/>
  <c r="I25" i="194"/>
  <c r="K25" i="194"/>
  <c r="M25" i="194"/>
  <c r="O25" i="194"/>
  <c r="Q25" i="194"/>
  <c r="C25" i="193"/>
  <c r="E25" i="193"/>
  <c r="G25" i="193"/>
  <c r="I25" i="193"/>
  <c r="K25" i="193"/>
  <c r="E20" i="118"/>
  <c r="I26" i="118"/>
  <c r="K26" i="118"/>
  <c r="M26" i="118"/>
  <c r="O26" i="118"/>
  <c r="Q26" i="118"/>
  <c r="S26" i="118"/>
  <c r="U26" i="118"/>
  <c r="U20" i="163"/>
  <c r="U19" i="163"/>
  <c r="S20" i="163"/>
  <c r="S19" i="163"/>
  <c r="Q20" i="163"/>
  <c r="Q19" i="163"/>
  <c r="O20" i="163"/>
  <c r="O19" i="163"/>
  <c r="M20" i="163"/>
  <c r="M19" i="163"/>
  <c r="K20" i="163"/>
  <c r="K19" i="163"/>
  <c r="I20" i="163"/>
  <c r="I19" i="163"/>
  <c r="G20" i="163"/>
  <c r="G19" i="163"/>
  <c r="G31" i="162"/>
  <c r="G20" i="162"/>
  <c r="G19" i="162"/>
  <c r="G14" i="188"/>
  <c r="I14" i="188"/>
  <c r="K14" i="188"/>
  <c r="M14" i="188"/>
  <c r="O14" i="188"/>
  <c r="Q14" i="188"/>
  <c r="S14" i="188"/>
  <c r="U14" i="188"/>
  <c r="E20" i="15"/>
  <c r="U20" i="158"/>
  <c r="U19" i="158"/>
  <c r="S20" i="158"/>
  <c r="S19" i="158"/>
  <c r="Q20" i="158"/>
  <c r="Q19" i="158"/>
  <c r="O20" i="158"/>
  <c r="O19" i="158"/>
  <c r="M20" i="158"/>
  <c r="M19" i="158"/>
  <c r="K20" i="158"/>
  <c r="K19" i="158"/>
  <c r="I20" i="158"/>
  <c r="I19" i="158"/>
  <c r="G20" i="158"/>
  <c r="G19" i="158"/>
  <c r="E20" i="158"/>
  <c r="U20" i="159"/>
  <c r="U19" i="159"/>
  <c r="S20" i="159"/>
  <c r="S19" i="159"/>
  <c r="Q20" i="159"/>
  <c r="Q19" i="159"/>
  <c r="O20" i="159"/>
  <c r="O19" i="159"/>
  <c r="M20" i="159"/>
  <c r="M19" i="159"/>
  <c r="K20" i="159"/>
  <c r="K19" i="159"/>
  <c r="I20" i="159"/>
  <c r="I19" i="159"/>
  <c r="G20" i="159"/>
  <c r="G19" i="159"/>
  <c r="E20" i="159"/>
  <c r="U20" i="161"/>
  <c r="U19" i="161"/>
  <c r="S20" i="161"/>
  <c r="S19" i="161"/>
  <c r="Q20" i="161"/>
  <c r="Q19" i="161"/>
  <c r="O20" i="161"/>
  <c r="O19" i="161"/>
  <c r="M20" i="161"/>
  <c r="M19" i="161"/>
  <c r="K20" i="161"/>
  <c r="K19" i="161"/>
  <c r="I20" i="161"/>
  <c r="I19" i="161"/>
  <c r="G20" i="161"/>
  <c r="G19" i="161"/>
  <c r="E20" i="161"/>
  <c r="G14" i="172"/>
  <c r="I14" i="172"/>
  <c r="K14" i="172"/>
  <c r="M14" i="172"/>
  <c r="O14" i="172"/>
  <c r="Q14" i="172"/>
  <c r="S14" i="172"/>
  <c r="U14" i="172"/>
  <c r="E20" i="172"/>
  <c r="U20" i="165"/>
  <c r="U19" i="165"/>
  <c r="S20" i="165"/>
  <c r="S19" i="165"/>
  <c r="O20" i="165"/>
  <c r="O19" i="165"/>
  <c r="M20" i="165"/>
  <c r="M19" i="165"/>
  <c r="K20" i="165"/>
  <c r="K19" i="165"/>
  <c r="I20" i="165"/>
  <c r="I19" i="165"/>
  <c r="G20" i="165"/>
  <c r="G19" i="165"/>
  <c r="U20" i="164"/>
  <c r="U19" i="164"/>
  <c r="S20" i="164"/>
  <c r="S19" i="164"/>
  <c r="Q20" i="164"/>
  <c r="Q19" i="164"/>
  <c r="O20" i="164"/>
  <c r="O19" i="164"/>
  <c r="M20" i="164"/>
  <c r="M19" i="164"/>
  <c r="K20" i="164"/>
  <c r="K19" i="164"/>
  <c r="I20" i="164"/>
  <c r="I19" i="164"/>
  <c r="G20" i="164"/>
  <c r="G19" i="164"/>
  <c r="E20" i="164"/>
  <c r="E20" i="165"/>
  <c r="E20" i="168"/>
  <c r="E20" i="169"/>
  <c r="E20" i="173"/>
  <c r="M14" i="173"/>
  <c r="O14" i="173"/>
  <c r="Q14" i="173"/>
  <c r="S14" i="173"/>
  <c r="U14" i="173"/>
  <c r="E20" i="174"/>
  <c r="E20" i="175"/>
  <c r="G14" i="175"/>
  <c r="I14" i="175"/>
  <c r="K14" i="175"/>
  <c r="M14" i="175"/>
  <c r="O14" i="175"/>
  <c r="Q14" i="175"/>
  <c r="S14" i="175"/>
  <c r="U14" i="175"/>
  <c r="E20" i="176"/>
  <c r="G14" i="178"/>
  <c r="I14" i="178"/>
  <c r="K14" i="178"/>
  <c r="M14" i="178"/>
  <c r="O14" i="178"/>
  <c r="Q14" i="178"/>
  <c r="S14" i="178"/>
  <c r="U14" i="178"/>
  <c r="E20" i="178"/>
  <c r="E20" i="179"/>
  <c r="Q14" i="179"/>
  <c r="S14" i="179"/>
  <c r="G20" i="181"/>
  <c r="E20" i="184"/>
  <c r="E20" i="186"/>
  <c r="E20" i="187"/>
  <c r="E20" i="189"/>
  <c r="E20" i="190"/>
  <c r="G14" i="190"/>
  <c r="I14" i="190"/>
  <c r="K14" i="190"/>
  <c r="M14" i="190"/>
  <c r="O14" i="190"/>
  <c r="Q14" i="190"/>
  <c r="S14" i="190"/>
  <c r="U14" i="190"/>
  <c r="G10" i="118"/>
  <c r="O14" i="177"/>
  <c r="M8" i="177"/>
  <c r="M10" i="177"/>
  <c r="U14" i="179"/>
  <c r="C40" i="118"/>
  <c r="U31" i="191"/>
  <c r="E31" i="159"/>
  <c r="C31" i="159"/>
  <c r="E37" i="168"/>
  <c r="U31" i="178"/>
  <c r="U31" i="172"/>
  <c r="Q14" i="177"/>
  <c r="O8" i="177"/>
  <c r="O10" i="177"/>
  <c r="U21" i="174"/>
  <c r="S21" i="174"/>
  <c r="Q21" i="174"/>
  <c r="O21" i="174"/>
  <c r="M21" i="174"/>
  <c r="U21" i="168"/>
  <c r="S21" i="168"/>
  <c r="Q21" i="168"/>
  <c r="O21" i="168"/>
  <c r="M21" i="168"/>
  <c r="U21" i="169"/>
  <c r="S21" i="169"/>
  <c r="Q21" i="169"/>
  <c r="O21" i="169"/>
  <c r="M21" i="169"/>
  <c r="K21" i="169"/>
  <c r="U21" i="172"/>
  <c r="S21" i="172"/>
  <c r="Q21" i="172"/>
  <c r="O21" i="172"/>
  <c r="M21" i="172"/>
  <c r="K21" i="172"/>
  <c r="I21" i="172"/>
  <c r="U21" i="175"/>
  <c r="S21" i="175"/>
  <c r="Q21" i="175"/>
  <c r="O21" i="175"/>
  <c r="M21" i="175"/>
  <c r="K21" i="175"/>
  <c r="I21" i="175"/>
  <c r="E21" i="175"/>
  <c r="K21" i="174"/>
  <c r="I21" i="174"/>
  <c r="G21" i="174"/>
  <c r="E21" i="174"/>
  <c r="G21" i="175"/>
  <c r="G21" i="172"/>
  <c r="E21" i="172"/>
  <c r="U21" i="187"/>
  <c r="S21" i="187"/>
  <c r="Q21" i="187"/>
  <c r="O21" i="187"/>
  <c r="M21" i="187"/>
  <c r="K21" i="187"/>
  <c r="I21" i="187"/>
  <c r="G21" i="187"/>
  <c r="E21" i="187"/>
  <c r="S14" i="177"/>
  <c r="Q8" i="177"/>
  <c r="Q10" i="177"/>
  <c r="K21" i="168"/>
  <c r="I21" i="168"/>
  <c r="G21" i="168"/>
  <c r="E21" i="168"/>
  <c r="C21" i="168"/>
  <c r="C21" i="175"/>
  <c r="C14" i="163"/>
  <c r="C21" i="163"/>
  <c r="C14" i="167"/>
  <c r="C21" i="167"/>
  <c r="I21" i="169"/>
  <c r="G21" i="169"/>
  <c r="E21" i="169"/>
  <c r="C21" i="169"/>
  <c r="C21" i="172"/>
  <c r="U21" i="179"/>
  <c r="S21" i="179"/>
  <c r="Q21" i="179"/>
  <c r="O21" i="179"/>
  <c r="M21" i="179"/>
  <c r="K21" i="179"/>
  <c r="I21" i="179"/>
  <c r="G21" i="179"/>
  <c r="E21" i="179"/>
  <c r="C21" i="179"/>
  <c r="C21" i="187"/>
  <c r="U14" i="177"/>
  <c r="S8" i="177"/>
  <c r="U8" i="177"/>
  <c r="U10" i="177"/>
  <c r="S10" i="177"/>
  <c r="C27" i="171"/>
  <c r="C27" i="162"/>
  <c r="C27" i="160"/>
  <c r="A102" i="198"/>
  <c r="C36" i="197"/>
  <c r="C37" i="197"/>
  <c r="E27" i="182"/>
  <c r="C27" i="181"/>
  <c r="E27" i="181"/>
  <c r="E27" i="177"/>
  <c r="C20" i="178"/>
  <c r="C19" i="178"/>
  <c r="C28" i="178"/>
  <c r="D55" i="178"/>
  <c r="C20" i="173"/>
  <c r="C19" i="173"/>
  <c r="C28" i="173"/>
  <c r="D55" i="173"/>
  <c r="E37" i="186"/>
  <c r="G37" i="186"/>
  <c r="G38" i="183"/>
  <c r="G37" i="183"/>
  <c r="E39" i="179"/>
  <c r="G39" i="179"/>
  <c r="C14" i="189"/>
  <c r="C20" i="189"/>
  <c r="C19" i="189"/>
  <c r="C28" i="189"/>
  <c r="D55" i="189"/>
  <c r="E20" i="185"/>
  <c r="G20" i="185"/>
  <c r="I20" i="185"/>
  <c r="K20" i="185"/>
  <c r="M20" i="185"/>
  <c r="O20" i="185"/>
  <c r="Q20" i="185"/>
  <c r="Q19" i="185"/>
  <c r="G21" i="185"/>
  <c r="I21" i="185"/>
  <c r="K21" i="185"/>
  <c r="M21" i="185"/>
  <c r="O21" i="185"/>
  <c r="Q21" i="185"/>
  <c r="Q28" i="185"/>
  <c r="R55" i="185"/>
  <c r="I19" i="185"/>
  <c r="I28" i="185"/>
  <c r="J55" i="185"/>
  <c r="C20" i="174"/>
  <c r="C21" i="174"/>
  <c r="C19" i="174"/>
  <c r="C28" i="174"/>
  <c r="D55" i="174"/>
  <c r="C14" i="170"/>
  <c r="C20" i="170"/>
  <c r="C21" i="170"/>
  <c r="C19" i="170"/>
  <c r="C28" i="170"/>
  <c r="D55" i="170"/>
  <c r="C20" i="165"/>
  <c r="C19" i="165"/>
  <c r="C28" i="165"/>
  <c r="D55" i="165"/>
  <c r="E20" i="191"/>
  <c r="E19" i="191"/>
  <c r="E28" i="191"/>
  <c r="F97" i="191"/>
  <c r="C20" i="191"/>
  <c r="C19" i="191"/>
  <c r="C28" i="191"/>
  <c r="D97" i="191"/>
  <c r="F96" i="191"/>
  <c r="D96" i="191"/>
  <c r="F95" i="191"/>
  <c r="D95" i="191"/>
  <c r="F94" i="191"/>
  <c r="D94" i="191"/>
  <c r="F93" i="191"/>
  <c r="D93" i="191"/>
  <c r="F91" i="191"/>
  <c r="D91" i="191"/>
  <c r="F89" i="191"/>
  <c r="D89" i="191"/>
  <c r="F87" i="191"/>
  <c r="D87" i="191"/>
  <c r="F85" i="191"/>
  <c r="D85" i="191"/>
  <c r="F84" i="191"/>
  <c r="D84" i="191"/>
  <c r="F83" i="191"/>
  <c r="D83" i="191"/>
  <c r="F82" i="191"/>
  <c r="D82" i="191"/>
  <c r="F81" i="191"/>
  <c r="D81" i="191"/>
  <c r="F80" i="191"/>
  <c r="D80" i="191"/>
  <c r="F79" i="191"/>
  <c r="D79" i="191"/>
  <c r="F74" i="191"/>
  <c r="D74" i="191"/>
  <c r="F73" i="191"/>
  <c r="D73" i="191"/>
  <c r="F72" i="191"/>
  <c r="D72" i="191"/>
  <c r="F71" i="191"/>
  <c r="D71" i="191"/>
  <c r="F69" i="191"/>
  <c r="D69" i="191"/>
  <c r="F62" i="191"/>
  <c r="D62" i="191"/>
  <c r="F61" i="191"/>
  <c r="D61" i="191"/>
  <c r="F60" i="191"/>
  <c r="D60" i="191"/>
  <c r="F59" i="191"/>
  <c r="D59" i="191"/>
  <c r="F58" i="191"/>
  <c r="D58" i="191"/>
  <c r="F57" i="191"/>
  <c r="D57" i="191"/>
  <c r="F53" i="191"/>
  <c r="D53" i="191"/>
  <c r="F52" i="191"/>
  <c r="D52" i="191"/>
  <c r="C20" i="190"/>
  <c r="C19" i="190"/>
  <c r="C28" i="190"/>
  <c r="D97" i="190"/>
  <c r="D96" i="190"/>
  <c r="D95" i="190"/>
  <c r="D94" i="190"/>
  <c r="D93" i="190"/>
  <c r="D91" i="190"/>
  <c r="D89" i="190"/>
  <c r="D87" i="190"/>
  <c r="D85" i="190"/>
  <c r="D84" i="190"/>
  <c r="D83" i="190"/>
  <c r="D82" i="190"/>
  <c r="D81" i="190"/>
  <c r="D80" i="190"/>
  <c r="D79" i="190"/>
  <c r="D74" i="190"/>
  <c r="D73" i="190"/>
  <c r="D72" i="190"/>
  <c r="D71" i="190"/>
  <c r="D69" i="190"/>
  <c r="D62" i="190"/>
  <c r="D61" i="190"/>
  <c r="D60" i="190"/>
  <c r="D59" i="190"/>
  <c r="D58" i="190"/>
  <c r="D57" i="190"/>
  <c r="D53" i="190"/>
  <c r="D52" i="190"/>
  <c r="C20" i="188"/>
  <c r="C19" i="188"/>
  <c r="C28" i="188"/>
  <c r="D97" i="188"/>
  <c r="D96" i="188"/>
  <c r="D95" i="188"/>
  <c r="D94" i="188"/>
  <c r="D93" i="188"/>
  <c r="D91" i="188"/>
  <c r="D89" i="188"/>
  <c r="D87" i="188"/>
  <c r="D85" i="188"/>
  <c r="D84" i="188"/>
  <c r="D83" i="188"/>
  <c r="D82" i="188"/>
  <c r="D81" i="188"/>
  <c r="D80" i="188"/>
  <c r="D79" i="188"/>
  <c r="D74" i="188"/>
  <c r="D73" i="188"/>
  <c r="D72" i="188"/>
  <c r="D71" i="188"/>
  <c r="D69" i="188"/>
  <c r="D62" i="188"/>
  <c r="D61" i="188"/>
  <c r="D60" i="188"/>
  <c r="D59" i="188"/>
  <c r="D58" i="188"/>
  <c r="D57" i="188"/>
  <c r="D53" i="188"/>
  <c r="D52" i="188"/>
  <c r="D97" i="189"/>
  <c r="D96" i="189"/>
  <c r="D95" i="189"/>
  <c r="D94" i="189"/>
  <c r="D93" i="189"/>
  <c r="D91" i="189"/>
  <c r="D89" i="189"/>
  <c r="D87" i="189"/>
  <c r="D85" i="189"/>
  <c r="D84" i="189"/>
  <c r="D83" i="189"/>
  <c r="D82" i="189"/>
  <c r="D81" i="189"/>
  <c r="D80" i="189"/>
  <c r="D79" i="189"/>
  <c r="D74" i="189"/>
  <c r="D73" i="189"/>
  <c r="D72" i="189"/>
  <c r="D71" i="189"/>
  <c r="D69" i="189"/>
  <c r="D62" i="189"/>
  <c r="D61" i="189"/>
  <c r="D60" i="189"/>
  <c r="D59" i="189"/>
  <c r="D58" i="189"/>
  <c r="D57" i="189"/>
  <c r="D53" i="189"/>
  <c r="D52" i="189"/>
  <c r="C20" i="186"/>
  <c r="C19" i="186"/>
  <c r="C28" i="186"/>
  <c r="D97" i="186"/>
  <c r="D96" i="186"/>
  <c r="D95" i="186"/>
  <c r="D94" i="186"/>
  <c r="D93" i="186"/>
  <c r="D91" i="186"/>
  <c r="D89" i="186"/>
  <c r="D87" i="186"/>
  <c r="D85" i="186"/>
  <c r="D84" i="186"/>
  <c r="D83" i="186"/>
  <c r="D82" i="186"/>
  <c r="D81" i="186"/>
  <c r="D80" i="186"/>
  <c r="D79" i="186"/>
  <c r="D74" i="186"/>
  <c r="D73" i="186"/>
  <c r="D72" i="186"/>
  <c r="D71" i="186"/>
  <c r="D69" i="186"/>
  <c r="D62" i="186"/>
  <c r="D61" i="186"/>
  <c r="D60" i="186"/>
  <c r="D59" i="186"/>
  <c r="D58" i="186"/>
  <c r="D57" i="186"/>
  <c r="D53" i="186"/>
  <c r="D52" i="186"/>
  <c r="S20" i="185"/>
  <c r="S19" i="185"/>
  <c r="S21" i="185"/>
  <c r="S28" i="185"/>
  <c r="T97" i="185"/>
  <c r="R97" i="185"/>
  <c r="O19" i="185"/>
  <c r="O28" i="185"/>
  <c r="P97" i="185"/>
  <c r="M19" i="185"/>
  <c r="M28" i="185"/>
  <c r="N97" i="185"/>
  <c r="K19" i="185"/>
  <c r="K28" i="185"/>
  <c r="L97" i="185"/>
  <c r="J97" i="185"/>
  <c r="G19" i="185"/>
  <c r="G28" i="185"/>
  <c r="H97" i="185"/>
  <c r="E19" i="185"/>
  <c r="E28" i="185"/>
  <c r="F97" i="185"/>
  <c r="C20" i="185"/>
  <c r="C21" i="185"/>
  <c r="C19" i="185"/>
  <c r="C28" i="185"/>
  <c r="D97" i="185"/>
  <c r="T96" i="185"/>
  <c r="R96" i="185"/>
  <c r="P96" i="185"/>
  <c r="N96" i="185"/>
  <c r="L96" i="185"/>
  <c r="J96" i="185"/>
  <c r="H96" i="185"/>
  <c r="F96" i="185"/>
  <c r="D96" i="185"/>
  <c r="T95" i="185"/>
  <c r="R95" i="185"/>
  <c r="P95" i="185"/>
  <c r="N95" i="185"/>
  <c r="L95" i="185"/>
  <c r="J95" i="185"/>
  <c r="H95" i="185"/>
  <c r="F95" i="185"/>
  <c r="D95" i="185"/>
  <c r="T94" i="185"/>
  <c r="R94" i="185"/>
  <c r="P94" i="185"/>
  <c r="N94" i="185"/>
  <c r="L94" i="185"/>
  <c r="J94" i="185"/>
  <c r="H94" i="185"/>
  <c r="F94" i="185"/>
  <c r="D94" i="185"/>
  <c r="T93" i="185"/>
  <c r="R93" i="185"/>
  <c r="P93" i="185"/>
  <c r="N93" i="185"/>
  <c r="L93" i="185"/>
  <c r="J93" i="185"/>
  <c r="H93" i="185"/>
  <c r="F93" i="185"/>
  <c r="D93" i="185"/>
  <c r="T91" i="185"/>
  <c r="R91" i="185"/>
  <c r="P91" i="185"/>
  <c r="N91" i="185"/>
  <c r="L91" i="185"/>
  <c r="J91" i="185"/>
  <c r="H91" i="185"/>
  <c r="F91" i="185"/>
  <c r="D91" i="185"/>
  <c r="T89" i="185"/>
  <c r="R89" i="185"/>
  <c r="P89" i="185"/>
  <c r="N89" i="185"/>
  <c r="L89" i="185"/>
  <c r="J89" i="185"/>
  <c r="H89" i="185"/>
  <c r="F89" i="185"/>
  <c r="D89" i="185"/>
  <c r="T87" i="185"/>
  <c r="R87" i="185"/>
  <c r="P87" i="185"/>
  <c r="N87" i="185"/>
  <c r="L87" i="185"/>
  <c r="J87" i="185"/>
  <c r="H87" i="185"/>
  <c r="F87" i="185"/>
  <c r="D87" i="185"/>
  <c r="T85" i="185"/>
  <c r="R85" i="185"/>
  <c r="P85" i="185"/>
  <c r="N85" i="185"/>
  <c r="L85" i="185"/>
  <c r="J85" i="185"/>
  <c r="H85" i="185"/>
  <c r="F85" i="185"/>
  <c r="D85" i="185"/>
  <c r="T84" i="185"/>
  <c r="R84" i="185"/>
  <c r="P84" i="185"/>
  <c r="N84" i="185"/>
  <c r="L84" i="185"/>
  <c r="J84" i="185"/>
  <c r="H84" i="185"/>
  <c r="F84" i="185"/>
  <c r="D84" i="185"/>
  <c r="T83" i="185"/>
  <c r="R83" i="185"/>
  <c r="P83" i="185"/>
  <c r="N83" i="185"/>
  <c r="L83" i="185"/>
  <c r="J83" i="185"/>
  <c r="H83" i="185"/>
  <c r="F83" i="185"/>
  <c r="D83" i="185"/>
  <c r="T82" i="185"/>
  <c r="R82" i="185"/>
  <c r="P82" i="185"/>
  <c r="N82" i="185"/>
  <c r="L82" i="185"/>
  <c r="J82" i="185"/>
  <c r="H82" i="185"/>
  <c r="F82" i="185"/>
  <c r="D82" i="185"/>
  <c r="T81" i="185"/>
  <c r="R81" i="185"/>
  <c r="P81" i="185"/>
  <c r="N81" i="185"/>
  <c r="L81" i="185"/>
  <c r="J81" i="185"/>
  <c r="H81" i="185"/>
  <c r="F81" i="185"/>
  <c r="D81" i="185"/>
  <c r="T80" i="185"/>
  <c r="R80" i="185"/>
  <c r="P80" i="185"/>
  <c r="N80" i="185"/>
  <c r="L80" i="185"/>
  <c r="J80" i="185"/>
  <c r="H80" i="185"/>
  <c r="F80" i="185"/>
  <c r="D80" i="185"/>
  <c r="T79" i="185"/>
  <c r="R79" i="185"/>
  <c r="P79" i="185"/>
  <c r="N79" i="185"/>
  <c r="L79" i="185"/>
  <c r="J79" i="185"/>
  <c r="H79" i="185"/>
  <c r="F79" i="185"/>
  <c r="D79" i="185"/>
  <c r="T74" i="185"/>
  <c r="R74" i="185"/>
  <c r="P74" i="185"/>
  <c r="N74" i="185"/>
  <c r="L74" i="185"/>
  <c r="J74" i="185"/>
  <c r="H74" i="185"/>
  <c r="F74" i="185"/>
  <c r="D74" i="185"/>
  <c r="T73" i="185"/>
  <c r="R73" i="185"/>
  <c r="P73" i="185"/>
  <c r="N73" i="185"/>
  <c r="L73" i="185"/>
  <c r="J73" i="185"/>
  <c r="H73" i="185"/>
  <c r="F73" i="185"/>
  <c r="D73" i="185"/>
  <c r="T72" i="185"/>
  <c r="R72" i="185"/>
  <c r="P72" i="185"/>
  <c r="N72" i="185"/>
  <c r="L72" i="185"/>
  <c r="J72" i="185"/>
  <c r="H72" i="185"/>
  <c r="F72" i="185"/>
  <c r="D72" i="185"/>
  <c r="T71" i="185"/>
  <c r="R71" i="185"/>
  <c r="P71" i="185"/>
  <c r="N71" i="185"/>
  <c r="L71" i="185"/>
  <c r="J71" i="185"/>
  <c r="H71" i="185"/>
  <c r="F71" i="185"/>
  <c r="D71" i="185"/>
  <c r="T69" i="185"/>
  <c r="R69" i="185"/>
  <c r="P69" i="185"/>
  <c r="N69" i="185"/>
  <c r="L69" i="185"/>
  <c r="J69" i="185"/>
  <c r="H69" i="185"/>
  <c r="F69" i="185"/>
  <c r="D69" i="185"/>
  <c r="T62" i="185"/>
  <c r="R62" i="185"/>
  <c r="P62" i="185"/>
  <c r="N62" i="185"/>
  <c r="L62" i="185"/>
  <c r="J62" i="185"/>
  <c r="H62" i="185"/>
  <c r="F62" i="185"/>
  <c r="D62" i="185"/>
  <c r="T61" i="185"/>
  <c r="R61" i="185"/>
  <c r="P61" i="185"/>
  <c r="N61" i="185"/>
  <c r="L61" i="185"/>
  <c r="J61" i="185"/>
  <c r="H61" i="185"/>
  <c r="F61" i="185"/>
  <c r="D61" i="185"/>
  <c r="T60" i="185"/>
  <c r="R60" i="185"/>
  <c r="P60" i="185"/>
  <c r="N60" i="185"/>
  <c r="L60" i="185"/>
  <c r="J60" i="185"/>
  <c r="H60" i="185"/>
  <c r="F60" i="185"/>
  <c r="D60" i="185"/>
  <c r="T59" i="185"/>
  <c r="R59" i="185"/>
  <c r="P59" i="185"/>
  <c r="N59" i="185"/>
  <c r="L59" i="185"/>
  <c r="J59" i="185"/>
  <c r="H59" i="185"/>
  <c r="F59" i="185"/>
  <c r="D59" i="185"/>
  <c r="T58" i="185"/>
  <c r="R58" i="185"/>
  <c r="P58" i="185"/>
  <c r="N58" i="185"/>
  <c r="L58" i="185"/>
  <c r="J58" i="185"/>
  <c r="H58" i="185"/>
  <c r="F58" i="185"/>
  <c r="D58" i="185"/>
  <c r="T57" i="185"/>
  <c r="R57" i="185"/>
  <c r="P57" i="185"/>
  <c r="N57" i="185"/>
  <c r="L57" i="185"/>
  <c r="J57" i="185"/>
  <c r="H57" i="185"/>
  <c r="F57" i="185"/>
  <c r="D57" i="185"/>
  <c r="T55" i="185"/>
  <c r="P55" i="185"/>
  <c r="N55" i="185"/>
  <c r="L55" i="185"/>
  <c r="H55" i="185"/>
  <c r="F55" i="185"/>
  <c r="D55" i="185"/>
  <c r="T53" i="185"/>
  <c r="R53" i="185"/>
  <c r="P53" i="185"/>
  <c r="N53" i="185"/>
  <c r="L53" i="185"/>
  <c r="J53" i="185"/>
  <c r="H53" i="185"/>
  <c r="F53" i="185"/>
  <c r="D53" i="185"/>
  <c r="T52" i="185"/>
  <c r="R52" i="185"/>
  <c r="P52" i="185"/>
  <c r="N52" i="185"/>
  <c r="L52" i="185"/>
  <c r="J52" i="185"/>
  <c r="H52" i="185"/>
  <c r="F52" i="185"/>
  <c r="D52" i="185"/>
  <c r="C20" i="184"/>
  <c r="C19" i="184"/>
  <c r="C28" i="184"/>
  <c r="D97" i="184"/>
  <c r="D96" i="184"/>
  <c r="D95" i="184"/>
  <c r="D94" i="184"/>
  <c r="D93" i="184"/>
  <c r="D91" i="184"/>
  <c r="D89" i="184"/>
  <c r="D87" i="184"/>
  <c r="D85" i="184"/>
  <c r="D84" i="184"/>
  <c r="D83" i="184"/>
  <c r="D82" i="184"/>
  <c r="D81" i="184"/>
  <c r="D80" i="184"/>
  <c r="D79" i="184"/>
  <c r="D74" i="184"/>
  <c r="D73" i="184"/>
  <c r="D72" i="184"/>
  <c r="D71" i="184"/>
  <c r="D69" i="184"/>
  <c r="D62" i="184"/>
  <c r="D61" i="184"/>
  <c r="D60" i="184"/>
  <c r="D59" i="184"/>
  <c r="D58" i="184"/>
  <c r="D57" i="184"/>
  <c r="D55" i="184"/>
  <c r="D53" i="184"/>
  <c r="D52" i="184"/>
  <c r="C14" i="183"/>
  <c r="C20" i="183"/>
  <c r="C19" i="183"/>
  <c r="C28" i="183"/>
  <c r="D97" i="183"/>
  <c r="D96" i="183"/>
  <c r="D95" i="183"/>
  <c r="D94" i="183"/>
  <c r="D93" i="183"/>
  <c r="D91" i="183"/>
  <c r="D89" i="183"/>
  <c r="D87" i="183"/>
  <c r="D85" i="183"/>
  <c r="D84" i="183"/>
  <c r="D83" i="183"/>
  <c r="D82" i="183"/>
  <c r="D81" i="183"/>
  <c r="D80" i="183"/>
  <c r="D79" i="183"/>
  <c r="D74" i="183"/>
  <c r="D73" i="183"/>
  <c r="D72" i="183"/>
  <c r="D71" i="183"/>
  <c r="D69" i="183"/>
  <c r="D62" i="183"/>
  <c r="D61" i="183"/>
  <c r="D60" i="183"/>
  <c r="D59" i="183"/>
  <c r="D58" i="183"/>
  <c r="D57" i="183"/>
  <c r="D53" i="183"/>
  <c r="D52" i="183"/>
  <c r="C20" i="181"/>
  <c r="C19" i="181"/>
  <c r="C28" i="181"/>
  <c r="D97" i="181"/>
  <c r="D96" i="181"/>
  <c r="D95" i="181"/>
  <c r="D94" i="181"/>
  <c r="D93" i="181"/>
  <c r="D91" i="181"/>
  <c r="D89" i="181"/>
  <c r="D87" i="181"/>
  <c r="D85" i="181"/>
  <c r="D84" i="181"/>
  <c r="D83" i="181"/>
  <c r="D82" i="181"/>
  <c r="D81" i="181"/>
  <c r="D80" i="181"/>
  <c r="D79" i="181"/>
  <c r="D74" i="181"/>
  <c r="D73" i="181"/>
  <c r="D72" i="181"/>
  <c r="D71" i="181"/>
  <c r="D69" i="181"/>
  <c r="D62" i="181"/>
  <c r="D61" i="181"/>
  <c r="D60" i="181"/>
  <c r="D59" i="181"/>
  <c r="D58" i="181"/>
  <c r="D57" i="181"/>
  <c r="D53" i="181"/>
  <c r="D52" i="181"/>
  <c r="E20" i="180"/>
  <c r="G20" i="180"/>
  <c r="I20" i="180"/>
  <c r="K20" i="180"/>
  <c r="M20" i="180"/>
  <c r="O20" i="180"/>
  <c r="Q20" i="180"/>
  <c r="S20" i="180"/>
  <c r="S19" i="180"/>
  <c r="G21" i="180"/>
  <c r="I21" i="180"/>
  <c r="K21" i="180"/>
  <c r="M21" i="180"/>
  <c r="O21" i="180"/>
  <c r="Q21" i="180"/>
  <c r="S21" i="180"/>
  <c r="S28" i="180"/>
  <c r="T97" i="180"/>
  <c r="Q19" i="180"/>
  <c r="Q28" i="180"/>
  <c r="R97" i="180"/>
  <c r="O19" i="180"/>
  <c r="O28" i="180"/>
  <c r="P97" i="180"/>
  <c r="M19" i="180"/>
  <c r="M28" i="180"/>
  <c r="N97" i="180"/>
  <c r="K19" i="180"/>
  <c r="K28" i="180"/>
  <c r="L97" i="180"/>
  <c r="I19" i="180"/>
  <c r="I28" i="180"/>
  <c r="J97" i="180"/>
  <c r="G19" i="180"/>
  <c r="G28" i="180"/>
  <c r="H97" i="180"/>
  <c r="E19" i="180"/>
  <c r="E28" i="180"/>
  <c r="F97" i="180"/>
  <c r="C20" i="180"/>
  <c r="C21" i="180"/>
  <c r="C19" i="180"/>
  <c r="C28" i="180"/>
  <c r="D97" i="180"/>
  <c r="T96" i="180"/>
  <c r="R96" i="180"/>
  <c r="P96" i="180"/>
  <c r="N96" i="180"/>
  <c r="L96" i="180"/>
  <c r="J96" i="180"/>
  <c r="H96" i="180"/>
  <c r="F96" i="180"/>
  <c r="D96" i="180"/>
  <c r="T95" i="180"/>
  <c r="R95" i="180"/>
  <c r="P95" i="180"/>
  <c r="N95" i="180"/>
  <c r="L95" i="180"/>
  <c r="J95" i="180"/>
  <c r="H95" i="180"/>
  <c r="F95" i="180"/>
  <c r="D95" i="180"/>
  <c r="T94" i="180"/>
  <c r="R94" i="180"/>
  <c r="P94" i="180"/>
  <c r="N94" i="180"/>
  <c r="L94" i="180"/>
  <c r="J94" i="180"/>
  <c r="H94" i="180"/>
  <c r="F94" i="180"/>
  <c r="D94" i="180"/>
  <c r="T93" i="180"/>
  <c r="R93" i="180"/>
  <c r="P93" i="180"/>
  <c r="N93" i="180"/>
  <c r="L93" i="180"/>
  <c r="J93" i="180"/>
  <c r="H93" i="180"/>
  <c r="F93" i="180"/>
  <c r="D93" i="180"/>
  <c r="T91" i="180"/>
  <c r="R91" i="180"/>
  <c r="P91" i="180"/>
  <c r="N91" i="180"/>
  <c r="L91" i="180"/>
  <c r="J91" i="180"/>
  <c r="H91" i="180"/>
  <c r="F91" i="180"/>
  <c r="D91" i="180"/>
  <c r="T89" i="180"/>
  <c r="R89" i="180"/>
  <c r="P89" i="180"/>
  <c r="N89" i="180"/>
  <c r="L89" i="180"/>
  <c r="J89" i="180"/>
  <c r="H89" i="180"/>
  <c r="F89" i="180"/>
  <c r="D89" i="180"/>
  <c r="T87" i="180"/>
  <c r="R87" i="180"/>
  <c r="P87" i="180"/>
  <c r="N87" i="180"/>
  <c r="L87" i="180"/>
  <c r="J87" i="180"/>
  <c r="H87" i="180"/>
  <c r="F87" i="180"/>
  <c r="D87" i="180"/>
  <c r="T85" i="180"/>
  <c r="R85" i="180"/>
  <c r="P85" i="180"/>
  <c r="N85" i="180"/>
  <c r="L85" i="180"/>
  <c r="J85" i="180"/>
  <c r="H85" i="180"/>
  <c r="F85" i="180"/>
  <c r="D85" i="180"/>
  <c r="T84" i="180"/>
  <c r="R84" i="180"/>
  <c r="P84" i="180"/>
  <c r="N84" i="180"/>
  <c r="L84" i="180"/>
  <c r="J84" i="180"/>
  <c r="H84" i="180"/>
  <c r="F84" i="180"/>
  <c r="D84" i="180"/>
  <c r="T83" i="180"/>
  <c r="R83" i="180"/>
  <c r="P83" i="180"/>
  <c r="N83" i="180"/>
  <c r="L83" i="180"/>
  <c r="J83" i="180"/>
  <c r="H83" i="180"/>
  <c r="F83" i="180"/>
  <c r="D83" i="180"/>
  <c r="T82" i="180"/>
  <c r="R82" i="180"/>
  <c r="P82" i="180"/>
  <c r="N82" i="180"/>
  <c r="L82" i="180"/>
  <c r="J82" i="180"/>
  <c r="H82" i="180"/>
  <c r="F82" i="180"/>
  <c r="D82" i="180"/>
  <c r="T81" i="180"/>
  <c r="R81" i="180"/>
  <c r="P81" i="180"/>
  <c r="N81" i="180"/>
  <c r="L81" i="180"/>
  <c r="J81" i="180"/>
  <c r="H81" i="180"/>
  <c r="F81" i="180"/>
  <c r="D81" i="180"/>
  <c r="T80" i="180"/>
  <c r="R80" i="180"/>
  <c r="P80" i="180"/>
  <c r="N80" i="180"/>
  <c r="L80" i="180"/>
  <c r="J80" i="180"/>
  <c r="H80" i="180"/>
  <c r="F80" i="180"/>
  <c r="D80" i="180"/>
  <c r="T79" i="180"/>
  <c r="R79" i="180"/>
  <c r="P79" i="180"/>
  <c r="N79" i="180"/>
  <c r="L79" i="180"/>
  <c r="J79" i="180"/>
  <c r="H79" i="180"/>
  <c r="F79" i="180"/>
  <c r="D79" i="180"/>
  <c r="T74" i="180"/>
  <c r="R74" i="180"/>
  <c r="P74" i="180"/>
  <c r="N74" i="180"/>
  <c r="L74" i="180"/>
  <c r="J74" i="180"/>
  <c r="H74" i="180"/>
  <c r="F74" i="180"/>
  <c r="D74" i="180"/>
  <c r="T73" i="180"/>
  <c r="R73" i="180"/>
  <c r="P73" i="180"/>
  <c r="N73" i="180"/>
  <c r="L73" i="180"/>
  <c r="J73" i="180"/>
  <c r="H73" i="180"/>
  <c r="F73" i="180"/>
  <c r="D73" i="180"/>
  <c r="T72" i="180"/>
  <c r="R72" i="180"/>
  <c r="P72" i="180"/>
  <c r="N72" i="180"/>
  <c r="L72" i="180"/>
  <c r="J72" i="180"/>
  <c r="H72" i="180"/>
  <c r="F72" i="180"/>
  <c r="D72" i="180"/>
  <c r="T71" i="180"/>
  <c r="R71" i="180"/>
  <c r="P71" i="180"/>
  <c r="N71" i="180"/>
  <c r="L71" i="180"/>
  <c r="J71" i="180"/>
  <c r="H71" i="180"/>
  <c r="F71" i="180"/>
  <c r="D71" i="180"/>
  <c r="T69" i="180"/>
  <c r="R69" i="180"/>
  <c r="P69" i="180"/>
  <c r="N69" i="180"/>
  <c r="L69" i="180"/>
  <c r="J69" i="180"/>
  <c r="H69" i="180"/>
  <c r="F69" i="180"/>
  <c r="D69" i="180"/>
  <c r="T62" i="180"/>
  <c r="R62" i="180"/>
  <c r="P62" i="180"/>
  <c r="N62" i="180"/>
  <c r="L62" i="180"/>
  <c r="J62" i="180"/>
  <c r="H62" i="180"/>
  <c r="F62" i="180"/>
  <c r="D62" i="180"/>
  <c r="T61" i="180"/>
  <c r="R61" i="180"/>
  <c r="P61" i="180"/>
  <c r="N61" i="180"/>
  <c r="L61" i="180"/>
  <c r="J61" i="180"/>
  <c r="H61" i="180"/>
  <c r="F61" i="180"/>
  <c r="D61" i="180"/>
  <c r="T60" i="180"/>
  <c r="R60" i="180"/>
  <c r="P60" i="180"/>
  <c r="N60" i="180"/>
  <c r="L60" i="180"/>
  <c r="J60" i="180"/>
  <c r="H60" i="180"/>
  <c r="F60" i="180"/>
  <c r="D60" i="180"/>
  <c r="T59" i="180"/>
  <c r="R59" i="180"/>
  <c r="P59" i="180"/>
  <c r="N59" i="180"/>
  <c r="L59" i="180"/>
  <c r="J59" i="180"/>
  <c r="H59" i="180"/>
  <c r="F59" i="180"/>
  <c r="D59" i="180"/>
  <c r="T58" i="180"/>
  <c r="R58" i="180"/>
  <c r="P58" i="180"/>
  <c r="N58" i="180"/>
  <c r="L58" i="180"/>
  <c r="J58" i="180"/>
  <c r="H58" i="180"/>
  <c r="F58" i="180"/>
  <c r="D58" i="180"/>
  <c r="T57" i="180"/>
  <c r="R57" i="180"/>
  <c r="P57" i="180"/>
  <c r="N57" i="180"/>
  <c r="L57" i="180"/>
  <c r="J57" i="180"/>
  <c r="H57" i="180"/>
  <c r="F57" i="180"/>
  <c r="D57" i="180"/>
  <c r="D55" i="180"/>
  <c r="T53" i="180"/>
  <c r="R53" i="180"/>
  <c r="P53" i="180"/>
  <c r="N53" i="180"/>
  <c r="L53" i="180"/>
  <c r="J53" i="180"/>
  <c r="H53" i="180"/>
  <c r="F53" i="180"/>
  <c r="D53" i="180"/>
  <c r="T52" i="180"/>
  <c r="R52" i="180"/>
  <c r="P52" i="180"/>
  <c r="N52" i="180"/>
  <c r="L52" i="180"/>
  <c r="J52" i="180"/>
  <c r="H52" i="180"/>
  <c r="F52" i="180"/>
  <c r="D52" i="180"/>
  <c r="D97" i="178"/>
  <c r="D96" i="178"/>
  <c r="D95" i="178"/>
  <c r="D94" i="178"/>
  <c r="D93" i="178"/>
  <c r="D91" i="178"/>
  <c r="D89" i="178"/>
  <c r="D87" i="178"/>
  <c r="D85" i="178"/>
  <c r="D84" i="178"/>
  <c r="D83" i="178"/>
  <c r="D82" i="178"/>
  <c r="D81" i="178"/>
  <c r="D80" i="178"/>
  <c r="D79" i="178"/>
  <c r="D74" i="178"/>
  <c r="D73" i="178"/>
  <c r="D72" i="178"/>
  <c r="D71" i="178"/>
  <c r="D69" i="178"/>
  <c r="D62" i="178"/>
  <c r="D61" i="178"/>
  <c r="D60" i="178"/>
  <c r="D59" i="178"/>
  <c r="D58" i="178"/>
  <c r="D57" i="178"/>
  <c r="D53" i="178"/>
  <c r="D52" i="178"/>
  <c r="E8" i="176"/>
  <c r="G8" i="176"/>
  <c r="I8" i="176"/>
  <c r="K8" i="176"/>
  <c r="M8" i="176"/>
  <c r="O8" i="176"/>
  <c r="Q8" i="176"/>
  <c r="S8" i="176"/>
  <c r="S14" i="176"/>
  <c r="I20" i="176"/>
  <c r="K20" i="176"/>
  <c r="M20" i="176"/>
  <c r="O20" i="176"/>
  <c r="Q20" i="176"/>
  <c r="S20" i="176"/>
  <c r="S19" i="176"/>
  <c r="I21" i="176"/>
  <c r="K21" i="176"/>
  <c r="M21" i="176"/>
  <c r="O21" i="176"/>
  <c r="Q21" i="176"/>
  <c r="S21" i="176"/>
  <c r="S28" i="176"/>
  <c r="T97" i="176"/>
  <c r="Q14" i="176"/>
  <c r="Q19" i="176"/>
  <c r="Q28" i="176"/>
  <c r="R97" i="176"/>
  <c r="O14" i="176"/>
  <c r="O19" i="176"/>
  <c r="O28" i="176"/>
  <c r="P97" i="176"/>
  <c r="M14" i="176"/>
  <c r="M19" i="176"/>
  <c r="M28" i="176"/>
  <c r="N97" i="176"/>
  <c r="K14" i="176"/>
  <c r="K19" i="176"/>
  <c r="K28" i="176"/>
  <c r="L97" i="176"/>
  <c r="I14" i="176"/>
  <c r="I19" i="176"/>
  <c r="I28" i="176"/>
  <c r="J97" i="176"/>
  <c r="G14" i="176"/>
  <c r="G19" i="176"/>
  <c r="G28" i="176"/>
  <c r="H97" i="176"/>
  <c r="C20" i="176"/>
  <c r="C21" i="176"/>
  <c r="C19" i="176"/>
  <c r="C28" i="176"/>
  <c r="D97" i="176"/>
  <c r="T96" i="176"/>
  <c r="R96" i="176"/>
  <c r="P96" i="176"/>
  <c r="N96" i="176"/>
  <c r="L96" i="176"/>
  <c r="J96" i="176"/>
  <c r="H96" i="176"/>
  <c r="D96" i="176"/>
  <c r="T95" i="176"/>
  <c r="R95" i="176"/>
  <c r="P95" i="176"/>
  <c r="N95" i="176"/>
  <c r="L95" i="176"/>
  <c r="J95" i="176"/>
  <c r="H95" i="176"/>
  <c r="D95" i="176"/>
  <c r="T94" i="176"/>
  <c r="R94" i="176"/>
  <c r="P94" i="176"/>
  <c r="N94" i="176"/>
  <c r="L94" i="176"/>
  <c r="J94" i="176"/>
  <c r="H94" i="176"/>
  <c r="D94" i="176"/>
  <c r="T93" i="176"/>
  <c r="R93" i="176"/>
  <c r="P93" i="176"/>
  <c r="N93" i="176"/>
  <c r="L93" i="176"/>
  <c r="J93" i="176"/>
  <c r="H93" i="176"/>
  <c r="D93" i="176"/>
  <c r="T91" i="176"/>
  <c r="R91" i="176"/>
  <c r="P91" i="176"/>
  <c r="N91" i="176"/>
  <c r="L91" i="176"/>
  <c r="J91" i="176"/>
  <c r="H91" i="176"/>
  <c r="D91" i="176"/>
  <c r="T89" i="176"/>
  <c r="R89" i="176"/>
  <c r="P89" i="176"/>
  <c r="N89" i="176"/>
  <c r="L89" i="176"/>
  <c r="J89" i="176"/>
  <c r="H89" i="176"/>
  <c r="D89" i="176"/>
  <c r="T87" i="176"/>
  <c r="R87" i="176"/>
  <c r="P87" i="176"/>
  <c r="N87" i="176"/>
  <c r="L87" i="176"/>
  <c r="J87" i="176"/>
  <c r="H87" i="176"/>
  <c r="D87" i="176"/>
  <c r="T85" i="176"/>
  <c r="R85" i="176"/>
  <c r="P85" i="176"/>
  <c r="N85" i="176"/>
  <c r="L85" i="176"/>
  <c r="J85" i="176"/>
  <c r="H85" i="176"/>
  <c r="D85" i="176"/>
  <c r="T84" i="176"/>
  <c r="R84" i="176"/>
  <c r="P84" i="176"/>
  <c r="N84" i="176"/>
  <c r="L84" i="176"/>
  <c r="J84" i="176"/>
  <c r="H84" i="176"/>
  <c r="D84" i="176"/>
  <c r="T83" i="176"/>
  <c r="R83" i="176"/>
  <c r="P83" i="176"/>
  <c r="N83" i="176"/>
  <c r="L83" i="176"/>
  <c r="J83" i="176"/>
  <c r="H83" i="176"/>
  <c r="D83" i="176"/>
  <c r="T82" i="176"/>
  <c r="R82" i="176"/>
  <c r="P82" i="176"/>
  <c r="N82" i="176"/>
  <c r="L82" i="176"/>
  <c r="J82" i="176"/>
  <c r="H82" i="176"/>
  <c r="D82" i="176"/>
  <c r="T81" i="176"/>
  <c r="R81" i="176"/>
  <c r="P81" i="176"/>
  <c r="N81" i="176"/>
  <c r="L81" i="176"/>
  <c r="J81" i="176"/>
  <c r="H81" i="176"/>
  <c r="D81" i="176"/>
  <c r="T80" i="176"/>
  <c r="R80" i="176"/>
  <c r="P80" i="176"/>
  <c r="N80" i="176"/>
  <c r="L80" i="176"/>
  <c r="J80" i="176"/>
  <c r="H80" i="176"/>
  <c r="D80" i="176"/>
  <c r="T79" i="176"/>
  <c r="R79" i="176"/>
  <c r="P79" i="176"/>
  <c r="N79" i="176"/>
  <c r="L79" i="176"/>
  <c r="J79" i="176"/>
  <c r="H79" i="176"/>
  <c r="D79" i="176"/>
  <c r="T74" i="176"/>
  <c r="R74" i="176"/>
  <c r="P74" i="176"/>
  <c r="N74" i="176"/>
  <c r="L74" i="176"/>
  <c r="J74" i="176"/>
  <c r="H74" i="176"/>
  <c r="D74" i="176"/>
  <c r="T73" i="176"/>
  <c r="R73" i="176"/>
  <c r="P73" i="176"/>
  <c r="N73" i="176"/>
  <c r="L73" i="176"/>
  <c r="J73" i="176"/>
  <c r="H73" i="176"/>
  <c r="D73" i="176"/>
  <c r="T72" i="176"/>
  <c r="R72" i="176"/>
  <c r="P72" i="176"/>
  <c r="N72" i="176"/>
  <c r="L72" i="176"/>
  <c r="J72" i="176"/>
  <c r="H72" i="176"/>
  <c r="D72" i="176"/>
  <c r="T71" i="176"/>
  <c r="R71" i="176"/>
  <c r="P71" i="176"/>
  <c r="N71" i="176"/>
  <c r="L71" i="176"/>
  <c r="J71" i="176"/>
  <c r="H71" i="176"/>
  <c r="D71" i="176"/>
  <c r="T69" i="176"/>
  <c r="R69" i="176"/>
  <c r="P69" i="176"/>
  <c r="N69" i="176"/>
  <c r="L69" i="176"/>
  <c r="J69" i="176"/>
  <c r="H69" i="176"/>
  <c r="D69" i="176"/>
  <c r="T62" i="176"/>
  <c r="R62" i="176"/>
  <c r="P62" i="176"/>
  <c r="N62" i="176"/>
  <c r="L62" i="176"/>
  <c r="J62" i="176"/>
  <c r="H62" i="176"/>
  <c r="D62" i="176"/>
  <c r="T61" i="176"/>
  <c r="R61" i="176"/>
  <c r="P61" i="176"/>
  <c r="N61" i="176"/>
  <c r="L61" i="176"/>
  <c r="J61" i="176"/>
  <c r="H61" i="176"/>
  <c r="D61" i="176"/>
  <c r="T60" i="176"/>
  <c r="R60" i="176"/>
  <c r="P60" i="176"/>
  <c r="N60" i="176"/>
  <c r="L60" i="176"/>
  <c r="J60" i="176"/>
  <c r="H60" i="176"/>
  <c r="D60" i="176"/>
  <c r="T59" i="176"/>
  <c r="R59" i="176"/>
  <c r="P59" i="176"/>
  <c r="N59" i="176"/>
  <c r="L59" i="176"/>
  <c r="J59" i="176"/>
  <c r="H59" i="176"/>
  <c r="D59" i="176"/>
  <c r="T58" i="176"/>
  <c r="R58" i="176"/>
  <c r="P58" i="176"/>
  <c r="N58" i="176"/>
  <c r="L58" i="176"/>
  <c r="J58" i="176"/>
  <c r="H58" i="176"/>
  <c r="D58" i="176"/>
  <c r="T57" i="176"/>
  <c r="R57" i="176"/>
  <c r="P57" i="176"/>
  <c r="N57" i="176"/>
  <c r="L57" i="176"/>
  <c r="J57" i="176"/>
  <c r="H57" i="176"/>
  <c r="D57" i="176"/>
  <c r="D55" i="176"/>
  <c r="T53" i="176"/>
  <c r="R53" i="176"/>
  <c r="P53" i="176"/>
  <c r="N53" i="176"/>
  <c r="L53" i="176"/>
  <c r="J53" i="176"/>
  <c r="H53" i="176"/>
  <c r="D53" i="176"/>
  <c r="T52" i="176"/>
  <c r="R52" i="176"/>
  <c r="P52" i="176"/>
  <c r="N52" i="176"/>
  <c r="L52" i="176"/>
  <c r="J52" i="176"/>
  <c r="H52" i="176"/>
  <c r="D52" i="176"/>
  <c r="D97" i="174"/>
  <c r="D96" i="174"/>
  <c r="D95" i="174"/>
  <c r="D94" i="174"/>
  <c r="D93" i="174"/>
  <c r="D91" i="174"/>
  <c r="D89" i="174"/>
  <c r="D87" i="174"/>
  <c r="D85" i="174"/>
  <c r="D84" i="174"/>
  <c r="D83" i="174"/>
  <c r="D82" i="174"/>
  <c r="D81" i="174"/>
  <c r="D80" i="174"/>
  <c r="D79" i="174"/>
  <c r="D74" i="174"/>
  <c r="D73" i="174"/>
  <c r="D72" i="174"/>
  <c r="D71" i="174"/>
  <c r="D69" i="174"/>
  <c r="D62" i="174"/>
  <c r="D61" i="174"/>
  <c r="D60" i="174"/>
  <c r="D59" i="174"/>
  <c r="D58" i="174"/>
  <c r="D57" i="174"/>
  <c r="D53" i="174"/>
  <c r="D52" i="174"/>
  <c r="D97" i="173"/>
  <c r="D96" i="173"/>
  <c r="D95" i="173"/>
  <c r="D94" i="173"/>
  <c r="D93" i="173"/>
  <c r="D91" i="173"/>
  <c r="D89" i="173"/>
  <c r="D87" i="173"/>
  <c r="D85" i="173"/>
  <c r="D84" i="173"/>
  <c r="D83" i="173"/>
  <c r="D82" i="173"/>
  <c r="D81" i="173"/>
  <c r="D80" i="173"/>
  <c r="D79" i="173"/>
  <c r="D74" i="173"/>
  <c r="D73" i="173"/>
  <c r="D72" i="173"/>
  <c r="D71" i="173"/>
  <c r="D69" i="173"/>
  <c r="D62" i="173"/>
  <c r="D61" i="173"/>
  <c r="D60" i="173"/>
  <c r="D59" i="173"/>
  <c r="D58" i="173"/>
  <c r="D57" i="173"/>
  <c r="D53" i="173"/>
  <c r="D52" i="173"/>
  <c r="E8" i="170"/>
  <c r="E14" i="170"/>
  <c r="E20" i="170"/>
  <c r="E19" i="170"/>
  <c r="G19" i="170"/>
  <c r="I19" i="170"/>
  <c r="K19" i="170"/>
  <c r="M19" i="170"/>
  <c r="O19" i="170"/>
  <c r="Q19" i="170"/>
  <c r="S19" i="170"/>
  <c r="G20" i="170"/>
  <c r="I20" i="170"/>
  <c r="K20" i="170"/>
  <c r="M20" i="170"/>
  <c r="O20" i="170"/>
  <c r="Q20" i="170"/>
  <c r="S20" i="170"/>
  <c r="G21" i="170"/>
  <c r="I21" i="170"/>
  <c r="K21" i="170"/>
  <c r="M21" i="170"/>
  <c r="O21" i="170"/>
  <c r="Q21" i="170"/>
  <c r="S21" i="170"/>
  <c r="S28" i="170"/>
  <c r="T97" i="170"/>
  <c r="Q28" i="170"/>
  <c r="R97" i="170"/>
  <c r="O28" i="170"/>
  <c r="P97" i="170"/>
  <c r="M28" i="170"/>
  <c r="N97" i="170"/>
  <c r="K28" i="170"/>
  <c r="L97" i="170"/>
  <c r="I28" i="170"/>
  <c r="J97" i="170"/>
  <c r="G28" i="170"/>
  <c r="H97" i="170"/>
  <c r="E28" i="170"/>
  <c r="F97" i="170"/>
  <c r="D97" i="170"/>
  <c r="T96" i="170"/>
  <c r="R96" i="170"/>
  <c r="P96" i="170"/>
  <c r="N96" i="170"/>
  <c r="L96" i="170"/>
  <c r="J96" i="170"/>
  <c r="H96" i="170"/>
  <c r="F96" i="170"/>
  <c r="D96" i="170"/>
  <c r="T95" i="170"/>
  <c r="R95" i="170"/>
  <c r="P95" i="170"/>
  <c r="N95" i="170"/>
  <c r="L95" i="170"/>
  <c r="J95" i="170"/>
  <c r="H95" i="170"/>
  <c r="F95" i="170"/>
  <c r="D95" i="170"/>
  <c r="T94" i="170"/>
  <c r="R94" i="170"/>
  <c r="P94" i="170"/>
  <c r="N94" i="170"/>
  <c r="L94" i="170"/>
  <c r="J94" i="170"/>
  <c r="H94" i="170"/>
  <c r="F94" i="170"/>
  <c r="D94" i="170"/>
  <c r="T93" i="170"/>
  <c r="R93" i="170"/>
  <c r="P93" i="170"/>
  <c r="N93" i="170"/>
  <c r="L93" i="170"/>
  <c r="J93" i="170"/>
  <c r="H93" i="170"/>
  <c r="F93" i="170"/>
  <c r="D93" i="170"/>
  <c r="T91" i="170"/>
  <c r="R91" i="170"/>
  <c r="P91" i="170"/>
  <c r="N91" i="170"/>
  <c r="L91" i="170"/>
  <c r="J91" i="170"/>
  <c r="H91" i="170"/>
  <c r="F91" i="170"/>
  <c r="D91" i="170"/>
  <c r="T89" i="170"/>
  <c r="R89" i="170"/>
  <c r="P89" i="170"/>
  <c r="N89" i="170"/>
  <c r="L89" i="170"/>
  <c r="J89" i="170"/>
  <c r="H89" i="170"/>
  <c r="F89" i="170"/>
  <c r="D89" i="170"/>
  <c r="T87" i="170"/>
  <c r="R87" i="170"/>
  <c r="P87" i="170"/>
  <c r="N87" i="170"/>
  <c r="L87" i="170"/>
  <c r="J87" i="170"/>
  <c r="H87" i="170"/>
  <c r="F87" i="170"/>
  <c r="D87" i="170"/>
  <c r="T85" i="170"/>
  <c r="R85" i="170"/>
  <c r="P85" i="170"/>
  <c r="N85" i="170"/>
  <c r="L85" i="170"/>
  <c r="J85" i="170"/>
  <c r="H85" i="170"/>
  <c r="F85" i="170"/>
  <c r="D85" i="170"/>
  <c r="T84" i="170"/>
  <c r="R84" i="170"/>
  <c r="P84" i="170"/>
  <c r="N84" i="170"/>
  <c r="L84" i="170"/>
  <c r="J84" i="170"/>
  <c r="H84" i="170"/>
  <c r="F84" i="170"/>
  <c r="D84" i="170"/>
  <c r="T83" i="170"/>
  <c r="R83" i="170"/>
  <c r="P83" i="170"/>
  <c r="N83" i="170"/>
  <c r="L83" i="170"/>
  <c r="J83" i="170"/>
  <c r="H83" i="170"/>
  <c r="F83" i="170"/>
  <c r="D83" i="170"/>
  <c r="T82" i="170"/>
  <c r="R82" i="170"/>
  <c r="P82" i="170"/>
  <c r="N82" i="170"/>
  <c r="L82" i="170"/>
  <c r="J82" i="170"/>
  <c r="H82" i="170"/>
  <c r="F82" i="170"/>
  <c r="D82" i="170"/>
  <c r="T81" i="170"/>
  <c r="R81" i="170"/>
  <c r="P81" i="170"/>
  <c r="N81" i="170"/>
  <c r="L81" i="170"/>
  <c r="J81" i="170"/>
  <c r="H81" i="170"/>
  <c r="F81" i="170"/>
  <c r="D81" i="170"/>
  <c r="T80" i="170"/>
  <c r="R80" i="170"/>
  <c r="P80" i="170"/>
  <c r="N80" i="170"/>
  <c r="L80" i="170"/>
  <c r="J80" i="170"/>
  <c r="H80" i="170"/>
  <c r="F80" i="170"/>
  <c r="D80" i="170"/>
  <c r="T79" i="170"/>
  <c r="R79" i="170"/>
  <c r="P79" i="170"/>
  <c r="N79" i="170"/>
  <c r="L79" i="170"/>
  <c r="J79" i="170"/>
  <c r="H79" i="170"/>
  <c r="F79" i="170"/>
  <c r="D79" i="170"/>
  <c r="T74" i="170"/>
  <c r="R74" i="170"/>
  <c r="P74" i="170"/>
  <c r="N74" i="170"/>
  <c r="L74" i="170"/>
  <c r="J74" i="170"/>
  <c r="H74" i="170"/>
  <c r="F74" i="170"/>
  <c r="D74" i="170"/>
  <c r="T73" i="170"/>
  <c r="R73" i="170"/>
  <c r="P73" i="170"/>
  <c r="N73" i="170"/>
  <c r="L73" i="170"/>
  <c r="J73" i="170"/>
  <c r="H73" i="170"/>
  <c r="F73" i="170"/>
  <c r="D73" i="170"/>
  <c r="T72" i="170"/>
  <c r="R72" i="170"/>
  <c r="P72" i="170"/>
  <c r="N72" i="170"/>
  <c r="L72" i="170"/>
  <c r="J72" i="170"/>
  <c r="H72" i="170"/>
  <c r="F72" i="170"/>
  <c r="D72" i="170"/>
  <c r="T71" i="170"/>
  <c r="R71" i="170"/>
  <c r="P71" i="170"/>
  <c r="N71" i="170"/>
  <c r="L71" i="170"/>
  <c r="J71" i="170"/>
  <c r="H71" i="170"/>
  <c r="F71" i="170"/>
  <c r="D71" i="170"/>
  <c r="T69" i="170"/>
  <c r="R69" i="170"/>
  <c r="P69" i="170"/>
  <c r="N69" i="170"/>
  <c r="L69" i="170"/>
  <c r="J69" i="170"/>
  <c r="H69" i="170"/>
  <c r="F69" i="170"/>
  <c r="D69" i="170"/>
  <c r="T62" i="170"/>
  <c r="R62" i="170"/>
  <c r="P62" i="170"/>
  <c r="N62" i="170"/>
  <c r="L62" i="170"/>
  <c r="J62" i="170"/>
  <c r="H62" i="170"/>
  <c r="F62" i="170"/>
  <c r="D62" i="170"/>
  <c r="T61" i="170"/>
  <c r="R61" i="170"/>
  <c r="P61" i="170"/>
  <c r="N61" i="170"/>
  <c r="L61" i="170"/>
  <c r="J61" i="170"/>
  <c r="H61" i="170"/>
  <c r="F61" i="170"/>
  <c r="D61" i="170"/>
  <c r="T60" i="170"/>
  <c r="R60" i="170"/>
  <c r="P60" i="170"/>
  <c r="N60" i="170"/>
  <c r="L60" i="170"/>
  <c r="J60" i="170"/>
  <c r="H60" i="170"/>
  <c r="F60" i="170"/>
  <c r="D60" i="170"/>
  <c r="T59" i="170"/>
  <c r="R59" i="170"/>
  <c r="P59" i="170"/>
  <c r="N59" i="170"/>
  <c r="L59" i="170"/>
  <c r="J59" i="170"/>
  <c r="H59" i="170"/>
  <c r="F59" i="170"/>
  <c r="D59" i="170"/>
  <c r="T58" i="170"/>
  <c r="R58" i="170"/>
  <c r="P58" i="170"/>
  <c r="N58" i="170"/>
  <c r="L58" i="170"/>
  <c r="J58" i="170"/>
  <c r="H58" i="170"/>
  <c r="F58" i="170"/>
  <c r="D58" i="170"/>
  <c r="T57" i="170"/>
  <c r="R57" i="170"/>
  <c r="P57" i="170"/>
  <c r="N57" i="170"/>
  <c r="L57" i="170"/>
  <c r="J57" i="170"/>
  <c r="H57" i="170"/>
  <c r="F57" i="170"/>
  <c r="D57" i="170"/>
  <c r="T53" i="170"/>
  <c r="R53" i="170"/>
  <c r="P53" i="170"/>
  <c r="N53" i="170"/>
  <c r="L53" i="170"/>
  <c r="J53" i="170"/>
  <c r="H53" i="170"/>
  <c r="F53" i="170"/>
  <c r="D53" i="170"/>
  <c r="T52" i="170"/>
  <c r="R52" i="170"/>
  <c r="P52" i="170"/>
  <c r="N52" i="170"/>
  <c r="L52" i="170"/>
  <c r="J52" i="170"/>
  <c r="H52" i="170"/>
  <c r="F52" i="170"/>
  <c r="D52" i="170"/>
  <c r="E8" i="167"/>
  <c r="E14" i="167"/>
  <c r="E20" i="167"/>
  <c r="E19" i="167"/>
  <c r="G19" i="167"/>
  <c r="I19" i="167"/>
  <c r="K19" i="167"/>
  <c r="M19" i="167"/>
  <c r="O19" i="167"/>
  <c r="Q19" i="167"/>
  <c r="S19" i="167"/>
  <c r="G20" i="167"/>
  <c r="I20" i="167"/>
  <c r="K20" i="167"/>
  <c r="M20" i="167"/>
  <c r="O20" i="167"/>
  <c r="Q20" i="167"/>
  <c r="S20" i="167"/>
  <c r="G21" i="167"/>
  <c r="I21" i="167"/>
  <c r="K21" i="167"/>
  <c r="M21" i="167"/>
  <c r="O21" i="167"/>
  <c r="Q21" i="167"/>
  <c r="S21" i="167"/>
  <c r="S28" i="167"/>
  <c r="T97" i="167"/>
  <c r="Q28" i="167"/>
  <c r="R97" i="167"/>
  <c r="O28" i="167"/>
  <c r="P97" i="167"/>
  <c r="M28" i="167"/>
  <c r="N97" i="167"/>
  <c r="K28" i="167"/>
  <c r="L97" i="167"/>
  <c r="I28" i="167"/>
  <c r="J97" i="167"/>
  <c r="G28" i="167"/>
  <c r="H97" i="167"/>
  <c r="E28" i="167"/>
  <c r="F97" i="167"/>
  <c r="T96" i="167"/>
  <c r="R96" i="167"/>
  <c r="P96" i="167"/>
  <c r="N96" i="167"/>
  <c r="L96" i="167"/>
  <c r="J96" i="167"/>
  <c r="H96" i="167"/>
  <c r="F96" i="167"/>
  <c r="T95" i="167"/>
  <c r="R95" i="167"/>
  <c r="P95" i="167"/>
  <c r="N95" i="167"/>
  <c r="L95" i="167"/>
  <c r="J95" i="167"/>
  <c r="H95" i="167"/>
  <c r="F95" i="167"/>
  <c r="T94" i="167"/>
  <c r="R94" i="167"/>
  <c r="P94" i="167"/>
  <c r="N94" i="167"/>
  <c r="L94" i="167"/>
  <c r="J94" i="167"/>
  <c r="H94" i="167"/>
  <c r="F94" i="167"/>
  <c r="T93" i="167"/>
  <c r="R93" i="167"/>
  <c r="P93" i="167"/>
  <c r="N93" i="167"/>
  <c r="L93" i="167"/>
  <c r="J93" i="167"/>
  <c r="H93" i="167"/>
  <c r="F93" i="167"/>
  <c r="T91" i="167"/>
  <c r="R91" i="167"/>
  <c r="P91" i="167"/>
  <c r="N91" i="167"/>
  <c r="L91" i="167"/>
  <c r="J91" i="167"/>
  <c r="H91" i="167"/>
  <c r="F91" i="167"/>
  <c r="T89" i="167"/>
  <c r="R89" i="167"/>
  <c r="P89" i="167"/>
  <c r="N89" i="167"/>
  <c r="L89" i="167"/>
  <c r="J89" i="167"/>
  <c r="H89" i="167"/>
  <c r="F89" i="167"/>
  <c r="T87" i="167"/>
  <c r="R87" i="167"/>
  <c r="P87" i="167"/>
  <c r="N87" i="167"/>
  <c r="L87" i="167"/>
  <c r="J87" i="167"/>
  <c r="H87" i="167"/>
  <c r="F87" i="167"/>
  <c r="T85" i="167"/>
  <c r="R85" i="167"/>
  <c r="P85" i="167"/>
  <c r="N85" i="167"/>
  <c r="L85" i="167"/>
  <c r="J85" i="167"/>
  <c r="H85" i="167"/>
  <c r="F85" i="167"/>
  <c r="T84" i="167"/>
  <c r="R84" i="167"/>
  <c r="P84" i="167"/>
  <c r="N84" i="167"/>
  <c r="L84" i="167"/>
  <c r="J84" i="167"/>
  <c r="H84" i="167"/>
  <c r="F84" i="167"/>
  <c r="T83" i="167"/>
  <c r="R83" i="167"/>
  <c r="P83" i="167"/>
  <c r="N83" i="167"/>
  <c r="L83" i="167"/>
  <c r="J83" i="167"/>
  <c r="H83" i="167"/>
  <c r="F83" i="167"/>
  <c r="T82" i="167"/>
  <c r="R82" i="167"/>
  <c r="P82" i="167"/>
  <c r="N82" i="167"/>
  <c r="L82" i="167"/>
  <c r="J82" i="167"/>
  <c r="H82" i="167"/>
  <c r="F82" i="167"/>
  <c r="T81" i="167"/>
  <c r="R81" i="167"/>
  <c r="P81" i="167"/>
  <c r="N81" i="167"/>
  <c r="L81" i="167"/>
  <c r="J81" i="167"/>
  <c r="H81" i="167"/>
  <c r="F81" i="167"/>
  <c r="T80" i="167"/>
  <c r="R80" i="167"/>
  <c r="P80" i="167"/>
  <c r="N80" i="167"/>
  <c r="L80" i="167"/>
  <c r="J80" i="167"/>
  <c r="H80" i="167"/>
  <c r="F80" i="167"/>
  <c r="T79" i="167"/>
  <c r="R79" i="167"/>
  <c r="P79" i="167"/>
  <c r="N79" i="167"/>
  <c r="L79" i="167"/>
  <c r="J79" i="167"/>
  <c r="H79" i="167"/>
  <c r="F79" i="167"/>
  <c r="T74" i="167"/>
  <c r="R74" i="167"/>
  <c r="P74" i="167"/>
  <c r="N74" i="167"/>
  <c r="L74" i="167"/>
  <c r="J74" i="167"/>
  <c r="H74" i="167"/>
  <c r="F74" i="167"/>
  <c r="T73" i="167"/>
  <c r="R73" i="167"/>
  <c r="P73" i="167"/>
  <c r="N73" i="167"/>
  <c r="L73" i="167"/>
  <c r="J73" i="167"/>
  <c r="H73" i="167"/>
  <c r="F73" i="167"/>
  <c r="T72" i="167"/>
  <c r="R72" i="167"/>
  <c r="P72" i="167"/>
  <c r="N72" i="167"/>
  <c r="L72" i="167"/>
  <c r="J72" i="167"/>
  <c r="H72" i="167"/>
  <c r="F72" i="167"/>
  <c r="T71" i="167"/>
  <c r="R71" i="167"/>
  <c r="P71" i="167"/>
  <c r="N71" i="167"/>
  <c r="L71" i="167"/>
  <c r="J71" i="167"/>
  <c r="H71" i="167"/>
  <c r="F71" i="167"/>
  <c r="T69" i="167"/>
  <c r="R69" i="167"/>
  <c r="P69" i="167"/>
  <c r="N69" i="167"/>
  <c r="L69" i="167"/>
  <c r="J69" i="167"/>
  <c r="H69" i="167"/>
  <c r="F69" i="167"/>
  <c r="T62" i="167"/>
  <c r="R62" i="167"/>
  <c r="P62" i="167"/>
  <c r="N62" i="167"/>
  <c r="L62" i="167"/>
  <c r="J62" i="167"/>
  <c r="H62" i="167"/>
  <c r="F62" i="167"/>
  <c r="T61" i="167"/>
  <c r="R61" i="167"/>
  <c r="P61" i="167"/>
  <c r="N61" i="167"/>
  <c r="L61" i="167"/>
  <c r="J61" i="167"/>
  <c r="H61" i="167"/>
  <c r="F61" i="167"/>
  <c r="T60" i="167"/>
  <c r="R60" i="167"/>
  <c r="P60" i="167"/>
  <c r="N60" i="167"/>
  <c r="L60" i="167"/>
  <c r="J60" i="167"/>
  <c r="H60" i="167"/>
  <c r="F60" i="167"/>
  <c r="T59" i="167"/>
  <c r="R59" i="167"/>
  <c r="P59" i="167"/>
  <c r="N59" i="167"/>
  <c r="L59" i="167"/>
  <c r="J59" i="167"/>
  <c r="H59" i="167"/>
  <c r="F59" i="167"/>
  <c r="T58" i="167"/>
  <c r="R58" i="167"/>
  <c r="P58" i="167"/>
  <c r="N58" i="167"/>
  <c r="L58" i="167"/>
  <c r="J58" i="167"/>
  <c r="H58" i="167"/>
  <c r="F58" i="167"/>
  <c r="T57" i="167"/>
  <c r="R57" i="167"/>
  <c r="P57" i="167"/>
  <c r="N57" i="167"/>
  <c r="L57" i="167"/>
  <c r="J57" i="167"/>
  <c r="H57" i="167"/>
  <c r="F57" i="167"/>
  <c r="T53" i="167"/>
  <c r="R53" i="167"/>
  <c r="P53" i="167"/>
  <c r="N53" i="167"/>
  <c r="L53" i="167"/>
  <c r="J53" i="167"/>
  <c r="H53" i="167"/>
  <c r="F53" i="167"/>
  <c r="T52" i="167"/>
  <c r="R52" i="167"/>
  <c r="P52" i="167"/>
  <c r="N52" i="167"/>
  <c r="L52" i="167"/>
  <c r="J52" i="167"/>
  <c r="H52" i="167"/>
  <c r="F52" i="167"/>
  <c r="D97" i="165"/>
  <c r="D96" i="165"/>
  <c r="D95" i="165"/>
  <c r="D94" i="165"/>
  <c r="D93" i="165"/>
  <c r="D91" i="165"/>
  <c r="D89" i="165"/>
  <c r="D87" i="165"/>
  <c r="D85" i="165"/>
  <c r="D84" i="165"/>
  <c r="D83" i="165"/>
  <c r="D82" i="165"/>
  <c r="D81" i="165"/>
  <c r="D80" i="165"/>
  <c r="D79" i="165"/>
  <c r="D74" i="165"/>
  <c r="D73" i="165"/>
  <c r="D72" i="165"/>
  <c r="D71" i="165"/>
  <c r="D69" i="165"/>
  <c r="D62" i="165"/>
  <c r="D61" i="165"/>
  <c r="D60" i="165"/>
  <c r="D59" i="165"/>
  <c r="D58" i="165"/>
  <c r="D57" i="165"/>
  <c r="D53" i="165"/>
  <c r="D52" i="165"/>
  <c r="C20" i="164"/>
  <c r="C19" i="164"/>
  <c r="C28" i="164"/>
  <c r="D97" i="164"/>
  <c r="D96" i="164"/>
  <c r="D95" i="164"/>
  <c r="D94" i="164"/>
  <c r="D93" i="164"/>
  <c r="D91" i="164"/>
  <c r="D89" i="164"/>
  <c r="D87" i="164"/>
  <c r="D85" i="164"/>
  <c r="D84" i="164"/>
  <c r="D83" i="164"/>
  <c r="D82" i="164"/>
  <c r="D81" i="164"/>
  <c r="D80" i="164"/>
  <c r="D79" i="164"/>
  <c r="D74" i="164"/>
  <c r="D73" i="164"/>
  <c r="D72" i="164"/>
  <c r="D71" i="164"/>
  <c r="D69" i="164"/>
  <c r="D62" i="164"/>
  <c r="D61" i="164"/>
  <c r="D60" i="164"/>
  <c r="D59" i="164"/>
  <c r="D58" i="164"/>
  <c r="D57" i="164"/>
  <c r="D53" i="164"/>
  <c r="D52" i="164"/>
  <c r="E50" i="80"/>
  <c r="C31" i="197"/>
  <c r="K103" i="202"/>
  <c r="U45" i="194"/>
  <c r="U41" i="194"/>
  <c r="U40" i="194"/>
  <c r="S45" i="194"/>
  <c r="S41" i="194"/>
  <c r="S40" i="194"/>
  <c r="Q45" i="194"/>
  <c r="Q41" i="194"/>
  <c r="Q40" i="194"/>
  <c r="O45" i="194"/>
  <c r="O41" i="194"/>
  <c r="O40" i="194"/>
  <c r="M45" i="194"/>
  <c r="M41" i="194"/>
  <c r="M40" i="194"/>
  <c r="K45" i="194"/>
  <c r="K41" i="194"/>
  <c r="K40" i="194"/>
  <c r="I45" i="194"/>
  <c r="I41" i="194"/>
  <c r="I40" i="194"/>
  <c r="G45" i="194"/>
  <c r="G41" i="194"/>
  <c r="G40" i="194"/>
  <c r="E45" i="194"/>
  <c r="E41" i="194"/>
  <c r="E40" i="194"/>
  <c r="C45" i="194"/>
  <c r="C41" i="194"/>
  <c r="C40" i="194"/>
  <c r="E37" i="190"/>
  <c r="E38" i="190"/>
  <c r="E39" i="190"/>
  <c r="E40" i="190"/>
  <c r="E41" i="190"/>
  <c r="E42" i="190"/>
  <c r="E43" i="190"/>
  <c r="E44" i="190"/>
  <c r="E45" i="190"/>
  <c r="E39" i="193"/>
  <c r="G39" i="193"/>
  <c r="I39" i="193"/>
  <c r="K39" i="193"/>
  <c r="M39" i="193"/>
  <c r="O39" i="193"/>
  <c r="Q39" i="193"/>
  <c r="S39" i="193"/>
  <c r="U39" i="193"/>
  <c r="E37" i="193"/>
  <c r="G37" i="193"/>
  <c r="G41" i="193"/>
  <c r="I37" i="193"/>
  <c r="E36" i="193"/>
  <c r="G36" i="193"/>
  <c r="G40" i="193"/>
  <c r="E45" i="193"/>
  <c r="E41" i="193"/>
  <c r="E40" i="193"/>
  <c r="C41" i="193"/>
  <c r="C40" i="193"/>
  <c r="C45" i="193"/>
  <c r="E37" i="197"/>
  <c r="G37" i="197"/>
  <c r="E36" i="197"/>
  <c r="E40" i="197"/>
  <c r="C45" i="197"/>
  <c r="C41" i="197"/>
  <c r="C40" i="197"/>
  <c r="E41" i="197"/>
  <c r="E45" i="197"/>
  <c r="G36" i="197"/>
  <c r="G41" i="197"/>
  <c r="I37" i="197"/>
  <c r="I41" i="193"/>
  <c r="K37" i="193"/>
  <c r="G45" i="193"/>
  <c r="I36" i="193"/>
  <c r="E45" i="186"/>
  <c r="E41" i="186"/>
  <c r="G27" i="177"/>
  <c r="I27" i="177"/>
  <c r="K27" i="177"/>
  <c r="M27" i="177"/>
  <c r="O27" i="177"/>
  <c r="Q27" i="177"/>
  <c r="S27" i="177"/>
  <c r="U27" i="177"/>
  <c r="E31" i="197"/>
  <c r="G31" i="197"/>
  <c r="I31" i="197"/>
  <c r="K31" i="197"/>
  <c r="M31" i="197"/>
  <c r="O31" i="197"/>
  <c r="Q31" i="197"/>
  <c r="S31" i="197"/>
  <c r="U31" i="197"/>
  <c r="E19" i="169"/>
  <c r="E19" i="168"/>
  <c r="C20" i="168"/>
  <c r="C19" i="168"/>
  <c r="C20" i="179"/>
  <c r="C19" i="179"/>
  <c r="C20" i="187"/>
  <c r="C19" i="187"/>
  <c r="G3" i="194"/>
  <c r="G3" i="193"/>
  <c r="G3" i="191"/>
  <c r="G3" i="190"/>
  <c r="G3" i="188"/>
  <c r="G3" i="189"/>
  <c r="G3" i="187"/>
  <c r="G3" i="186"/>
  <c r="G3" i="185"/>
  <c r="G3" i="183"/>
  <c r="G27" i="182"/>
  <c r="G3" i="182"/>
  <c r="G3" i="181"/>
  <c r="G3" i="180"/>
  <c r="G3" i="179"/>
  <c r="G3" i="178"/>
  <c r="G3" i="177"/>
  <c r="E21" i="176"/>
  <c r="E19" i="176"/>
  <c r="G3" i="176"/>
  <c r="C20" i="175"/>
  <c r="C19" i="175"/>
  <c r="G3" i="175"/>
  <c r="G3" i="174"/>
  <c r="G3" i="173"/>
  <c r="G20" i="168"/>
  <c r="G19" i="168"/>
  <c r="U8" i="176"/>
  <c r="U14" i="176"/>
  <c r="U20" i="176"/>
  <c r="U19" i="176"/>
  <c r="E14" i="177"/>
  <c r="E20" i="177"/>
  <c r="G20" i="177"/>
  <c r="I20" i="177"/>
  <c r="K20" i="177"/>
  <c r="M20" i="177"/>
  <c r="O20" i="177"/>
  <c r="Q20" i="177"/>
  <c r="S20" i="177"/>
  <c r="U20" i="177"/>
  <c r="U19" i="177"/>
  <c r="S19" i="177"/>
  <c r="Q19" i="177"/>
  <c r="O19" i="177"/>
  <c r="M19" i="177"/>
  <c r="K19" i="177"/>
  <c r="I19" i="177"/>
  <c r="G19" i="177"/>
  <c r="E19" i="177"/>
  <c r="G19" i="181"/>
  <c r="E20" i="181"/>
  <c r="E19" i="181"/>
  <c r="E8" i="182"/>
  <c r="G8" i="182"/>
  <c r="I8" i="182"/>
  <c r="K8" i="182"/>
  <c r="M8" i="182"/>
  <c r="O8" i="182"/>
  <c r="Q8" i="182"/>
  <c r="S8" i="182"/>
  <c r="U8" i="182"/>
  <c r="U14" i="182"/>
  <c r="E14" i="182"/>
  <c r="E20" i="182"/>
  <c r="G20" i="182"/>
  <c r="I20" i="182"/>
  <c r="K20" i="182"/>
  <c r="M20" i="182"/>
  <c r="O20" i="182"/>
  <c r="Q20" i="182"/>
  <c r="S20" i="182"/>
  <c r="U20" i="182"/>
  <c r="U19" i="182"/>
  <c r="S14" i="182"/>
  <c r="S19" i="182"/>
  <c r="Q14" i="182"/>
  <c r="Q19" i="182"/>
  <c r="O14" i="182"/>
  <c r="O19" i="182"/>
  <c r="M14" i="182"/>
  <c r="M19" i="182"/>
  <c r="K14" i="182"/>
  <c r="K19" i="182"/>
  <c r="I14" i="182"/>
  <c r="I19" i="182"/>
  <c r="G14" i="182"/>
  <c r="G19" i="182"/>
  <c r="E19" i="182"/>
  <c r="U20" i="185"/>
  <c r="U19" i="185"/>
  <c r="C20" i="172"/>
  <c r="C19" i="172"/>
  <c r="G3" i="172"/>
  <c r="E27" i="171"/>
  <c r="G27" i="171"/>
  <c r="I27" i="171"/>
  <c r="K27" i="171"/>
  <c r="M27" i="171"/>
  <c r="O27" i="171"/>
  <c r="Q27" i="171"/>
  <c r="S27" i="171"/>
  <c r="U27" i="171"/>
  <c r="G3" i="171"/>
  <c r="G3" i="170"/>
  <c r="U20" i="168"/>
  <c r="U19" i="168"/>
  <c r="S20" i="168"/>
  <c r="S19" i="168"/>
  <c r="Q20" i="168"/>
  <c r="Q19" i="168"/>
  <c r="O20" i="168"/>
  <c r="O19" i="168"/>
  <c r="M20" i="168"/>
  <c r="M19" i="168"/>
  <c r="K20" i="168"/>
  <c r="K19" i="168"/>
  <c r="I20" i="168"/>
  <c r="I19" i="168"/>
  <c r="U20" i="169"/>
  <c r="S20" i="169"/>
  <c r="S19" i="169"/>
  <c r="Q20" i="169"/>
  <c r="Q19" i="169"/>
  <c r="O20" i="169"/>
  <c r="O19" i="169"/>
  <c r="M20" i="169"/>
  <c r="K20" i="169"/>
  <c r="K19" i="169"/>
  <c r="I20" i="169"/>
  <c r="I19" i="169"/>
  <c r="G20" i="169"/>
  <c r="G19" i="169"/>
  <c r="C20" i="169"/>
  <c r="C19" i="169"/>
  <c r="G3" i="169"/>
  <c r="G3" i="168"/>
  <c r="C20" i="167"/>
  <c r="C19" i="167"/>
  <c r="G3" i="167"/>
  <c r="G3" i="165"/>
  <c r="G3" i="164"/>
  <c r="G3" i="163"/>
  <c r="C20" i="163"/>
  <c r="C19" i="163"/>
  <c r="E27" i="162"/>
  <c r="I27" i="162"/>
  <c r="K27" i="162"/>
  <c r="M27" i="162"/>
  <c r="O27" i="162"/>
  <c r="Q27" i="162"/>
  <c r="S27" i="162"/>
  <c r="U27" i="162"/>
  <c r="G3" i="162"/>
  <c r="G3" i="161"/>
  <c r="I27" i="182"/>
  <c r="G40" i="197"/>
  <c r="I36" i="197"/>
  <c r="I45" i="197"/>
  <c r="G45" i="197"/>
  <c r="K37" i="197"/>
  <c r="I41" i="197"/>
  <c r="M37" i="193"/>
  <c r="K41" i="193"/>
  <c r="I45" i="193"/>
  <c r="I40" i="193"/>
  <c r="K36" i="193"/>
  <c r="U19" i="169"/>
  <c r="M19" i="169"/>
  <c r="E27" i="160"/>
  <c r="G27" i="160"/>
  <c r="I27" i="160"/>
  <c r="K27" i="160"/>
  <c r="M27" i="160"/>
  <c r="O27" i="160"/>
  <c r="Q27" i="160"/>
  <c r="S27" i="160"/>
  <c r="U27" i="160"/>
  <c r="K27" i="182"/>
  <c r="K36" i="197"/>
  <c r="I40" i="197"/>
  <c r="K41" i="197"/>
  <c r="M37" i="197"/>
  <c r="K45" i="197"/>
  <c r="K40" i="193"/>
  <c r="K45" i="193"/>
  <c r="M36" i="193"/>
  <c r="M41" i="193"/>
  <c r="O37" i="193"/>
  <c r="G3" i="160"/>
  <c r="G3" i="159"/>
  <c r="G3" i="158"/>
  <c r="M27" i="182"/>
  <c r="M25" i="193"/>
  <c r="K40" i="197"/>
  <c r="M36" i="197"/>
  <c r="M41" i="197"/>
  <c r="M45" i="197"/>
  <c r="O37" i="197"/>
  <c r="M45" i="193"/>
  <c r="O36" i="193"/>
  <c r="M40" i="193"/>
  <c r="Q37" i="193"/>
  <c r="O41" i="193"/>
  <c r="E8" i="163"/>
  <c r="E14" i="163"/>
  <c r="E20" i="163"/>
  <c r="E19" i="163"/>
  <c r="E28" i="163"/>
  <c r="F97" i="163"/>
  <c r="C20" i="161"/>
  <c r="C19" i="161"/>
  <c r="C28" i="161"/>
  <c r="D97" i="161"/>
  <c r="C20" i="158"/>
  <c r="C19" i="158"/>
  <c r="C28" i="158"/>
  <c r="D97" i="158"/>
  <c r="I19" i="15"/>
  <c r="K19" i="15"/>
  <c r="M19" i="15"/>
  <c r="O19" i="15"/>
  <c r="Q19" i="15"/>
  <c r="S19" i="15"/>
  <c r="I20" i="15"/>
  <c r="K20" i="15"/>
  <c r="M20" i="15"/>
  <c r="O20" i="15"/>
  <c r="Q20" i="15"/>
  <c r="S20" i="15"/>
  <c r="G21" i="15"/>
  <c r="I21" i="15"/>
  <c r="K21" i="15"/>
  <c r="M21" i="15"/>
  <c r="O21" i="15"/>
  <c r="Q21" i="15"/>
  <c r="S21" i="15"/>
  <c r="S28" i="15"/>
  <c r="T97" i="15"/>
  <c r="Q28" i="15"/>
  <c r="R97" i="15"/>
  <c r="O28" i="15"/>
  <c r="P97" i="15"/>
  <c r="M28" i="15"/>
  <c r="N97" i="15"/>
  <c r="K28" i="15"/>
  <c r="L97" i="15"/>
  <c r="I28" i="15"/>
  <c r="J97" i="15"/>
  <c r="G28" i="15"/>
  <c r="H97" i="15"/>
  <c r="D91" i="152"/>
  <c r="D92" i="152"/>
  <c r="D93" i="152"/>
  <c r="D94" i="152"/>
  <c r="D90" i="152"/>
  <c r="D83" i="152"/>
  <c r="D84" i="152"/>
  <c r="D85" i="152"/>
  <c r="D82" i="152"/>
  <c r="D79" i="152"/>
  <c r="E48" i="80"/>
  <c r="E49" i="80"/>
  <c r="E47" i="80"/>
  <c r="O27" i="182"/>
  <c r="O25" i="193"/>
  <c r="O36" i="197"/>
  <c r="O45" i="197"/>
  <c r="M40" i="197"/>
  <c r="Q37" i="197"/>
  <c r="O41" i="197"/>
  <c r="Q41" i="193"/>
  <c r="S37" i="193"/>
  <c r="O40" i="193"/>
  <c r="O45" i="193"/>
  <c r="Q36" i="193"/>
  <c r="D45" i="47"/>
  <c r="D43" i="47"/>
  <c r="D42" i="47"/>
  <c r="G3" i="197"/>
  <c r="G32" i="49"/>
  <c r="E37" i="89"/>
  <c r="F37" i="89"/>
  <c r="G37" i="89"/>
  <c r="H37" i="89"/>
  <c r="I37" i="89"/>
  <c r="J37" i="89"/>
  <c r="K37" i="89"/>
  <c r="L37" i="89"/>
  <c r="M37" i="89"/>
  <c r="U19" i="170"/>
  <c r="U20" i="170"/>
  <c r="U21" i="170"/>
  <c r="U28" i="170"/>
  <c r="V59" i="170"/>
  <c r="U19" i="167"/>
  <c r="U20" i="167"/>
  <c r="U21" i="167"/>
  <c r="U28" i="167"/>
  <c r="V59" i="167"/>
  <c r="F59" i="163"/>
  <c r="D59" i="161"/>
  <c r="D59" i="158"/>
  <c r="Q27" i="182"/>
  <c r="Q25" i="193"/>
  <c r="O40" i="197"/>
  <c r="Q36" i="197"/>
  <c r="Q41" i="197"/>
  <c r="S37" i="197"/>
  <c r="Q45" i="197"/>
  <c r="U37" i="193"/>
  <c r="U41" i="193"/>
  <c r="S41" i="193"/>
  <c r="Q45" i="193"/>
  <c r="Q40" i="193"/>
  <c r="S36" i="193"/>
  <c r="E39" i="118"/>
  <c r="G39" i="118"/>
  <c r="I39" i="118"/>
  <c r="K39" i="118"/>
  <c r="M39" i="118"/>
  <c r="O39" i="118"/>
  <c r="Q39" i="118"/>
  <c r="S39" i="118"/>
  <c r="U39" i="118"/>
  <c r="S27" i="182"/>
  <c r="E41" i="118"/>
  <c r="E40" i="118"/>
  <c r="S25" i="193"/>
  <c r="S36" i="197"/>
  <c r="Q40" i="197"/>
  <c r="S41" i="197"/>
  <c r="U37" i="197"/>
  <c r="S45" i="197"/>
  <c r="G40" i="118"/>
  <c r="E45" i="118"/>
  <c r="S40" i="193"/>
  <c r="S45" i="193"/>
  <c r="U36" i="193"/>
  <c r="G36" i="183"/>
  <c r="I36" i="183"/>
  <c r="K36" i="183"/>
  <c r="M36" i="183"/>
  <c r="O36" i="183"/>
  <c r="Q36" i="183"/>
  <c r="S36" i="183"/>
  <c r="U36" i="183"/>
  <c r="G36" i="188"/>
  <c r="G20" i="191"/>
  <c r="G19" i="191"/>
  <c r="C10" i="175"/>
  <c r="C10" i="174"/>
  <c r="C10" i="173"/>
  <c r="C10" i="172"/>
  <c r="C16" i="172"/>
  <c r="C28" i="172"/>
  <c r="C10" i="169"/>
  <c r="C10" i="168"/>
  <c r="C10" i="165"/>
  <c r="C10" i="164"/>
  <c r="C10" i="161"/>
  <c r="C10" i="159"/>
  <c r="C10" i="158"/>
  <c r="U36" i="191"/>
  <c r="I36" i="190"/>
  <c r="G36" i="189"/>
  <c r="E36" i="179"/>
  <c r="G36" i="179"/>
  <c r="I36" i="179"/>
  <c r="K36" i="179"/>
  <c r="M36" i="179"/>
  <c r="O36" i="179"/>
  <c r="Q36" i="179"/>
  <c r="S36" i="179"/>
  <c r="U36" i="179"/>
  <c r="U36" i="172"/>
  <c r="S36" i="169"/>
  <c r="U36" i="169"/>
  <c r="E36" i="165"/>
  <c r="G36" i="165"/>
  <c r="I36" i="165"/>
  <c r="K36" i="165"/>
  <c r="M36" i="165"/>
  <c r="O36" i="165"/>
  <c r="Q36" i="165"/>
  <c r="S36" i="165"/>
  <c r="U36" i="165"/>
  <c r="E37" i="15"/>
  <c r="E39" i="15"/>
  <c r="E45" i="15"/>
  <c r="E41" i="15"/>
  <c r="C45" i="15"/>
  <c r="C41" i="15"/>
  <c r="M40" i="118"/>
  <c r="U27" i="182"/>
  <c r="I36" i="189"/>
  <c r="I36" i="188"/>
  <c r="I40" i="188"/>
  <c r="D55" i="172"/>
  <c r="D96" i="172"/>
  <c r="D91" i="172"/>
  <c r="D84" i="172"/>
  <c r="D80" i="172"/>
  <c r="D72" i="172"/>
  <c r="D61" i="172"/>
  <c r="D58" i="172"/>
  <c r="D52" i="172"/>
  <c r="D95" i="172"/>
  <c r="D89" i="172"/>
  <c r="D83" i="172"/>
  <c r="D79" i="172"/>
  <c r="D71" i="172"/>
  <c r="D60" i="172"/>
  <c r="D57" i="172"/>
  <c r="D94" i="172"/>
  <c r="D87" i="172"/>
  <c r="D82" i="172"/>
  <c r="D74" i="172"/>
  <c r="D69" i="172"/>
  <c r="D93" i="172"/>
  <c r="D85" i="172"/>
  <c r="D81" i="172"/>
  <c r="D73" i="172"/>
  <c r="D62" i="172"/>
  <c r="D53" i="172"/>
  <c r="D97" i="172"/>
  <c r="D59" i="172"/>
  <c r="S25" i="194"/>
  <c r="U25" i="193"/>
  <c r="U36" i="197"/>
  <c r="U40" i="197"/>
  <c r="S40" i="197"/>
  <c r="U41" i="197"/>
  <c r="U45" i="197"/>
  <c r="K40" i="118"/>
  <c r="I40" i="118"/>
  <c r="G45" i="118"/>
  <c r="G41" i="118"/>
  <c r="U45" i="193"/>
  <c r="U40" i="193"/>
  <c r="K36" i="190"/>
  <c r="E39" i="158"/>
  <c r="G39" i="158"/>
  <c r="I39" i="158"/>
  <c r="K39" i="158"/>
  <c r="M39" i="158"/>
  <c r="O39" i="158"/>
  <c r="Q39" i="158"/>
  <c r="S39" i="158"/>
  <c r="U39" i="158"/>
  <c r="E38" i="158"/>
  <c r="G38" i="158"/>
  <c r="I38" i="158"/>
  <c r="K38" i="158"/>
  <c r="M38" i="158"/>
  <c r="O38" i="158"/>
  <c r="Q38" i="158"/>
  <c r="S38" i="158"/>
  <c r="U38" i="158"/>
  <c r="E37" i="158"/>
  <c r="G37" i="158"/>
  <c r="I37" i="158"/>
  <c r="K37" i="158"/>
  <c r="M37" i="158"/>
  <c r="O37" i="158"/>
  <c r="U40" i="160"/>
  <c r="S40" i="160"/>
  <c r="Q40" i="160"/>
  <c r="O40" i="160"/>
  <c r="E39" i="160"/>
  <c r="G39" i="160"/>
  <c r="I39" i="160"/>
  <c r="K39" i="160"/>
  <c r="M39" i="160"/>
  <c r="O39" i="160"/>
  <c r="Q39" i="160"/>
  <c r="S39" i="160"/>
  <c r="U39" i="160"/>
  <c r="M40" i="160"/>
  <c r="E38" i="160"/>
  <c r="G38" i="160"/>
  <c r="I38" i="160"/>
  <c r="K38" i="160"/>
  <c r="M38" i="160"/>
  <c r="O38" i="160"/>
  <c r="Q38" i="160"/>
  <c r="S38" i="160"/>
  <c r="U38" i="160"/>
  <c r="E37" i="160"/>
  <c r="G37" i="160"/>
  <c r="I37" i="160"/>
  <c r="K37" i="160"/>
  <c r="M37" i="160"/>
  <c r="U40" i="161"/>
  <c r="S40" i="161"/>
  <c r="Q40" i="161"/>
  <c r="E39" i="161"/>
  <c r="G39" i="161"/>
  <c r="I39" i="161"/>
  <c r="K39" i="161"/>
  <c r="M39" i="161"/>
  <c r="O39" i="161"/>
  <c r="Q39" i="161"/>
  <c r="S39" i="161"/>
  <c r="U39" i="161"/>
  <c r="O40" i="161"/>
  <c r="E37" i="161"/>
  <c r="G37" i="161"/>
  <c r="I37" i="161"/>
  <c r="K37" i="161"/>
  <c r="M37" i="161"/>
  <c r="O37" i="161"/>
  <c r="O41" i="161"/>
  <c r="M40" i="161"/>
  <c r="E38" i="161"/>
  <c r="G38" i="161"/>
  <c r="I38" i="161"/>
  <c r="K38" i="161"/>
  <c r="M38" i="161"/>
  <c r="M45" i="161"/>
  <c r="M41" i="161"/>
  <c r="U40" i="162"/>
  <c r="S40" i="162"/>
  <c r="Q40" i="162"/>
  <c r="O40" i="162"/>
  <c r="M40" i="162"/>
  <c r="U40" i="163"/>
  <c r="S40" i="163"/>
  <c r="Q40" i="163"/>
  <c r="O40" i="163"/>
  <c r="M40" i="163"/>
  <c r="U40" i="164"/>
  <c r="S40" i="164"/>
  <c r="Q40" i="164"/>
  <c r="O40" i="164"/>
  <c r="E39" i="164"/>
  <c r="G39" i="164"/>
  <c r="I39" i="164"/>
  <c r="K39" i="164"/>
  <c r="M39" i="164"/>
  <c r="O39" i="164"/>
  <c r="Q39" i="164"/>
  <c r="S39" i="164"/>
  <c r="U39" i="164"/>
  <c r="M40" i="164"/>
  <c r="E38" i="164"/>
  <c r="G38" i="164"/>
  <c r="I38" i="164"/>
  <c r="K38" i="164"/>
  <c r="M38" i="164"/>
  <c r="O38" i="164"/>
  <c r="Q38" i="164"/>
  <c r="S38" i="164"/>
  <c r="U38" i="164"/>
  <c r="U40" i="165"/>
  <c r="S40" i="165"/>
  <c r="Q40" i="165"/>
  <c r="O40" i="165"/>
  <c r="M40" i="165"/>
  <c r="U40" i="167"/>
  <c r="S40" i="167"/>
  <c r="Q40" i="167"/>
  <c r="O40" i="167"/>
  <c r="M40" i="167"/>
  <c r="U40" i="168"/>
  <c r="S40" i="168"/>
  <c r="Q40" i="168"/>
  <c r="O40" i="168"/>
  <c r="M40" i="168"/>
  <c r="E38" i="168"/>
  <c r="G38" i="168"/>
  <c r="I38" i="168"/>
  <c r="K38" i="168"/>
  <c r="M38" i="168"/>
  <c r="U40" i="169"/>
  <c r="S40" i="169"/>
  <c r="Q40" i="169"/>
  <c r="O40" i="169"/>
  <c r="M40" i="169"/>
  <c r="U40" i="170"/>
  <c r="S40" i="170"/>
  <c r="Q40" i="170"/>
  <c r="O40" i="170"/>
  <c r="M40" i="170"/>
  <c r="U40" i="171"/>
  <c r="S40" i="171"/>
  <c r="Q40" i="171"/>
  <c r="O40" i="171"/>
  <c r="E39" i="171"/>
  <c r="G39" i="171"/>
  <c r="I39" i="171"/>
  <c r="K39" i="171"/>
  <c r="M39" i="171"/>
  <c r="O39" i="171"/>
  <c r="Q39" i="171"/>
  <c r="S39" i="171"/>
  <c r="U39" i="171"/>
  <c r="E37" i="171"/>
  <c r="G37" i="171"/>
  <c r="I37" i="171"/>
  <c r="K37" i="171"/>
  <c r="M37" i="171"/>
  <c r="E38" i="171"/>
  <c r="G38" i="171"/>
  <c r="I38" i="171"/>
  <c r="K38" i="171"/>
  <c r="M38" i="171"/>
  <c r="M45" i="171"/>
  <c r="M40" i="171"/>
  <c r="O38" i="171"/>
  <c r="Q38" i="171"/>
  <c r="S38" i="171"/>
  <c r="U38" i="171"/>
  <c r="O37" i="171"/>
  <c r="U40" i="172"/>
  <c r="S40" i="172"/>
  <c r="Q40" i="172"/>
  <c r="O40" i="172"/>
  <c r="M40" i="172"/>
  <c r="U40" i="173"/>
  <c r="S40" i="173"/>
  <c r="Q40" i="173"/>
  <c r="O40" i="173"/>
  <c r="M40" i="173"/>
  <c r="U40" i="174"/>
  <c r="S40" i="174"/>
  <c r="U39" i="174"/>
  <c r="Q40" i="174"/>
  <c r="O40" i="174"/>
  <c r="M40" i="174"/>
  <c r="U38" i="174"/>
  <c r="U40" i="175"/>
  <c r="S40" i="175"/>
  <c r="Q40" i="175"/>
  <c r="O40" i="175"/>
  <c r="M40" i="175"/>
  <c r="U40" i="176"/>
  <c r="S40" i="176"/>
  <c r="Q40" i="176"/>
  <c r="O40" i="176"/>
  <c r="M40" i="176"/>
  <c r="U40" i="177"/>
  <c r="S40" i="177"/>
  <c r="Q40" i="177"/>
  <c r="O40" i="177"/>
  <c r="M40" i="177"/>
  <c r="U40" i="178"/>
  <c r="S40" i="178"/>
  <c r="Q40" i="178"/>
  <c r="O40" i="178"/>
  <c r="M40" i="178"/>
  <c r="U40" i="179"/>
  <c r="S40" i="179"/>
  <c r="Q40" i="179"/>
  <c r="O40" i="179"/>
  <c r="M40" i="179"/>
  <c r="U40" i="180"/>
  <c r="S40" i="180"/>
  <c r="Q40" i="180"/>
  <c r="O40" i="180"/>
  <c r="M40" i="180"/>
  <c r="U40" i="181"/>
  <c r="S40" i="181"/>
  <c r="Q40" i="181"/>
  <c r="O40" i="181"/>
  <c r="M40" i="181"/>
  <c r="U40" i="182"/>
  <c r="S40" i="182"/>
  <c r="E39" i="182"/>
  <c r="G39" i="182"/>
  <c r="I39" i="182"/>
  <c r="K39" i="182"/>
  <c r="M39" i="182"/>
  <c r="O39" i="182"/>
  <c r="Q39" i="182"/>
  <c r="S39" i="182"/>
  <c r="U39" i="182"/>
  <c r="Q40" i="182"/>
  <c r="O40" i="182"/>
  <c r="M40" i="182"/>
  <c r="E38" i="182"/>
  <c r="G38" i="182"/>
  <c r="I38" i="182"/>
  <c r="K38" i="182"/>
  <c r="M38" i="182"/>
  <c r="O38" i="182"/>
  <c r="Q38" i="182"/>
  <c r="S38" i="182"/>
  <c r="U38" i="182"/>
  <c r="E37" i="182"/>
  <c r="G37" i="182"/>
  <c r="I37" i="182"/>
  <c r="K37" i="182"/>
  <c r="M37" i="182"/>
  <c r="U40" i="183"/>
  <c r="S40" i="183"/>
  <c r="Q40" i="183"/>
  <c r="O40" i="183"/>
  <c r="M40" i="183"/>
  <c r="U40" i="184"/>
  <c r="S40" i="184"/>
  <c r="Q40" i="184"/>
  <c r="O40" i="184"/>
  <c r="M40" i="184"/>
  <c r="U40" i="185"/>
  <c r="S40" i="185"/>
  <c r="Q40" i="185"/>
  <c r="O40" i="185"/>
  <c r="M40" i="185"/>
  <c r="U40" i="186"/>
  <c r="S40" i="186"/>
  <c r="Q40" i="186"/>
  <c r="O40" i="186"/>
  <c r="M40" i="186"/>
  <c r="U40" i="187"/>
  <c r="S40" i="187"/>
  <c r="Q40" i="187"/>
  <c r="E39" i="187"/>
  <c r="G39" i="187"/>
  <c r="I39" i="187"/>
  <c r="K39" i="187"/>
  <c r="M39" i="187"/>
  <c r="O39" i="187"/>
  <c r="Q39" i="187"/>
  <c r="S39" i="187"/>
  <c r="U39" i="187"/>
  <c r="O40" i="187"/>
  <c r="M40" i="187"/>
  <c r="E38" i="187"/>
  <c r="G38" i="187"/>
  <c r="I38" i="187"/>
  <c r="K38" i="187"/>
  <c r="M38" i="187"/>
  <c r="U40" i="191"/>
  <c r="S40" i="191"/>
  <c r="Q40" i="191"/>
  <c r="O40" i="191"/>
  <c r="M40" i="191"/>
  <c r="G39" i="167"/>
  <c r="I39" i="167"/>
  <c r="K39" i="167"/>
  <c r="M39" i="167"/>
  <c r="O39" i="167"/>
  <c r="Q39" i="167"/>
  <c r="S39" i="167"/>
  <c r="U39" i="167"/>
  <c r="I39" i="176"/>
  <c r="K39" i="176"/>
  <c r="M39" i="176"/>
  <c r="O39" i="176"/>
  <c r="Q39" i="176"/>
  <c r="S39" i="176"/>
  <c r="U39" i="176"/>
  <c r="I39" i="177"/>
  <c r="K39" i="177"/>
  <c r="M39" i="177"/>
  <c r="O39" i="177"/>
  <c r="Q39" i="177"/>
  <c r="S39" i="177"/>
  <c r="U39" i="177"/>
  <c r="G38" i="186"/>
  <c r="I38" i="186"/>
  <c r="K38" i="186"/>
  <c r="M38" i="186"/>
  <c r="O38" i="186"/>
  <c r="Q38" i="186"/>
  <c r="S38" i="186"/>
  <c r="U38" i="186"/>
  <c r="K41" i="158"/>
  <c r="G37" i="170"/>
  <c r="I37" i="170"/>
  <c r="K37" i="170"/>
  <c r="M37" i="170"/>
  <c r="K40" i="160"/>
  <c r="K41" i="160"/>
  <c r="K40" i="161"/>
  <c r="K40" i="162"/>
  <c r="K40" i="163"/>
  <c r="K40" i="164"/>
  <c r="K40" i="165"/>
  <c r="K40" i="167"/>
  <c r="K40" i="168"/>
  <c r="K40" i="169"/>
  <c r="K40" i="170"/>
  <c r="K40" i="171"/>
  <c r="K41" i="171"/>
  <c r="K40" i="172"/>
  <c r="K40" i="173"/>
  <c r="K40" i="174"/>
  <c r="K40" i="175"/>
  <c r="K40" i="176"/>
  <c r="K40" i="177"/>
  <c r="K40" i="178"/>
  <c r="K40" i="179"/>
  <c r="K40" i="180"/>
  <c r="K40" i="181"/>
  <c r="K40" i="182"/>
  <c r="K40" i="183"/>
  <c r="K40" i="184"/>
  <c r="K40" i="185"/>
  <c r="K40" i="186"/>
  <c r="K40" i="187"/>
  <c r="K40" i="190"/>
  <c r="K40" i="191"/>
  <c r="I39" i="162"/>
  <c r="U39" i="165"/>
  <c r="U39" i="168"/>
  <c r="I45" i="171"/>
  <c r="U39" i="175"/>
  <c r="S39" i="188"/>
  <c r="U39" i="188"/>
  <c r="I38" i="15"/>
  <c r="K38" i="15"/>
  <c r="M38" i="15"/>
  <c r="O38" i="15"/>
  <c r="Q38" i="15"/>
  <c r="S38" i="15"/>
  <c r="U38" i="15"/>
  <c r="G38" i="167"/>
  <c r="I38" i="167"/>
  <c r="K38" i="167"/>
  <c r="M38" i="167"/>
  <c r="O38" i="167"/>
  <c r="Q38" i="167"/>
  <c r="S38" i="167"/>
  <c r="U38" i="167"/>
  <c r="G38" i="170"/>
  <c r="I38" i="170"/>
  <c r="K38" i="170"/>
  <c r="M38" i="170"/>
  <c r="I38" i="177"/>
  <c r="K38" i="177"/>
  <c r="M38" i="177"/>
  <c r="I41" i="158"/>
  <c r="I41" i="161"/>
  <c r="G37" i="167"/>
  <c r="I37" i="167"/>
  <c r="K37" i="167"/>
  <c r="I41" i="170"/>
  <c r="I37" i="177"/>
  <c r="G37" i="180"/>
  <c r="I37" i="180"/>
  <c r="K37" i="180"/>
  <c r="I40" i="160"/>
  <c r="I41" i="160"/>
  <c r="I40" i="161"/>
  <c r="I40" i="162"/>
  <c r="I40" i="163"/>
  <c r="I40" i="164"/>
  <c r="I40" i="165"/>
  <c r="I40" i="167"/>
  <c r="I41" i="167"/>
  <c r="I40" i="168"/>
  <c r="I40" i="169"/>
  <c r="I40" i="170"/>
  <c r="I40" i="171"/>
  <c r="I41" i="171"/>
  <c r="I40" i="172"/>
  <c r="I40" i="173"/>
  <c r="I40" i="174"/>
  <c r="I40" i="175"/>
  <c r="I40" i="176"/>
  <c r="I40" i="177"/>
  <c r="I41" i="177"/>
  <c r="I40" i="178"/>
  <c r="I40" i="179"/>
  <c r="I40" i="180"/>
  <c r="I41" i="180"/>
  <c r="I40" i="181"/>
  <c r="I40" i="182"/>
  <c r="I40" i="183"/>
  <c r="I40" i="184"/>
  <c r="I40" i="185"/>
  <c r="I40" i="186"/>
  <c r="I40" i="187"/>
  <c r="I40" i="189"/>
  <c r="I40" i="190"/>
  <c r="I40" i="191"/>
  <c r="I39" i="15"/>
  <c r="K39" i="15"/>
  <c r="M39" i="15"/>
  <c r="O39" i="15"/>
  <c r="Q39" i="15"/>
  <c r="S39" i="15"/>
  <c r="U39" i="15"/>
  <c r="I39" i="163"/>
  <c r="K39" i="163"/>
  <c r="M39" i="163"/>
  <c r="O39" i="163"/>
  <c r="Q39" i="163"/>
  <c r="S39" i="163"/>
  <c r="U39" i="163"/>
  <c r="U39" i="169"/>
  <c r="G39" i="170"/>
  <c r="I39" i="170"/>
  <c r="K39" i="170"/>
  <c r="M39" i="170"/>
  <c r="O39" i="170"/>
  <c r="Q39" i="170"/>
  <c r="S39" i="170"/>
  <c r="U39" i="170"/>
  <c r="G45" i="171"/>
  <c r="U39" i="172"/>
  <c r="U39" i="173"/>
  <c r="G39" i="180"/>
  <c r="G39" i="183"/>
  <c r="I39" i="183"/>
  <c r="K39" i="183"/>
  <c r="M39" i="183"/>
  <c r="O39" i="183"/>
  <c r="Q39" i="183"/>
  <c r="S39" i="183"/>
  <c r="U39" i="183"/>
  <c r="M39" i="184"/>
  <c r="O39" i="184"/>
  <c r="Q39" i="184"/>
  <c r="S39" i="184"/>
  <c r="U39" i="184"/>
  <c r="G39" i="185"/>
  <c r="I39" i="185"/>
  <c r="K39" i="185"/>
  <c r="M39" i="185"/>
  <c r="O39" i="185"/>
  <c r="Q39" i="185"/>
  <c r="S39" i="185"/>
  <c r="U39" i="185"/>
  <c r="G39" i="186"/>
  <c r="I39" i="186"/>
  <c r="K39" i="186"/>
  <c r="M39" i="186"/>
  <c r="O39" i="186"/>
  <c r="Q39" i="186"/>
  <c r="S39" i="186"/>
  <c r="U39" i="186"/>
  <c r="G45" i="160"/>
  <c r="I38" i="163"/>
  <c r="K38" i="163"/>
  <c r="M38" i="163"/>
  <c r="U38" i="172"/>
  <c r="I38" i="176"/>
  <c r="K38" i="176"/>
  <c r="M38" i="176"/>
  <c r="O38" i="176"/>
  <c r="Q38" i="176"/>
  <c r="S38" i="176"/>
  <c r="U38" i="176"/>
  <c r="G38" i="180"/>
  <c r="I38" i="180"/>
  <c r="K38" i="180"/>
  <c r="M38" i="180"/>
  <c r="O38" i="180"/>
  <c r="Q38" i="180"/>
  <c r="S38" i="180"/>
  <c r="U38" i="180"/>
  <c r="I38" i="183"/>
  <c r="K38" i="183"/>
  <c r="M38" i="183"/>
  <c r="G38" i="185"/>
  <c r="I38" i="185"/>
  <c r="K38" i="185"/>
  <c r="M38" i="185"/>
  <c r="E38" i="189"/>
  <c r="G38" i="189"/>
  <c r="I38" i="189"/>
  <c r="K38" i="189"/>
  <c r="M38" i="189"/>
  <c r="O38" i="189"/>
  <c r="U38" i="188"/>
  <c r="I37" i="163"/>
  <c r="G37" i="164"/>
  <c r="G45" i="167"/>
  <c r="G37" i="168"/>
  <c r="I37" i="183"/>
  <c r="G41" i="158"/>
  <c r="G40" i="160"/>
  <c r="G40" i="161"/>
  <c r="G40" i="164"/>
  <c r="G40" i="165"/>
  <c r="G40" i="167"/>
  <c r="G40" i="168"/>
  <c r="G40" i="169"/>
  <c r="G45" i="169"/>
  <c r="G40" i="170"/>
  <c r="G40" i="171"/>
  <c r="G40" i="172"/>
  <c r="G40" i="173"/>
  <c r="G45" i="173"/>
  <c r="G40" i="174"/>
  <c r="G40" i="175"/>
  <c r="G40" i="178"/>
  <c r="G40" i="179"/>
  <c r="G40" i="180"/>
  <c r="G40" i="181"/>
  <c r="G40" i="182"/>
  <c r="G40" i="183"/>
  <c r="G40" i="184"/>
  <c r="G40" i="185"/>
  <c r="G40" i="186"/>
  <c r="G40" i="187"/>
  <c r="G40" i="189"/>
  <c r="G40" i="188"/>
  <c r="G45" i="188"/>
  <c r="G40" i="191"/>
  <c r="G40" i="159"/>
  <c r="E45" i="160"/>
  <c r="E45" i="161"/>
  <c r="E37" i="162"/>
  <c r="E38" i="162"/>
  <c r="E39" i="162"/>
  <c r="E45" i="162"/>
  <c r="E45" i="164"/>
  <c r="E45" i="165"/>
  <c r="E45" i="168"/>
  <c r="E45" i="169"/>
  <c r="E45" i="171"/>
  <c r="E45" i="172"/>
  <c r="E45" i="173"/>
  <c r="E45" i="174"/>
  <c r="E45" i="175"/>
  <c r="E37" i="177"/>
  <c r="E38" i="177"/>
  <c r="E39" i="177"/>
  <c r="E45" i="177"/>
  <c r="E45" i="179"/>
  <c r="E45" i="182"/>
  <c r="E45" i="183"/>
  <c r="E45" i="188"/>
  <c r="E41" i="158"/>
  <c r="E41" i="160"/>
  <c r="E41" i="161"/>
  <c r="E41" i="162"/>
  <c r="E41" i="164"/>
  <c r="E41" i="165"/>
  <c r="E41" i="168"/>
  <c r="E41" i="169"/>
  <c r="E41" i="171"/>
  <c r="E41" i="172"/>
  <c r="E41" i="173"/>
  <c r="E41" i="174"/>
  <c r="E41" i="175"/>
  <c r="E41" i="177"/>
  <c r="E41" i="182"/>
  <c r="E41" i="183"/>
  <c r="E41" i="189"/>
  <c r="E41" i="188"/>
  <c r="E40" i="160"/>
  <c r="E40" i="161"/>
  <c r="E40" i="162"/>
  <c r="E40" i="164"/>
  <c r="E40" i="165"/>
  <c r="E40" i="168"/>
  <c r="E40" i="169"/>
  <c r="E40" i="171"/>
  <c r="E40" i="172"/>
  <c r="E40" i="173"/>
  <c r="E40" i="174"/>
  <c r="E40" i="175"/>
  <c r="E40" i="176"/>
  <c r="E40" i="177"/>
  <c r="E40" i="178"/>
  <c r="E40" i="179"/>
  <c r="E40" i="182"/>
  <c r="E40" i="183"/>
  <c r="E40" i="184"/>
  <c r="E40" i="187"/>
  <c r="E40" i="189"/>
  <c r="E40" i="188"/>
  <c r="E40" i="159"/>
  <c r="E38" i="15"/>
  <c r="E38" i="176"/>
  <c r="E39" i="176"/>
  <c r="E38" i="178"/>
  <c r="G38" i="178"/>
  <c r="I38" i="178"/>
  <c r="K38" i="178"/>
  <c r="M38" i="178"/>
  <c r="O38" i="178"/>
  <c r="Q38" i="178"/>
  <c r="S38" i="178"/>
  <c r="U38" i="178"/>
  <c r="E39" i="178"/>
  <c r="G39" i="178"/>
  <c r="I39" i="178"/>
  <c r="K39" i="178"/>
  <c r="M39" i="178"/>
  <c r="O39" i="178"/>
  <c r="Q39" i="178"/>
  <c r="S39" i="178"/>
  <c r="U39" i="178"/>
  <c r="I39" i="181"/>
  <c r="K39" i="181"/>
  <c r="M39" i="181"/>
  <c r="O39" i="181"/>
  <c r="Q39" i="181"/>
  <c r="S39" i="181"/>
  <c r="U39" i="181"/>
  <c r="M38" i="184"/>
  <c r="O38" i="184"/>
  <c r="Q38" i="184"/>
  <c r="S38" i="184"/>
  <c r="U38" i="184"/>
  <c r="E39" i="189"/>
  <c r="G39" i="189"/>
  <c r="I39" i="189"/>
  <c r="K39" i="189"/>
  <c r="M39" i="189"/>
  <c r="O39" i="189"/>
  <c r="Q39" i="189"/>
  <c r="S39" i="189"/>
  <c r="U39" i="189"/>
  <c r="U38" i="190"/>
  <c r="U39" i="190"/>
  <c r="U38" i="191"/>
  <c r="U38" i="159"/>
  <c r="I37" i="15"/>
  <c r="K37" i="15"/>
  <c r="M37" i="15"/>
  <c r="O37" i="15"/>
  <c r="Q37" i="15"/>
  <c r="S37" i="15"/>
  <c r="U37" i="15"/>
  <c r="E37" i="176"/>
  <c r="E41" i="176"/>
  <c r="E37" i="178"/>
  <c r="E41" i="179"/>
  <c r="E37" i="187"/>
  <c r="E45" i="187"/>
  <c r="E45" i="189"/>
  <c r="U31" i="158"/>
  <c r="S31" i="158"/>
  <c r="Q31" i="158"/>
  <c r="O31" i="158"/>
  <c r="M31" i="158"/>
  <c r="K31" i="158"/>
  <c r="I31" i="158"/>
  <c r="G31" i="158"/>
  <c r="E31" i="158"/>
  <c r="U31" i="161"/>
  <c r="S31" i="161"/>
  <c r="Q31" i="161"/>
  <c r="O31" i="161"/>
  <c r="M31" i="161"/>
  <c r="K31" i="161"/>
  <c r="I31" i="161"/>
  <c r="G31" i="161"/>
  <c r="E31" i="161"/>
  <c r="U31" i="163"/>
  <c r="S31" i="163"/>
  <c r="Q31" i="163"/>
  <c r="O31" i="163"/>
  <c r="M31" i="163"/>
  <c r="K31" i="163"/>
  <c r="I31" i="163"/>
  <c r="G31" i="163"/>
  <c r="E31" i="163"/>
  <c r="U31" i="164"/>
  <c r="S31" i="164"/>
  <c r="Q31" i="164"/>
  <c r="O31" i="164"/>
  <c r="M31" i="164"/>
  <c r="K31" i="164"/>
  <c r="I31" i="164"/>
  <c r="G31" i="164"/>
  <c r="E31" i="164"/>
  <c r="U31" i="165"/>
  <c r="S31" i="165"/>
  <c r="Q31" i="165"/>
  <c r="O31" i="165"/>
  <c r="M31" i="165"/>
  <c r="K31" i="165"/>
  <c r="I31" i="165"/>
  <c r="G31" i="165"/>
  <c r="E31" i="165"/>
  <c r="G8" i="167"/>
  <c r="I8" i="167"/>
  <c r="K8" i="167"/>
  <c r="M8" i="167"/>
  <c r="O8" i="167"/>
  <c r="Q8" i="167"/>
  <c r="S8" i="167"/>
  <c r="U8" i="167"/>
  <c r="U14" i="167"/>
  <c r="U31" i="167"/>
  <c r="S14" i="167"/>
  <c r="S31" i="167"/>
  <c r="Q14" i="167"/>
  <c r="Q31" i="167"/>
  <c r="O14" i="167"/>
  <c r="O31" i="167"/>
  <c r="M14" i="167"/>
  <c r="M31" i="167"/>
  <c r="K14" i="167"/>
  <c r="K31" i="167"/>
  <c r="I14" i="167"/>
  <c r="I31" i="167"/>
  <c r="G14" i="167"/>
  <c r="G31" i="167"/>
  <c r="E31" i="167"/>
  <c r="U31" i="168"/>
  <c r="S31" i="168"/>
  <c r="Q31" i="168"/>
  <c r="O31" i="168"/>
  <c r="M31" i="168"/>
  <c r="K31" i="168"/>
  <c r="I31" i="168"/>
  <c r="G31" i="168"/>
  <c r="E31" i="168"/>
  <c r="U31" i="169"/>
  <c r="S31" i="169"/>
  <c r="Q31" i="169"/>
  <c r="O31" i="169"/>
  <c r="M31" i="169"/>
  <c r="K31" i="169"/>
  <c r="I31" i="169"/>
  <c r="G31" i="169"/>
  <c r="E31" i="169"/>
  <c r="G8" i="170"/>
  <c r="I8" i="170"/>
  <c r="K8" i="170"/>
  <c r="M8" i="170"/>
  <c r="O8" i="170"/>
  <c r="Q8" i="170"/>
  <c r="S8" i="170"/>
  <c r="U8" i="170"/>
  <c r="U14" i="170"/>
  <c r="U31" i="170"/>
  <c r="S14" i="170"/>
  <c r="S31" i="170"/>
  <c r="Q14" i="170"/>
  <c r="Q31" i="170"/>
  <c r="O14" i="170"/>
  <c r="O31" i="170"/>
  <c r="M14" i="170"/>
  <c r="M31" i="170"/>
  <c r="K14" i="170"/>
  <c r="K31" i="170"/>
  <c r="I14" i="170"/>
  <c r="I31" i="170"/>
  <c r="G14" i="170"/>
  <c r="G31" i="170"/>
  <c r="E31" i="170"/>
  <c r="S31" i="172"/>
  <c r="Q31" i="172"/>
  <c r="O31" i="172"/>
  <c r="M31" i="172"/>
  <c r="K31" i="172"/>
  <c r="I31" i="172"/>
  <c r="G31" i="172"/>
  <c r="E31" i="172"/>
  <c r="U31" i="173"/>
  <c r="S31" i="173"/>
  <c r="Q31" i="173"/>
  <c r="O31" i="173"/>
  <c r="M31" i="173"/>
  <c r="K31" i="173"/>
  <c r="I31" i="173"/>
  <c r="G31" i="173"/>
  <c r="E31" i="173"/>
  <c r="U31" i="174"/>
  <c r="S31" i="174"/>
  <c r="Q31" i="174"/>
  <c r="O31" i="174"/>
  <c r="M31" i="174"/>
  <c r="K31" i="174"/>
  <c r="I31" i="174"/>
  <c r="G31" i="174"/>
  <c r="E31" i="174"/>
  <c r="U31" i="175"/>
  <c r="S31" i="175"/>
  <c r="Q31" i="175"/>
  <c r="O31" i="175"/>
  <c r="M31" i="175"/>
  <c r="K31" i="175"/>
  <c r="I31" i="175"/>
  <c r="G31" i="175"/>
  <c r="E31" i="175"/>
  <c r="C31" i="158"/>
  <c r="C31" i="161"/>
  <c r="C31" i="163"/>
  <c r="C31" i="164"/>
  <c r="C31" i="165"/>
  <c r="C31" i="167"/>
  <c r="C31" i="168"/>
  <c r="C31" i="169"/>
  <c r="C31" i="170"/>
  <c r="C31" i="172"/>
  <c r="C31" i="173"/>
  <c r="C31" i="174"/>
  <c r="C31" i="175"/>
  <c r="G21" i="158"/>
  <c r="I21" i="158"/>
  <c r="K21" i="158"/>
  <c r="M21" i="158"/>
  <c r="O21" i="158"/>
  <c r="Q21" i="158"/>
  <c r="S21" i="158"/>
  <c r="U21" i="158"/>
  <c r="G21" i="159"/>
  <c r="I21" i="159"/>
  <c r="K21" i="159"/>
  <c r="M21" i="159"/>
  <c r="O21" i="159"/>
  <c r="Q21" i="159"/>
  <c r="S21" i="159"/>
  <c r="U21" i="159"/>
  <c r="G21" i="160"/>
  <c r="I21" i="160"/>
  <c r="K21" i="160"/>
  <c r="M21" i="160"/>
  <c r="O21" i="160"/>
  <c r="Q21" i="160"/>
  <c r="S21" i="160"/>
  <c r="U21" i="160"/>
  <c r="G21" i="161"/>
  <c r="I21" i="161"/>
  <c r="K21" i="161"/>
  <c r="M21" i="161"/>
  <c r="O21" i="161"/>
  <c r="Q21" i="161"/>
  <c r="S21" i="161"/>
  <c r="U21" i="161"/>
  <c r="G21" i="162"/>
  <c r="I21" i="162"/>
  <c r="K21" i="162"/>
  <c r="M21" i="162"/>
  <c r="O21" i="162"/>
  <c r="Q21" i="162"/>
  <c r="S21" i="162"/>
  <c r="U21" i="162"/>
  <c r="G21" i="164"/>
  <c r="I21" i="164"/>
  <c r="K21" i="164"/>
  <c r="M21" i="164"/>
  <c r="O21" i="164"/>
  <c r="Q21" i="164"/>
  <c r="S21" i="164"/>
  <c r="U21" i="164"/>
  <c r="G21" i="165"/>
  <c r="I21" i="165"/>
  <c r="K21" i="165"/>
  <c r="M21" i="165"/>
  <c r="O21" i="165"/>
  <c r="Q21" i="165"/>
  <c r="S21" i="165"/>
  <c r="U21" i="165"/>
  <c r="G21" i="171"/>
  <c r="I21" i="171"/>
  <c r="K21" i="171"/>
  <c r="M21" i="171"/>
  <c r="O21" i="171"/>
  <c r="Q21" i="171"/>
  <c r="S21" i="171"/>
  <c r="U21" i="171"/>
  <c r="G21" i="173"/>
  <c r="I21" i="173"/>
  <c r="K21" i="173"/>
  <c r="M21" i="173"/>
  <c r="O21" i="173"/>
  <c r="Q21" i="173"/>
  <c r="S21" i="173"/>
  <c r="U21" i="173"/>
  <c r="U21" i="176"/>
  <c r="G21" i="177"/>
  <c r="I21" i="177"/>
  <c r="K21" i="177"/>
  <c r="M21" i="177"/>
  <c r="O21" i="177"/>
  <c r="Q21" i="177"/>
  <c r="S21" i="177"/>
  <c r="U21" i="177"/>
  <c r="G21" i="178"/>
  <c r="I21" i="178"/>
  <c r="K21" i="178"/>
  <c r="M21" i="178"/>
  <c r="O21" i="178"/>
  <c r="Q21" i="178"/>
  <c r="S21" i="178"/>
  <c r="U21" i="178"/>
  <c r="U21" i="180"/>
  <c r="G21" i="181"/>
  <c r="I21" i="181"/>
  <c r="K21" i="181"/>
  <c r="M21" i="181"/>
  <c r="O21" i="181"/>
  <c r="Q21" i="181"/>
  <c r="S21" i="181"/>
  <c r="U21" i="181"/>
  <c r="G21" i="182"/>
  <c r="I21" i="182"/>
  <c r="K21" i="182"/>
  <c r="M21" i="182"/>
  <c r="O21" i="182"/>
  <c r="Q21" i="182"/>
  <c r="S21" i="182"/>
  <c r="U21" i="182"/>
  <c r="G21" i="183"/>
  <c r="I21" i="183"/>
  <c r="K21" i="183"/>
  <c r="M21" i="183"/>
  <c r="O21" i="183"/>
  <c r="Q21" i="183"/>
  <c r="S21" i="183"/>
  <c r="U21" i="183"/>
  <c r="G21" i="184"/>
  <c r="I21" i="184"/>
  <c r="K21" i="184"/>
  <c r="M21" i="184"/>
  <c r="O21" i="184"/>
  <c r="Q21" i="184"/>
  <c r="S21" i="184"/>
  <c r="U21" i="184"/>
  <c r="U21" i="185"/>
  <c r="G21" i="186"/>
  <c r="I21" i="186"/>
  <c r="K21" i="186"/>
  <c r="M21" i="186"/>
  <c r="O21" i="186"/>
  <c r="Q21" i="186"/>
  <c r="S21" i="186"/>
  <c r="U21" i="186"/>
  <c r="G21" i="189"/>
  <c r="I21" i="189"/>
  <c r="K21" i="189"/>
  <c r="M21" i="189"/>
  <c r="O21" i="189"/>
  <c r="Q21" i="189"/>
  <c r="S21" i="189"/>
  <c r="U21" i="189"/>
  <c r="G21" i="188"/>
  <c r="I21" i="188"/>
  <c r="K21" i="188"/>
  <c r="M21" i="188"/>
  <c r="O21" i="188"/>
  <c r="Q21" i="188"/>
  <c r="S21" i="188"/>
  <c r="U21" i="188"/>
  <c r="G21" i="190"/>
  <c r="I21" i="190"/>
  <c r="K21" i="190"/>
  <c r="M21" i="190"/>
  <c r="O21" i="190"/>
  <c r="Q21" i="190"/>
  <c r="S21" i="190"/>
  <c r="U21" i="190"/>
  <c r="G21" i="191"/>
  <c r="I21" i="191"/>
  <c r="K21" i="191"/>
  <c r="M21" i="191"/>
  <c r="O21" i="191"/>
  <c r="Q21" i="191"/>
  <c r="S21" i="191"/>
  <c r="U21" i="191"/>
  <c r="U21" i="15"/>
  <c r="E19" i="161"/>
  <c r="E19" i="164"/>
  <c r="E19" i="165"/>
  <c r="E19" i="173"/>
  <c r="E19" i="174"/>
  <c r="C20" i="159"/>
  <c r="C19" i="159"/>
  <c r="C20" i="118"/>
  <c r="C45" i="160"/>
  <c r="C45" i="161"/>
  <c r="C45" i="162"/>
  <c r="C45" i="163"/>
  <c r="C45" i="164"/>
  <c r="C45" i="165"/>
  <c r="C45" i="167"/>
  <c r="C45" i="168"/>
  <c r="C45" i="169"/>
  <c r="C45" i="170"/>
  <c r="C45" i="171"/>
  <c r="C45" i="172"/>
  <c r="C45" i="173"/>
  <c r="C45" i="174"/>
  <c r="C45" i="175"/>
  <c r="C45" i="176"/>
  <c r="C45" i="177"/>
  <c r="C45" i="178"/>
  <c r="C45" i="179"/>
  <c r="C45" i="180"/>
  <c r="C45" i="182"/>
  <c r="C45" i="183"/>
  <c r="C45" i="184"/>
  <c r="C45" i="185"/>
  <c r="C45" i="186"/>
  <c r="C45" i="187"/>
  <c r="C45" i="188"/>
  <c r="C45" i="159"/>
  <c r="C41" i="160"/>
  <c r="C41" i="161"/>
  <c r="C41" i="162"/>
  <c r="C41" i="163"/>
  <c r="C41" i="164"/>
  <c r="C41" i="165"/>
  <c r="C41" i="167"/>
  <c r="C41" i="168"/>
  <c r="C41" i="169"/>
  <c r="C41" i="170"/>
  <c r="C41" i="171"/>
  <c r="C41" i="172"/>
  <c r="C41" i="173"/>
  <c r="C41" i="174"/>
  <c r="C41" i="175"/>
  <c r="C41" i="176"/>
  <c r="C41" i="177"/>
  <c r="C41" i="178"/>
  <c r="C41" i="179"/>
  <c r="C41" i="180"/>
  <c r="C41" i="182"/>
  <c r="C41" i="183"/>
  <c r="C41" i="184"/>
  <c r="C41" i="185"/>
  <c r="C41" i="186"/>
  <c r="C41" i="187"/>
  <c r="C41" i="188"/>
  <c r="C41" i="159"/>
  <c r="C40" i="160"/>
  <c r="C40" i="161"/>
  <c r="C40" i="162"/>
  <c r="C40" i="163"/>
  <c r="C40" i="164"/>
  <c r="C40" i="165"/>
  <c r="C40" i="167"/>
  <c r="C40" i="168"/>
  <c r="C40" i="169"/>
  <c r="C40" i="170"/>
  <c r="C40" i="171"/>
  <c r="C40" i="172"/>
  <c r="C40" i="173"/>
  <c r="C40" i="174"/>
  <c r="C40" i="175"/>
  <c r="C40" i="176"/>
  <c r="C40" i="177"/>
  <c r="C40" i="178"/>
  <c r="C40" i="179"/>
  <c r="C40" i="180"/>
  <c r="C40" i="182"/>
  <c r="C40" i="183"/>
  <c r="C40" i="184"/>
  <c r="C40" i="185"/>
  <c r="C40" i="186"/>
  <c r="C40" i="187"/>
  <c r="C40" i="188"/>
  <c r="C40" i="159"/>
  <c r="C41" i="158"/>
  <c r="K37" i="177"/>
  <c r="G45" i="172"/>
  <c r="U38" i="169"/>
  <c r="U39" i="159"/>
  <c r="O40" i="118"/>
  <c r="I41" i="165"/>
  <c r="I41" i="162"/>
  <c r="U37" i="162"/>
  <c r="I45" i="162"/>
  <c r="K39" i="162"/>
  <c r="M39" i="162"/>
  <c r="O39" i="162"/>
  <c r="Q39" i="162"/>
  <c r="S39" i="162"/>
  <c r="U39" i="162"/>
  <c r="E19" i="158"/>
  <c r="K36" i="189"/>
  <c r="I41" i="188"/>
  <c r="G37" i="178"/>
  <c r="E41" i="178"/>
  <c r="G45" i="168"/>
  <c r="I37" i="168"/>
  <c r="G45" i="164"/>
  <c r="I37" i="164"/>
  <c r="E41" i="159"/>
  <c r="E45" i="159"/>
  <c r="G41" i="159"/>
  <c r="I41" i="175"/>
  <c r="G45" i="175"/>
  <c r="I45" i="175"/>
  <c r="I45" i="173"/>
  <c r="K36" i="188"/>
  <c r="K45" i="188"/>
  <c r="G20" i="173"/>
  <c r="I20" i="173"/>
  <c r="G20" i="175"/>
  <c r="E19" i="175"/>
  <c r="G20" i="172"/>
  <c r="E19" i="172"/>
  <c r="U25" i="194"/>
  <c r="I41" i="169"/>
  <c r="K45" i="169"/>
  <c r="I41" i="118"/>
  <c r="I45" i="118"/>
  <c r="M36" i="190"/>
  <c r="I37" i="186"/>
  <c r="I41" i="183"/>
  <c r="K37" i="183"/>
  <c r="I45" i="183"/>
  <c r="G45" i="183"/>
  <c r="M41" i="188"/>
  <c r="K41" i="188"/>
  <c r="G20" i="174"/>
  <c r="E19" i="159"/>
  <c r="I37" i="181"/>
  <c r="G45" i="181"/>
  <c r="I38" i="181"/>
  <c r="K38" i="181"/>
  <c r="M38" i="181"/>
  <c r="O38" i="181"/>
  <c r="Q38" i="181"/>
  <c r="S38" i="181"/>
  <c r="U38" i="181"/>
  <c r="I41" i="191"/>
  <c r="G45" i="191"/>
  <c r="G45" i="189"/>
  <c r="I41" i="189"/>
  <c r="G37" i="187"/>
  <c r="I37" i="187"/>
  <c r="E41" i="187"/>
  <c r="I45" i="187"/>
  <c r="G37" i="185"/>
  <c r="I41" i="184"/>
  <c r="E45" i="184"/>
  <c r="E41" i="184"/>
  <c r="G45" i="184"/>
  <c r="G45" i="180"/>
  <c r="M37" i="180"/>
  <c r="O37" i="180"/>
  <c r="I39" i="180"/>
  <c r="K39" i="180"/>
  <c r="M39" i="180"/>
  <c r="O39" i="180"/>
  <c r="Q39" i="180"/>
  <c r="S39" i="180"/>
  <c r="U39" i="180"/>
  <c r="I41" i="179"/>
  <c r="G45" i="179"/>
  <c r="I39" i="179"/>
  <c r="E45" i="178"/>
  <c r="E45" i="176"/>
  <c r="M45" i="170"/>
  <c r="M41" i="170"/>
  <c r="O37" i="170"/>
  <c r="O41" i="170"/>
  <c r="M37" i="167"/>
  <c r="M41" i="167"/>
  <c r="K41" i="167"/>
  <c r="I45" i="167"/>
  <c r="I45" i="163"/>
  <c r="K37" i="163"/>
  <c r="Q38" i="189"/>
  <c r="S38" i="189"/>
  <c r="U38" i="189"/>
  <c r="O38" i="187"/>
  <c r="Q38" i="187"/>
  <c r="S38" i="187"/>
  <c r="U38" i="187"/>
  <c r="Q37" i="158"/>
  <c r="O41" i="158"/>
  <c r="O37" i="182"/>
  <c r="M45" i="182"/>
  <c r="M41" i="182"/>
  <c r="M41" i="180"/>
  <c r="O38" i="185"/>
  <c r="Q38" i="185"/>
  <c r="S38" i="185"/>
  <c r="U38" i="185"/>
  <c r="O38" i="183"/>
  <c r="Q38" i="183"/>
  <c r="S38" i="183"/>
  <c r="U38" i="183"/>
  <c r="U38" i="179"/>
  <c r="O38" i="177"/>
  <c r="Q38" i="177"/>
  <c r="S38" i="177"/>
  <c r="U38" i="177"/>
  <c r="U38" i="175"/>
  <c r="U38" i="173"/>
  <c r="O37" i="160"/>
  <c r="M45" i="160"/>
  <c r="M41" i="160"/>
  <c r="O37" i="167"/>
  <c r="M45" i="167"/>
  <c r="O45" i="171"/>
  <c r="O41" i="171"/>
  <c r="M41" i="171"/>
  <c r="Q37" i="171"/>
  <c r="Q37" i="161"/>
  <c r="O38" i="161"/>
  <c r="O45" i="161"/>
  <c r="O38" i="170"/>
  <c r="Q38" i="170"/>
  <c r="S38" i="170"/>
  <c r="U38" i="170"/>
  <c r="O38" i="168"/>
  <c r="Q38" i="168"/>
  <c r="S38" i="168"/>
  <c r="U38" i="168"/>
  <c r="U38" i="165"/>
  <c r="O38" i="163"/>
  <c r="Q38" i="163"/>
  <c r="S38" i="163"/>
  <c r="U38" i="163"/>
  <c r="Q38" i="161"/>
  <c r="S38" i="161"/>
  <c r="U38" i="161"/>
  <c r="M41" i="158"/>
  <c r="K45" i="171"/>
  <c r="K45" i="167"/>
  <c r="K45" i="182"/>
  <c r="K45" i="170"/>
  <c r="K45" i="165"/>
  <c r="K45" i="161"/>
  <c r="K45" i="160"/>
  <c r="K40" i="159"/>
  <c r="K41" i="182"/>
  <c r="K41" i="180"/>
  <c r="K41" i="170"/>
  <c r="K41" i="165"/>
  <c r="K41" i="161"/>
  <c r="I45" i="182"/>
  <c r="I45" i="188"/>
  <c r="I45" i="177"/>
  <c r="I45" i="169"/>
  <c r="I45" i="164"/>
  <c r="I45" i="160"/>
  <c r="I40" i="159"/>
  <c r="I41" i="182"/>
  <c r="I41" i="168"/>
  <c r="I41" i="163"/>
  <c r="I45" i="184"/>
  <c r="I45" i="174"/>
  <c r="I45" i="172"/>
  <c r="I45" i="170"/>
  <c r="I45" i="165"/>
  <c r="I45" i="161"/>
  <c r="G45" i="186"/>
  <c r="G45" i="182"/>
  <c r="G45" i="178"/>
  <c r="G45" i="174"/>
  <c r="G45" i="170"/>
  <c r="G45" i="165"/>
  <c r="G45" i="161"/>
  <c r="G41" i="189"/>
  <c r="G41" i="186"/>
  <c r="G41" i="184"/>
  <c r="G41" i="182"/>
  <c r="G41" i="180"/>
  <c r="G41" i="178"/>
  <c r="G41" i="174"/>
  <c r="G41" i="172"/>
  <c r="G41" i="170"/>
  <c r="G41" i="168"/>
  <c r="G41" i="165"/>
  <c r="G41" i="161"/>
  <c r="G41" i="191"/>
  <c r="G41" i="188"/>
  <c r="G41" i="187"/>
  <c r="G41" i="183"/>
  <c r="G41" i="181"/>
  <c r="G41" i="179"/>
  <c r="G41" i="175"/>
  <c r="G41" i="173"/>
  <c r="G41" i="171"/>
  <c r="G41" i="169"/>
  <c r="G41" i="167"/>
  <c r="G41" i="164"/>
  <c r="G41" i="160"/>
  <c r="M37" i="177"/>
  <c r="K41" i="177"/>
  <c r="K45" i="177"/>
  <c r="K41" i="163"/>
  <c r="K45" i="162"/>
  <c r="K41" i="162"/>
  <c r="G19" i="173"/>
  <c r="I20" i="174"/>
  <c r="G19" i="174"/>
  <c r="M36" i="189"/>
  <c r="K40" i="189"/>
  <c r="M40" i="159"/>
  <c r="I37" i="178"/>
  <c r="I45" i="168"/>
  <c r="K37" i="168"/>
  <c r="I41" i="164"/>
  <c r="K37" i="164"/>
  <c r="G45" i="159"/>
  <c r="K41" i="175"/>
  <c r="K45" i="175"/>
  <c r="I41" i="174"/>
  <c r="I41" i="173"/>
  <c r="I41" i="172"/>
  <c r="M36" i="188"/>
  <c r="K40" i="188"/>
  <c r="I20" i="175"/>
  <c r="G19" i="175"/>
  <c r="K20" i="173"/>
  <c r="I19" i="173"/>
  <c r="I20" i="172"/>
  <c r="G19" i="172"/>
  <c r="I41" i="186"/>
  <c r="I45" i="186"/>
  <c r="K45" i="183"/>
  <c r="K41" i="169"/>
  <c r="K45" i="118"/>
  <c r="K41" i="118"/>
  <c r="I45" i="190"/>
  <c r="O36" i="190"/>
  <c r="M40" i="190"/>
  <c r="K37" i="186"/>
  <c r="Q40" i="118"/>
  <c r="M37" i="183"/>
  <c r="K41" i="183"/>
  <c r="O41" i="188"/>
  <c r="K37" i="181"/>
  <c r="I41" i="181"/>
  <c r="I45" i="181"/>
  <c r="K41" i="191"/>
  <c r="I45" i="191"/>
  <c r="I41" i="190"/>
  <c r="I45" i="189"/>
  <c r="I41" i="187"/>
  <c r="K37" i="187"/>
  <c r="G45" i="187"/>
  <c r="I37" i="185"/>
  <c r="G45" i="185"/>
  <c r="G41" i="185"/>
  <c r="M37" i="184"/>
  <c r="K45" i="184"/>
  <c r="K41" i="184"/>
  <c r="I45" i="180"/>
  <c r="M45" i="180"/>
  <c r="K45" i="180"/>
  <c r="K41" i="179"/>
  <c r="I45" i="179"/>
  <c r="K39" i="179"/>
  <c r="I37" i="176"/>
  <c r="Q37" i="170"/>
  <c r="M37" i="163"/>
  <c r="K45" i="163"/>
  <c r="Q45" i="170"/>
  <c r="Q41" i="170"/>
  <c r="S37" i="170"/>
  <c r="O45" i="160"/>
  <c r="O41" i="160"/>
  <c r="Q37" i="160"/>
  <c r="S37" i="158"/>
  <c r="Q41" i="158"/>
  <c r="Q45" i="161"/>
  <c r="Q41" i="161"/>
  <c r="S37" i="161"/>
  <c r="S37" i="171"/>
  <c r="Q45" i="171"/>
  <c r="Q41" i="171"/>
  <c r="O45" i="167"/>
  <c r="O41" i="167"/>
  <c r="Q37" i="167"/>
  <c r="O45" i="180"/>
  <c r="O41" i="180"/>
  <c r="Q37" i="180"/>
  <c r="O45" i="170"/>
  <c r="O45" i="182"/>
  <c r="O41" i="182"/>
  <c r="Q37" i="182"/>
  <c r="M41" i="177"/>
  <c r="O37" i="177"/>
  <c r="M45" i="177"/>
  <c r="Q36" i="190"/>
  <c r="M41" i="165"/>
  <c r="M45" i="165"/>
  <c r="M45" i="162"/>
  <c r="M41" i="162"/>
  <c r="K20" i="174"/>
  <c r="I19" i="174"/>
  <c r="O36" i="189"/>
  <c r="M40" i="189"/>
  <c r="O40" i="159"/>
  <c r="K37" i="178"/>
  <c r="I45" i="178"/>
  <c r="I41" i="178"/>
  <c r="M37" i="168"/>
  <c r="K45" i="168"/>
  <c r="K41" i="168"/>
  <c r="K41" i="164"/>
  <c r="M37" i="164"/>
  <c r="K45" i="164"/>
  <c r="I41" i="159"/>
  <c r="I45" i="159"/>
  <c r="M41" i="175"/>
  <c r="M45" i="175"/>
  <c r="K45" i="174"/>
  <c r="K41" i="174"/>
  <c r="K41" i="173"/>
  <c r="K45" i="173"/>
  <c r="K45" i="172"/>
  <c r="K41" i="172"/>
  <c r="O36" i="188"/>
  <c r="M40" i="188"/>
  <c r="M45" i="188"/>
  <c r="K20" i="175"/>
  <c r="I19" i="175"/>
  <c r="M20" i="173"/>
  <c r="K19" i="173"/>
  <c r="K20" i="172"/>
  <c r="I19" i="172"/>
  <c r="M41" i="169"/>
  <c r="M45" i="169"/>
  <c r="M41" i="118"/>
  <c r="M45" i="118"/>
  <c r="O40" i="190"/>
  <c r="M37" i="186"/>
  <c r="K41" i="186"/>
  <c r="K45" i="186"/>
  <c r="S40" i="118"/>
  <c r="U36" i="118"/>
  <c r="M41" i="183"/>
  <c r="O37" i="183"/>
  <c r="M45" i="183"/>
  <c r="Q41" i="188"/>
  <c r="K41" i="181"/>
  <c r="M37" i="181"/>
  <c r="K45" i="181"/>
  <c r="M41" i="191"/>
  <c r="U39" i="191"/>
  <c r="K45" i="191"/>
  <c r="K45" i="190"/>
  <c r="K41" i="190"/>
  <c r="K45" i="189"/>
  <c r="K41" i="189"/>
  <c r="M37" i="187"/>
  <c r="K41" i="187"/>
  <c r="K45" i="187"/>
  <c r="K37" i="185"/>
  <c r="I41" i="185"/>
  <c r="I45" i="185"/>
  <c r="O37" i="184"/>
  <c r="M45" i="184"/>
  <c r="M41" i="184"/>
  <c r="M39" i="179"/>
  <c r="O39" i="179"/>
  <c r="Q39" i="179"/>
  <c r="S39" i="179"/>
  <c r="U39" i="179"/>
  <c r="K45" i="179"/>
  <c r="M41" i="179"/>
  <c r="M45" i="179"/>
  <c r="K37" i="176"/>
  <c r="I45" i="176"/>
  <c r="I41" i="176"/>
  <c r="M41" i="163"/>
  <c r="O37" i="163"/>
  <c r="M45" i="163"/>
  <c r="S37" i="182"/>
  <c r="Q45" i="182"/>
  <c r="Q41" i="182"/>
  <c r="S37" i="180"/>
  <c r="Q45" i="180"/>
  <c r="Q41" i="180"/>
  <c r="S45" i="171"/>
  <c r="S41" i="171"/>
  <c r="U37" i="171"/>
  <c r="U37" i="161"/>
  <c r="S45" i="161"/>
  <c r="S41" i="161"/>
  <c r="U37" i="158"/>
  <c r="U41" i="158"/>
  <c r="S41" i="158"/>
  <c r="U37" i="170"/>
  <c r="S45" i="170"/>
  <c r="S41" i="170"/>
  <c r="S37" i="167"/>
  <c r="Q45" i="167"/>
  <c r="Q41" i="167"/>
  <c r="S37" i="160"/>
  <c r="Q45" i="160"/>
  <c r="Q41" i="160"/>
  <c r="O41" i="177"/>
  <c r="Q37" i="177"/>
  <c r="O45" i="177"/>
  <c r="O41" i="165"/>
  <c r="O45" i="165"/>
  <c r="O45" i="162"/>
  <c r="O41" i="162"/>
  <c r="M20" i="174"/>
  <c r="K19" i="174"/>
  <c r="Q36" i="189"/>
  <c r="O40" i="189"/>
  <c r="Q40" i="159"/>
  <c r="S36" i="159"/>
  <c r="M37" i="178"/>
  <c r="K45" i="178"/>
  <c r="K41" i="178"/>
  <c r="M41" i="168"/>
  <c r="O37" i="168"/>
  <c r="M45" i="168"/>
  <c r="M41" i="164"/>
  <c r="O37" i="164"/>
  <c r="M45" i="164"/>
  <c r="K41" i="159"/>
  <c r="K45" i="159"/>
  <c r="O41" i="175"/>
  <c r="O45" i="175"/>
  <c r="M45" i="174"/>
  <c r="M41" i="174"/>
  <c r="M41" i="173"/>
  <c r="M45" i="173"/>
  <c r="M45" i="172"/>
  <c r="M41" i="172"/>
  <c r="Q36" i="188"/>
  <c r="O40" i="188"/>
  <c r="O45" i="188"/>
  <c r="M20" i="175"/>
  <c r="K19" i="175"/>
  <c r="O20" i="173"/>
  <c r="M19" i="173"/>
  <c r="M20" i="172"/>
  <c r="K19" i="172"/>
  <c r="O45" i="169"/>
  <c r="O41" i="169"/>
  <c r="O41" i="118"/>
  <c r="O45" i="118"/>
  <c r="S36" i="190"/>
  <c r="Q40" i="190"/>
  <c r="O37" i="186"/>
  <c r="M41" i="186"/>
  <c r="M45" i="186"/>
  <c r="U40" i="118"/>
  <c r="Q37" i="183"/>
  <c r="O41" i="183"/>
  <c r="O45" i="183"/>
  <c r="U37" i="188"/>
  <c r="S41" i="188"/>
  <c r="M45" i="191"/>
  <c r="M41" i="181"/>
  <c r="O37" i="181"/>
  <c r="M45" i="181"/>
  <c r="O41" i="191"/>
  <c r="O45" i="191"/>
  <c r="M45" i="190"/>
  <c r="M41" i="190"/>
  <c r="M45" i="189"/>
  <c r="M41" i="189"/>
  <c r="M41" i="187"/>
  <c r="O37" i="187"/>
  <c r="M45" i="187"/>
  <c r="M37" i="185"/>
  <c r="K41" i="185"/>
  <c r="K45" i="185"/>
  <c r="O41" i="184"/>
  <c r="Q37" i="184"/>
  <c r="O45" i="184"/>
  <c r="O41" i="179"/>
  <c r="O45" i="179"/>
  <c r="K45" i="176"/>
  <c r="M37" i="176"/>
  <c r="K41" i="176"/>
  <c r="O41" i="163"/>
  <c r="Q37" i="163"/>
  <c r="O45" i="163"/>
  <c r="S45" i="182"/>
  <c r="S41" i="182"/>
  <c r="U37" i="182"/>
  <c r="S45" i="167"/>
  <c r="S41" i="167"/>
  <c r="U37" i="167"/>
  <c r="U45" i="170"/>
  <c r="U41" i="170"/>
  <c r="U45" i="161"/>
  <c r="U41" i="161"/>
  <c r="S45" i="180"/>
  <c r="S41" i="180"/>
  <c r="U37" i="180"/>
  <c r="S45" i="160"/>
  <c r="S41" i="160"/>
  <c r="U37" i="160"/>
  <c r="U45" i="171"/>
  <c r="U41" i="171"/>
  <c r="Q41" i="177"/>
  <c r="S37" i="177"/>
  <c r="Q45" i="177"/>
  <c r="Q41" i="165"/>
  <c r="Q45" i="165"/>
  <c r="Q45" i="162"/>
  <c r="Q41" i="162"/>
  <c r="O20" i="174"/>
  <c r="M19" i="174"/>
  <c r="S36" i="189"/>
  <c r="Q40" i="189"/>
  <c r="U36" i="159"/>
  <c r="U40" i="159"/>
  <c r="S40" i="159"/>
  <c r="M41" i="178"/>
  <c r="O37" i="178"/>
  <c r="M45" i="178"/>
  <c r="Q37" i="168"/>
  <c r="O41" i="168"/>
  <c r="O45" i="168"/>
  <c r="O41" i="164"/>
  <c r="Q37" i="164"/>
  <c r="O45" i="164"/>
  <c r="M45" i="159"/>
  <c r="M41" i="159"/>
  <c r="Q45" i="175"/>
  <c r="Q41" i="175"/>
  <c r="O45" i="174"/>
  <c r="O41" i="174"/>
  <c r="O41" i="173"/>
  <c r="O45" i="173"/>
  <c r="O41" i="172"/>
  <c r="O45" i="172"/>
  <c r="S36" i="188"/>
  <c r="Q40" i="188"/>
  <c r="Q45" i="188"/>
  <c r="O20" i="175"/>
  <c r="M19" i="175"/>
  <c r="Q20" i="173"/>
  <c r="O19" i="173"/>
  <c r="O20" i="172"/>
  <c r="M19" i="172"/>
  <c r="Q41" i="169"/>
  <c r="Q45" i="169"/>
  <c r="Q41" i="118"/>
  <c r="Q45" i="118"/>
  <c r="U36" i="190"/>
  <c r="S40" i="190"/>
  <c r="O41" i="186"/>
  <c r="Q37" i="186"/>
  <c r="O45" i="186"/>
  <c r="Q41" i="183"/>
  <c r="S37" i="183"/>
  <c r="Q45" i="183"/>
  <c r="U41" i="188"/>
  <c r="O41" i="181"/>
  <c r="Q37" i="181"/>
  <c r="O45" i="181"/>
  <c r="Q45" i="191"/>
  <c r="Q41" i="191"/>
  <c r="O41" i="190"/>
  <c r="O45" i="190"/>
  <c r="O41" i="189"/>
  <c r="O45" i="189"/>
  <c r="Q37" i="187"/>
  <c r="O41" i="187"/>
  <c r="O45" i="187"/>
  <c r="M41" i="185"/>
  <c r="O37" i="185"/>
  <c r="M45" i="185"/>
  <c r="Q41" i="184"/>
  <c r="S37" i="184"/>
  <c r="Q45" i="184"/>
  <c r="Q41" i="179"/>
  <c r="Q45" i="179"/>
  <c r="M45" i="176"/>
  <c r="O37" i="176"/>
  <c r="M41" i="176"/>
  <c r="Q45" i="163"/>
  <c r="S37" i="163"/>
  <c r="Q41" i="163"/>
  <c r="U45" i="180"/>
  <c r="U41" i="180"/>
  <c r="U45" i="160"/>
  <c r="U41" i="160"/>
  <c r="U45" i="167"/>
  <c r="U41" i="167"/>
  <c r="U45" i="182"/>
  <c r="U41" i="182"/>
  <c r="U37" i="177"/>
  <c r="S45" i="177"/>
  <c r="S41" i="177"/>
  <c r="S45" i="165"/>
  <c r="U37" i="165"/>
  <c r="S41" i="165"/>
  <c r="U38" i="162"/>
  <c r="S45" i="162"/>
  <c r="S41" i="162"/>
  <c r="Q20" i="174"/>
  <c r="O19" i="174"/>
  <c r="U36" i="189"/>
  <c r="S40" i="189"/>
  <c r="O45" i="178"/>
  <c r="O41" i="178"/>
  <c r="Q37" i="178"/>
  <c r="S37" i="168"/>
  <c r="Q45" i="168"/>
  <c r="Q41" i="168"/>
  <c r="S37" i="164"/>
  <c r="Q45" i="164"/>
  <c r="Q41" i="164"/>
  <c r="O45" i="159"/>
  <c r="O41" i="159"/>
  <c r="S45" i="175"/>
  <c r="S41" i="175"/>
  <c r="U37" i="175"/>
  <c r="Q45" i="174"/>
  <c r="Q41" i="174"/>
  <c r="Q45" i="173"/>
  <c r="Q41" i="173"/>
  <c r="Q41" i="172"/>
  <c r="Q45" i="172"/>
  <c r="U36" i="188"/>
  <c r="S40" i="188"/>
  <c r="S45" i="188"/>
  <c r="Q20" i="175"/>
  <c r="O19" i="175"/>
  <c r="S20" i="173"/>
  <c r="Q19" i="173"/>
  <c r="Q20" i="172"/>
  <c r="O19" i="172"/>
  <c r="S45" i="169"/>
  <c r="S41" i="169"/>
  <c r="U37" i="169"/>
  <c r="S41" i="118"/>
  <c r="S45" i="118"/>
  <c r="U40" i="190"/>
  <c r="S37" i="186"/>
  <c r="Q45" i="186"/>
  <c r="Q41" i="186"/>
  <c r="S41" i="183"/>
  <c r="U37" i="183"/>
  <c r="S45" i="183"/>
  <c r="Q45" i="181"/>
  <c r="Q41" i="181"/>
  <c r="S37" i="181"/>
  <c r="S41" i="191"/>
  <c r="U37" i="191"/>
  <c r="S45" i="191"/>
  <c r="Q45" i="190"/>
  <c r="Q41" i="190"/>
  <c r="Q41" i="189"/>
  <c r="Q45" i="189"/>
  <c r="S37" i="189"/>
  <c r="Q41" i="187"/>
  <c r="S37" i="187"/>
  <c r="Q45" i="187"/>
  <c r="O41" i="185"/>
  <c r="Q37" i="185"/>
  <c r="O45" i="185"/>
  <c r="U37" i="184"/>
  <c r="S45" i="184"/>
  <c r="S41" i="184"/>
  <c r="S41" i="179"/>
  <c r="U37" i="179"/>
  <c r="S45" i="179"/>
  <c r="O41" i="176"/>
  <c r="O45" i="176"/>
  <c r="Q37" i="176"/>
  <c r="U37" i="163"/>
  <c r="S41" i="163"/>
  <c r="S45" i="163"/>
  <c r="U45" i="177"/>
  <c r="U41" i="177"/>
  <c r="U45" i="165"/>
  <c r="U41" i="165"/>
  <c r="U45" i="162"/>
  <c r="U41" i="162"/>
  <c r="S20" i="174"/>
  <c r="Q19" i="174"/>
  <c r="U40" i="189"/>
  <c r="Q41" i="178"/>
  <c r="Q45" i="178"/>
  <c r="S37" i="178"/>
  <c r="S45" i="168"/>
  <c r="S41" i="168"/>
  <c r="U37" i="168"/>
  <c r="U37" i="164"/>
  <c r="S41" i="164"/>
  <c r="S45" i="164"/>
  <c r="Q41" i="159"/>
  <c r="Q45" i="159"/>
  <c r="U45" i="175"/>
  <c r="U41" i="175"/>
  <c r="U37" i="174"/>
  <c r="S41" i="174"/>
  <c r="S45" i="174"/>
  <c r="U37" i="173"/>
  <c r="S45" i="173"/>
  <c r="S41" i="173"/>
  <c r="S45" i="172"/>
  <c r="U37" i="172"/>
  <c r="S41" i="172"/>
  <c r="U40" i="188"/>
  <c r="U45" i="188"/>
  <c r="S20" i="175"/>
  <c r="Q19" i="175"/>
  <c r="U20" i="173"/>
  <c r="U19" i="173"/>
  <c r="S19" i="173"/>
  <c r="S20" i="172"/>
  <c r="Q19" i="172"/>
  <c r="U45" i="169"/>
  <c r="U41" i="169"/>
  <c r="U41" i="118"/>
  <c r="U45" i="118"/>
  <c r="S45" i="186"/>
  <c r="S41" i="186"/>
  <c r="U37" i="186"/>
  <c r="U45" i="183"/>
  <c r="U41" i="183"/>
  <c r="S41" i="181"/>
  <c r="U37" i="181"/>
  <c r="S45" i="181"/>
  <c r="U45" i="191"/>
  <c r="U41" i="191"/>
  <c r="S45" i="190"/>
  <c r="S41" i="190"/>
  <c r="U37" i="190"/>
  <c r="S41" i="189"/>
  <c r="U37" i="189"/>
  <c r="S45" i="189"/>
  <c r="U37" i="187"/>
  <c r="S41" i="187"/>
  <c r="S45" i="187"/>
  <c r="Q41" i="185"/>
  <c r="S37" i="185"/>
  <c r="Q45" i="185"/>
  <c r="U41" i="184"/>
  <c r="U45" i="184"/>
  <c r="U41" i="179"/>
  <c r="U45" i="179"/>
  <c r="Q45" i="176"/>
  <c r="Q41" i="176"/>
  <c r="S37" i="176"/>
  <c r="U45" i="163"/>
  <c r="U41" i="163"/>
  <c r="U20" i="174"/>
  <c r="U19" i="174"/>
  <c r="S19" i="174"/>
  <c r="S45" i="178"/>
  <c r="S41" i="178"/>
  <c r="U37" i="178"/>
  <c r="U45" i="168"/>
  <c r="U41" i="168"/>
  <c r="U41" i="164"/>
  <c r="U45" i="164"/>
  <c r="S41" i="159"/>
  <c r="S45" i="159"/>
  <c r="U37" i="159"/>
  <c r="U41" i="174"/>
  <c r="U45" i="174"/>
  <c r="U45" i="173"/>
  <c r="U41" i="173"/>
  <c r="U41" i="172"/>
  <c r="U45" i="172"/>
  <c r="U20" i="175"/>
  <c r="U19" i="175"/>
  <c r="S19" i="175"/>
  <c r="U20" i="172"/>
  <c r="U19" i="172"/>
  <c r="S19" i="172"/>
  <c r="U45" i="186"/>
  <c r="U41" i="186"/>
  <c r="U45" i="181"/>
  <c r="U41" i="181"/>
  <c r="U45" i="190"/>
  <c r="U41" i="190"/>
  <c r="U41" i="189"/>
  <c r="U45" i="189"/>
  <c r="U45" i="187"/>
  <c r="U41" i="187"/>
  <c r="U37" i="185"/>
  <c r="S45" i="185"/>
  <c r="S41" i="185"/>
  <c r="S41" i="176"/>
  <c r="S45" i="176"/>
  <c r="U37" i="176"/>
  <c r="U45" i="178"/>
  <c r="U41" i="178"/>
  <c r="U41" i="159"/>
  <c r="U45" i="159"/>
  <c r="U45" i="185"/>
  <c r="U41" i="185"/>
  <c r="U45" i="176"/>
  <c r="U41" i="176"/>
  <c r="C45" i="118"/>
  <c r="C41" i="118"/>
  <c r="E19" i="118"/>
  <c r="C19" i="118"/>
  <c r="E21" i="118"/>
  <c r="E8" i="181"/>
  <c r="G8" i="181"/>
  <c r="I8" i="181"/>
  <c r="K8" i="181"/>
  <c r="M8" i="181"/>
  <c r="O8" i="181"/>
  <c r="Q8" i="181"/>
  <c r="S8" i="181"/>
  <c r="U8" i="181"/>
  <c r="C8" i="118"/>
  <c r="E8" i="118"/>
  <c r="G8" i="118"/>
  <c r="I8" i="118"/>
  <c r="K8" i="118"/>
  <c r="M8" i="118"/>
  <c r="O8" i="118"/>
  <c r="Q8" i="118"/>
  <c r="S8" i="118"/>
  <c r="U8" i="118"/>
  <c r="E8" i="178"/>
  <c r="G8" i="178"/>
  <c r="I8" i="178"/>
  <c r="K8" i="178"/>
  <c r="M8" i="178"/>
  <c r="O8" i="178"/>
  <c r="Q8" i="178"/>
  <c r="S8" i="178"/>
  <c r="U8" i="178"/>
  <c r="G8" i="189"/>
  <c r="I8" i="189"/>
  <c r="K8" i="189"/>
  <c r="M8" i="189"/>
  <c r="O8" i="189"/>
  <c r="Q8" i="189"/>
  <c r="S8" i="189"/>
  <c r="U8" i="189"/>
  <c r="E8" i="15"/>
  <c r="I8" i="15"/>
  <c r="K8" i="15"/>
  <c r="M8" i="15"/>
  <c r="O8" i="15"/>
  <c r="Q8" i="15"/>
  <c r="S8" i="15"/>
  <c r="U8" i="15"/>
  <c r="E8" i="158"/>
  <c r="E8" i="159"/>
  <c r="E10" i="159"/>
  <c r="E8" i="160"/>
  <c r="G8" i="160"/>
  <c r="I8" i="160"/>
  <c r="K8" i="160"/>
  <c r="M8" i="160"/>
  <c r="O8" i="160"/>
  <c r="Q8" i="160"/>
  <c r="S8" i="160"/>
  <c r="U8" i="160"/>
  <c r="E8" i="161"/>
  <c r="E8" i="162"/>
  <c r="G8" i="162"/>
  <c r="I8" i="162"/>
  <c r="K8" i="162"/>
  <c r="M8" i="162"/>
  <c r="O8" i="162"/>
  <c r="Q8" i="162"/>
  <c r="S8" i="162"/>
  <c r="U8" i="162"/>
  <c r="G8" i="163"/>
  <c r="I8" i="163"/>
  <c r="K8" i="163"/>
  <c r="M8" i="163"/>
  <c r="O8" i="163"/>
  <c r="Q8" i="163"/>
  <c r="S8" i="163"/>
  <c r="U8" i="163"/>
  <c r="E8" i="164"/>
  <c r="E10" i="164"/>
  <c r="E8" i="165"/>
  <c r="E10" i="165"/>
  <c r="E8" i="168"/>
  <c r="E10" i="168"/>
  <c r="E8" i="169"/>
  <c r="E8" i="171"/>
  <c r="G8" i="171"/>
  <c r="I8" i="171"/>
  <c r="K8" i="171"/>
  <c r="M8" i="171"/>
  <c r="O8" i="171"/>
  <c r="Q8" i="171"/>
  <c r="S8" i="171"/>
  <c r="U8" i="171"/>
  <c r="E8" i="172"/>
  <c r="E8" i="173"/>
  <c r="E8" i="174"/>
  <c r="E10" i="174"/>
  <c r="E8" i="175"/>
  <c r="E10" i="178"/>
  <c r="E8" i="179"/>
  <c r="G8" i="179"/>
  <c r="I8" i="179"/>
  <c r="K8" i="179"/>
  <c r="M8" i="179"/>
  <c r="O8" i="179"/>
  <c r="Q8" i="179"/>
  <c r="S8" i="179"/>
  <c r="U8" i="179"/>
  <c r="E8" i="180"/>
  <c r="G8" i="180"/>
  <c r="I8" i="180"/>
  <c r="K8" i="180"/>
  <c r="M8" i="180"/>
  <c r="O8" i="180"/>
  <c r="Q8" i="180"/>
  <c r="S8" i="180"/>
  <c r="U8" i="180"/>
  <c r="E8" i="183"/>
  <c r="G8" i="183"/>
  <c r="I8" i="183"/>
  <c r="K8" i="183"/>
  <c r="M8" i="183"/>
  <c r="O8" i="183"/>
  <c r="Q8" i="183"/>
  <c r="S8" i="183"/>
  <c r="U8" i="183"/>
  <c r="E8" i="184"/>
  <c r="G8" i="184"/>
  <c r="I8" i="184"/>
  <c r="K8" i="184"/>
  <c r="M8" i="184"/>
  <c r="O8" i="184"/>
  <c r="Q8" i="184"/>
  <c r="S8" i="184"/>
  <c r="U8" i="184"/>
  <c r="E8" i="185"/>
  <c r="G8" i="185"/>
  <c r="I8" i="185"/>
  <c r="K8" i="185"/>
  <c r="M8" i="185"/>
  <c r="O8" i="185"/>
  <c r="Q8" i="185"/>
  <c r="S8" i="185"/>
  <c r="U8" i="185"/>
  <c r="E8" i="186"/>
  <c r="G8" i="186"/>
  <c r="I8" i="186"/>
  <c r="K8" i="186"/>
  <c r="M8" i="186"/>
  <c r="O8" i="186"/>
  <c r="Q8" i="186"/>
  <c r="S8" i="186"/>
  <c r="U8" i="186"/>
  <c r="E8" i="187"/>
  <c r="G8" i="187"/>
  <c r="I8" i="187"/>
  <c r="K8" i="187"/>
  <c r="M8" i="187"/>
  <c r="O8" i="187"/>
  <c r="Q8" i="187"/>
  <c r="S8" i="187"/>
  <c r="U8" i="187"/>
  <c r="G8" i="188"/>
  <c r="I8" i="188"/>
  <c r="K8" i="188"/>
  <c r="M8" i="188"/>
  <c r="O8" i="188"/>
  <c r="Q8" i="188"/>
  <c r="S8" i="188"/>
  <c r="U8" i="188"/>
  <c r="E8" i="190"/>
  <c r="G8" i="190"/>
  <c r="I8" i="190"/>
  <c r="K8" i="190"/>
  <c r="M8" i="190"/>
  <c r="O8" i="190"/>
  <c r="Q8" i="190"/>
  <c r="S8" i="190"/>
  <c r="U8" i="190"/>
  <c r="E8" i="191"/>
  <c r="G8" i="191"/>
  <c r="I8" i="191"/>
  <c r="K8" i="191"/>
  <c r="M8" i="191"/>
  <c r="O8" i="191"/>
  <c r="Q8" i="191"/>
  <c r="S8" i="191"/>
  <c r="U8" i="191"/>
  <c r="E27" i="118"/>
  <c r="G27" i="118"/>
  <c r="I27" i="118"/>
  <c r="K27" i="118"/>
  <c r="M27" i="118"/>
  <c r="O27" i="118"/>
  <c r="Q27" i="118"/>
  <c r="S27" i="118"/>
  <c r="U27" i="118"/>
  <c r="E25" i="118"/>
  <c r="G25" i="118"/>
  <c r="I25" i="118"/>
  <c r="K25" i="118"/>
  <c r="M25" i="118"/>
  <c r="O25" i="118"/>
  <c r="Q25" i="118"/>
  <c r="S25" i="118"/>
  <c r="U25" i="118"/>
  <c r="G21" i="118"/>
  <c r="I21" i="118"/>
  <c r="K21" i="118"/>
  <c r="M21" i="118"/>
  <c r="O21" i="118"/>
  <c r="Q21" i="118"/>
  <c r="S21" i="118"/>
  <c r="U21" i="118"/>
  <c r="E10" i="118"/>
  <c r="E13" i="118"/>
  <c r="C10" i="118"/>
  <c r="C13" i="118"/>
  <c r="G8" i="175"/>
  <c r="E10" i="175"/>
  <c r="G8" i="172"/>
  <c r="E10" i="172"/>
  <c r="G8" i="174"/>
  <c r="G8" i="173"/>
  <c r="E10" i="173"/>
  <c r="G8" i="164"/>
  <c r="G8" i="158"/>
  <c r="E10" i="158"/>
  <c r="G8" i="159"/>
  <c r="G8" i="161"/>
  <c r="E10" i="161"/>
  <c r="G8" i="168"/>
  <c r="G8" i="165"/>
  <c r="G8" i="169"/>
  <c r="E10" i="169"/>
  <c r="D60" i="47"/>
  <c r="D61" i="47"/>
  <c r="D62" i="47"/>
  <c r="D59" i="47"/>
  <c r="D17" i="47"/>
  <c r="D18" i="47"/>
  <c r="D19" i="47"/>
  <c r="D20" i="47"/>
  <c r="D21" i="47"/>
  <c r="D22" i="47"/>
  <c r="D23" i="47"/>
  <c r="D24" i="47"/>
  <c r="D25" i="47"/>
  <c r="D26" i="47"/>
  <c r="D27" i="47"/>
  <c r="D28" i="47"/>
  <c r="D29" i="47"/>
  <c r="D30" i="47"/>
  <c r="D31" i="47"/>
  <c r="D32" i="47"/>
  <c r="D33" i="47"/>
  <c r="D34" i="47"/>
  <c r="D35" i="47"/>
  <c r="D36" i="47"/>
  <c r="D37" i="47"/>
  <c r="D38" i="47"/>
  <c r="D39" i="47"/>
  <c r="D40" i="47"/>
  <c r="D41" i="47"/>
  <c r="D48" i="47"/>
  <c r="D51" i="47"/>
  <c r="D52" i="47"/>
  <c r="D53" i="47"/>
  <c r="D54" i="47"/>
  <c r="D16" i="47"/>
  <c r="D15" i="47"/>
  <c r="I8" i="175"/>
  <c r="G10" i="175"/>
  <c r="I8" i="172"/>
  <c r="G10" i="172"/>
  <c r="I8" i="174"/>
  <c r="G10" i="174"/>
  <c r="I8" i="173"/>
  <c r="G10" i="173"/>
  <c r="G10" i="164"/>
  <c r="I8" i="164"/>
  <c r="I8" i="158"/>
  <c r="G10" i="158"/>
  <c r="I8" i="159"/>
  <c r="I8" i="161"/>
  <c r="G10" i="161"/>
  <c r="G10" i="168"/>
  <c r="I8" i="168"/>
  <c r="I8" i="165"/>
  <c r="G10" i="165"/>
  <c r="I8" i="169"/>
  <c r="G10" i="169"/>
  <c r="K34" i="202"/>
  <c r="K8" i="175"/>
  <c r="I10" i="175"/>
  <c r="K8" i="172"/>
  <c r="I10" i="172"/>
  <c r="K8" i="174"/>
  <c r="I10" i="174"/>
  <c r="K8" i="173"/>
  <c r="I10" i="173"/>
  <c r="K8" i="164"/>
  <c r="I10" i="164"/>
  <c r="K8" i="158"/>
  <c r="I10" i="158"/>
  <c r="K8" i="159"/>
  <c r="K8" i="161"/>
  <c r="I10" i="161"/>
  <c r="I10" i="168"/>
  <c r="K8" i="168"/>
  <c r="K8" i="165"/>
  <c r="I10" i="165"/>
  <c r="K8" i="169"/>
  <c r="I10" i="169"/>
  <c r="M8" i="175"/>
  <c r="K10" i="175"/>
  <c r="M8" i="172"/>
  <c r="K10" i="172"/>
  <c r="M8" i="174"/>
  <c r="K10" i="174"/>
  <c r="M8" i="173"/>
  <c r="K10" i="173"/>
  <c r="M8" i="164"/>
  <c r="K10" i="164"/>
  <c r="M8" i="158"/>
  <c r="K10" i="158"/>
  <c r="M8" i="159"/>
  <c r="M8" i="161"/>
  <c r="K10" i="161"/>
  <c r="M8" i="168"/>
  <c r="K10" i="168"/>
  <c r="M8" i="165"/>
  <c r="K10" i="165"/>
  <c r="M8" i="169"/>
  <c r="K10" i="169"/>
  <c r="E92" i="202"/>
  <c r="O8" i="175"/>
  <c r="M10" i="175"/>
  <c r="O8" i="172"/>
  <c r="M10" i="172"/>
  <c r="O8" i="174"/>
  <c r="M10" i="174"/>
  <c r="O8" i="173"/>
  <c r="M10" i="173"/>
  <c r="O8" i="164"/>
  <c r="M10" i="164"/>
  <c r="O8" i="158"/>
  <c r="M10" i="158"/>
  <c r="O8" i="159"/>
  <c r="O8" i="161"/>
  <c r="M10" i="161"/>
  <c r="O8" i="168"/>
  <c r="M10" i="168"/>
  <c r="O8" i="165"/>
  <c r="M10" i="165"/>
  <c r="O8" i="169"/>
  <c r="M10" i="169"/>
  <c r="G67" i="202"/>
  <c r="Q8" i="175"/>
  <c r="O10" i="175"/>
  <c r="Q8" i="172"/>
  <c r="O10" i="172"/>
  <c r="Q8" i="174"/>
  <c r="O10" i="174"/>
  <c r="Q8" i="173"/>
  <c r="O10" i="173"/>
  <c r="Q8" i="164"/>
  <c r="O10" i="164"/>
  <c r="Q8" i="158"/>
  <c r="O10" i="158"/>
  <c r="Q8" i="159"/>
  <c r="Q8" i="161"/>
  <c r="O10" i="161"/>
  <c r="Q8" i="168"/>
  <c r="O10" i="168"/>
  <c r="Q8" i="165"/>
  <c r="O10" i="165"/>
  <c r="Q8" i="169"/>
  <c r="O10" i="169"/>
  <c r="L274" i="202"/>
  <c r="L273" i="202"/>
  <c r="K273" i="202"/>
  <c r="J268" i="202"/>
  <c r="I268" i="202"/>
  <c r="H268" i="202"/>
  <c r="G268" i="202"/>
  <c r="F268" i="202"/>
  <c r="E268" i="202"/>
  <c r="L267" i="202"/>
  <c r="K267" i="202"/>
  <c r="L266" i="202"/>
  <c r="K266" i="202"/>
  <c r="L265" i="202"/>
  <c r="K265" i="202"/>
  <c r="M265" i="202"/>
  <c r="L264" i="202"/>
  <c r="K264" i="202"/>
  <c r="M264" i="202"/>
  <c r="L263" i="202"/>
  <c r="K263" i="202"/>
  <c r="L262" i="202"/>
  <c r="K262" i="202"/>
  <c r="L261" i="202"/>
  <c r="L270" i="202"/>
  <c r="K261" i="202"/>
  <c r="L260" i="202"/>
  <c r="K260" i="202"/>
  <c r="L259" i="202"/>
  <c r="K259" i="202"/>
  <c r="L258" i="202"/>
  <c r="K258" i="202"/>
  <c r="L257" i="202"/>
  <c r="K257" i="202"/>
  <c r="L256" i="202"/>
  <c r="K256" i="202"/>
  <c r="L255" i="202"/>
  <c r="K255" i="202"/>
  <c r="L254" i="202"/>
  <c r="K254" i="202"/>
  <c r="L253" i="202"/>
  <c r="K253" i="202"/>
  <c r="L249" i="202"/>
  <c r="L248" i="202"/>
  <c r="K248" i="202"/>
  <c r="J243" i="202"/>
  <c r="I243" i="202"/>
  <c r="H243" i="202"/>
  <c r="G243" i="202"/>
  <c r="F243" i="202"/>
  <c r="E243" i="202"/>
  <c r="L242" i="202"/>
  <c r="L241" i="202"/>
  <c r="K241" i="202"/>
  <c r="L240" i="202"/>
  <c r="K240" i="202"/>
  <c r="L239" i="202"/>
  <c r="K239" i="202"/>
  <c r="L238" i="202"/>
  <c r="K238" i="202"/>
  <c r="L237" i="202"/>
  <c r="K237" i="202"/>
  <c r="L236" i="202"/>
  <c r="L245" i="202"/>
  <c r="K236" i="202"/>
  <c r="L235" i="202"/>
  <c r="K235" i="202"/>
  <c r="L234" i="202"/>
  <c r="K234" i="202"/>
  <c r="L233" i="202"/>
  <c r="K233" i="202"/>
  <c r="L232" i="202"/>
  <c r="K232" i="202"/>
  <c r="L231" i="202"/>
  <c r="K231" i="202"/>
  <c r="L230" i="202"/>
  <c r="K230" i="202"/>
  <c r="L229" i="202"/>
  <c r="K229" i="202"/>
  <c r="L228" i="202"/>
  <c r="K228" i="202"/>
  <c r="L224" i="202"/>
  <c r="L223" i="202"/>
  <c r="K223" i="202"/>
  <c r="J218" i="202"/>
  <c r="I218" i="202"/>
  <c r="H218" i="202"/>
  <c r="G218" i="202"/>
  <c r="F218" i="202"/>
  <c r="E218" i="202"/>
  <c r="L217" i="202"/>
  <c r="K217" i="202"/>
  <c r="M217" i="202"/>
  <c r="L216" i="202"/>
  <c r="K216" i="202"/>
  <c r="L215" i="202"/>
  <c r="K215" i="202"/>
  <c r="M215" i="202"/>
  <c r="L214" i="202"/>
  <c r="K214" i="202"/>
  <c r="L213" i="202"/>
  <c r="K213" i="202"/>
  <c r="L212" i="202"/>
  <c r="K212" i="202"/>
  <c r="L211" i="202"/>
  <c r="L220" i="202"/>
  <c r="K211" i="202"/>
  <c r="L210" i="202"/>
  <c r="K210" i="202"/>
  <c r="L209" i="202"/>
  <c r="K209" i="202"/>
  <c r="L208" i="202"/>
  <c r="K208" i="202"/>
  <c r="L207" i="202"/>
  <c r="K207" i="202"/>
  <c r="L206" i="202"/>
  <c r="K206" i="202"/>
  <c r="L205" i="202"/>
  <c r="K205" i="202"/>
  <c r="L204" i="202"/>
  <c r="K204" i="202"/>
  <c r="L203" i="202"/>
  <c r="K203" i="202"/>
  <c r="L199" i="202"/>
  <c r="L198" i="202"/>
  <c r="K198" i="202"/>
  <c r="J193" i="202"/>
  <c r="I193" i="202"/>
  <c r="H193" i="202"/>
  <c r="G193" i="202"/>
  <c r="F193" i="202"/>
  <c r="E193" i="202"/>
  <c r="L192" i="202"/>
  <c r="K192" i="202"/>
  <c r="L191" i="202"/>
  <c r="K191" i="202"/>
  <c r="L190" i="202"/>
  <c r="K190" i="202"/>
  <c r="L189" i="202"/>
  <c r="K189" i="202"/>
  <c r="M189" i="202"/>
  <c r="L188" i="202"/>
  <c r="K188" i="202"/>
  <c r="L187" i="202"/>
  <c r="K187" i="202"/>
  <c r="L186" i="202"/>
  <c r="L195" i="202"/>
  <c r="K186" i="202"/>
  <c r="L185" i="202"/>
  <c r="K185" i="202"/>
  <c r="L184" i="202"/>
  <c r="K184" i="202"/>
  <c r="L183" i="202"/>
  <c r="K183" i="202"/>
  <c r="L182" i="202"/>
  <c r="K182" i="202"/>
  <c r="L181" i="202"/>
  <c r="K181" i="202"/>
  <c r="L180" i="202"/>
  <c r="K180" i="202"/>
  <c r="L179" i="202"/>
  <c r="K179" i="202"/>
  <c r="L178" i="202"/>
  <c r="K178" i="202"/>
  <c r="L174" i="202"/>
  <c r="L173" i="202"/>
  <c r="K173" i="202"/>
  <c r="J168" i="202"/>
  <c r="I168" i="202"/>
  <c r="H168" i="202"/>
  <c r="G168" i="202"/>
  <c r="F168" i="202"/>
  <c r="E168" i="202"/>
  <c r="L166" i="202"/>
  <c r="K166" i="202"/>
  <c r="M166" i="202"/>
  <c r="L165" i="202"/>
  <c r="K165" i="202"/>
  <c r="L164" i="202"/>
  <c r="K164" i="202"/>
  <c r="M164" i="202"/>
  <c r="L163" i="202"/>
  <c r="K163" i="202"/>
  <c r="M163" i="202"/>
  <c r="L162" i="202"/>
  <c r="K162" i="202"/>
  <c r="L161" i="202"/>
  <c r="L170" i="202"/>
  <c r="K161" i="202"/>
  <c r="L160" i="202"/>
  <c r="K160" i="202"/>
  <c r="L159" i="202"/>
  <c r="K159" i="202"/>
  <c r="L158" i="202"/>
  <c r="K158" i="202"/>
  <c r="L157" i="202"/>
  <c r="K157" i="202"/>
  <c r="L156" i="202"/>
  <c r="K156" i="202"/>
  <c r="L155" i="202"/>
  <c r="K155" i="202"/>
  <c r="L154" i="202"/>
  <c r="K154" i="202"/>
  <c r="L153" i="202"/>
  <c r="K153" i="202"/>
  <c r="L149" i="202"/>
  <c r="L148" i="202"/>
  <c r="K148" i="202"/>
  <c r="J143" i="202"/>
  <c r="I143" i="202"/>
  <c r="H143" i="202"/>
  <c r="G143" i="202"/>
  <c r="F143" i="202"/>
  <c r="E143" i="202"/>
  <c r="L142" i="202"/>
  <c r="K142" i="202"/>
  <c r="L141" i="202"/>
  <c r="K141" i="202"/>
  <c r="L140" i="202"/>
  <c r="K140" i="202"/>
  <c r="L139" i="202"/>
  <c r="K139" i="202"/>
  <c r="L138" i="202"/>
  <c r="K138" i="202"/>
  <c r="L137" i="202"/>
  <c r="K137" i="202"/>
  <c r="L136" i="202"/>
  <c r="L145" i="202"/>
  <c r="K136" i="202"/>
  <c r="L135" i="202"/>
  <c r="K135" i="202"/>
  <c r="L134" i="202"/>
  <c r="K134" i="202"/>
  <c r="L133" i="202"/>
  <c r="K133" i="202"/>
  <c r="L132" i="202"/>
  <c r="K132" i="202"/>
  <c r="L131" i="202"/>
  <c r="K131" i="202"/>
  <c r="L130" i="202"/>
  <c r="K130" i="202"/>
  <c r="L129" i="202"/>
  <c r="K129" i="202"/>
  <c r="L128" i="202"/>
  <c r="K128" i="202"/>
  <c r="L124" i="202"/>
  <c r="L123" i="202"/>
  <c r="K123" i="202"/>
  <c r="J118" i="202"/>
  <c r="I118" i="202"/>
  <c r="H118" i="202"/>
  <c r="G118" i="202"/>
  <c r="F118" i="202"/>
  <c r="E118" i="202"/>
  <c r="L117" i="202"/>
  <c r="K117" i="202"/>
  <c r="L116" i="202"/>
  <c r="K116" i="202"/>
  <c r="M116" i="202"/>
  <c r="L115" i="202"/>
  <c r="K115" i="202"/>
  <c r="L114" i="202"/>
  <c r="K114" i="202"/>
  <c r="M114" i="202"/>
  <c r="L113" i="202"/>
  <c r="K113" i="202"/>
  <c r="L112" i="202"/>
  <c r="K112" i="202"/>
  <c r="L111" i="202"/>
  <c r="L120" i="202"/>
  <c r="K111" i="202"/>
  <c r="L110" i="202"/>
  <c r="K110" i="202"/>
  <c r="L109" i="202"/>
  <c r="K109" i="202"/>
  <c r="L108" i="202"/>
  <c r="K108" i="202"/>
  <c r="L107" i="202"/>
  <c r="K107" i="202"/>
  <c r="L106" i="202"/>
  <c r="K106" i="202"/>
  <c r="L105" i="202"/>
  <c r="K105" i="202"/>
  <c r="L104" i="202"/>
  <c r="K104" i="202"/>
  <c r="L103" i="202"/>
  <c r="L99" i="202"/>
  <c r="L98" i="202"/>
  <c r="K98" i="202"/>
  <c r="J93" i="202"/>
  <c r="I93" i="202"/>
  <c r="H93" i="202"/>
  <c r="G93" i="202"/>
  <c r="F93" i="202"/>
  <c r="E93" i="202"/>
  <c r="L92" i="202"/>
  <c r="K92" i="202"/>
  <c r="L91" i="202"/>
  <c r="K91" i="202"/>
  <c r="L90" i="202"/>
  <c r="K90" i="202"/>
  <c r="L89" i="202"/>
  <c r="K89" i="202"/>
  <c r="L88" i="202"/>
  <c r="K88" i="202"/>
  <c r="L87" i="202"/>
  <c r="K87" i="202"/>
  <c r="L86" i="202"/>
  <c r="L95" i="202"/>
  <c r="K86" i="202"/>
  <c r="L85" i="202"/>
  <c r="K85" i="202"/>
  <c r="L84" i="202"/>
  <c r="K84" i="202"/>
  <c r="L83" i="202"/>
  <c r="K83" i="202"/>
  <c r="L82" i="202"/>
  <c r="K82" i="202"/>
  <c r="L81" i="202"/>
  <c r="K81" i="202"/>
  <c r="L80" i="202"/>
  <c r="K80" i="202"/>
  <c r="L79" i="202"/>
  <c r="K79" i="202"/>
  <c r="L78" i="202"/>
  <c r="K78" i="202"/>
  <c r="L73" i="202"/>
  <c r="L72" i="202"/>
  <c r="K72" i="202"/>
  <c r="J67" i="202"/>
  <c r="I67" i="202"/>
  <c r="H67" i="202"/>
  <c r="F67" i="202"/>
  <c r="E66" i="202"/>
  <c r="E67" i="202"/>
  <c r="L66" i="202"/>
  <c r="K66" i="202"/>
  <c r="M66" i="202"/>
  <c r="L65" i="202"/>
  <c r="K65" i="202"/>
  <c r="M65" i="202"/>
  <c r="L64" i="202"/>
  <c r="K64" i="202"/>
  <c r="M64" i="202"/>
  <c r="K63" i="202"/>
  <c r="L63" i="202"/>
  <c r="M63" i="202"/>
  <c r="L62" i="202"/>
  <c r="K62" i="202"/>
  <c r="L61" i="202"/>
  <c r="K61" i="202"/>
  <c r="L60" i="202"/>
  <c r="K60" i="202"/>
  <c r="L59" i="202"/>
  <c r="K59" i="202"/>
  <c r="M59" i="202"/>
  <c r="L58" i="202"/>
  <c r="K58" i="202"/>
  <c r="L57" i="202"/>
  <c r="K57" i="202"/>
  <c r="L56" i="202"/>
  <c r="K56" i="202"/>
  <c r="L55" i="202"/>
  <c r="K55" i="202"/>
  <c r="L54" i="202"/>
  <c r="K54" i="202"/>
  <c r="L53" i="202"/>
  <c r="K53" i="202"/>
  <c r="L52" i="202"/>
  <c r="K52" i="202"/>
  <c r="L47" i="202"/>
  <c r="L46" i="202"/>
  <c r="K46" i="202"/>
  <c r="J43" i="202"/>
  <c r="I43" i="202"/>
  <c r="H43" i="202"/>
  <c r="G43" i="202"/>
  <c r="F43" i="202"/>
  <c r="E43" i="202"/>
  <c r="L42" i="202"/>
  <c r="K42" i="202"/>
  <c r="M42" i="202"/>
  <c r="K41" i="202"/>
  <c r="L41" i="202"/>
  <c r="M41" i="202"/>
  <c r="L40" i="202"/>
  <c r="K40" i="202"/>
  <c r="M40" i="202"/>
  <c r="L39" i="202"/>
  <c r="K39" i="202"/>
  <c r="M39" i="202"/>
  <c r="L38" i="202"/>
  <c r="K38" i="202"/>
  <c r="M38" i="202"/>
  <c r="K37" i="202"/>
  <c r="L37" i="202"/>
  <c r="M37" i="202"/>
  <c r="L36" i="202"/>
  <c r="K36" i="202"/>
  <c r="L35" i="202"/>
  <c r="K35" i="202"/>
  <c r="L34" i="202"/>
  <c r="M34" i="202"/>
  <c r="L33" i="202"/>
  <c r="K33" i="202"/>
  <c r="M33" i="202"/>
  <c r="L32" i="202"/>
  <c r="K32" i="202"/>
  <c r="L31" i="202"/>
  <c r="K31" i="202"/>
  <c r="L30" i="202"/>
  <c r="K30" i="202"/>
  <c r="M30" i="202"/>
  <c r="L29" i="202"/>
  <c r="K29" i="202"/>
  <c r="M29" i="202"/>
  <c r="L28" i="202"/>
  <c r="K28" i="202"/>
  <c r="L27" i="202"/>
  <c r="K27" i="202"/>
  <c r="L26" i="202"/>
  <c r="K26" i="202"/>
  <c r="L25" i="202"/>
  <c r="K25" i="202"/>
  <c r="M25" i="202"/>
  <c r="L24" i="202"/>
  <c r="K24" i="202"/>
  <c r="L23" i="202"/>
  <c r="K23" i="202"/>
  <c r="L22" i="202"/>
  <c r="K22" i="202"/>
  <c r="L21" i="202"/>
  <c r="K21" i="202"/>
  <c r="M21" i="202"/>
  <c r="M238" i="202"/>
  <c r="M239" i="202"/>
  <c r="M241" i="202"/>
  <c r="M214" i="202"/>
  <c r="M216" i="202"/>
  <c r="M188" i="202"/>
  <c r="M135" i="202"/>
  <c r="M137" i="202"/>
  <c r="M139" i="202"/>
  <c r="M141" i="202"/>
  <c r="M110" i="202"/>
  <c r="M87" i="202"/>
  <c r="M89" i="202"/>
  <c r="M91" i="202"/>
  <c r="M57" i="202"/>
  <c r="M36" i="202"/>
  <c r="M35" i="202"/>
  <c r="M31" i="202"/>
  <c r="M32" i="202"/>
  <c r="M22" i="202"/>
  <c r="M27" i="202"/>
  <c r="M46" i="202"/>
  <c r="S8" i="175"/>
  <c r="Q10" i="175"/>
  <c r="S8" i="172"/>
  <c r="Q10" i="172"/>
  <c r="S8" i="174"/>
  <c r="Q10" i="174"/>
  <c r="S8" i="173"/>
  <c r="Q10" i="173"/>
  <c r="S8" i="164"/>
  <c r="Q10" i="164"/>
  <c r="S8" i="158"/>
  <c r="Q10" i="158"/>
  <c r="S8" i="159"/>
  <c r="S8" i="161"/>
  <c r="Q10" i="161"/>
  <c r="S8" i="168"/>
  <c r="Q10" i="168"/>
  <c r="S8" i="165"/>
  <c r="Q10" i="165"/>
  <c r="S8" i="169"/>
  <c r="Q10" i="169"/>
  <c r="M234" i="202"/>
  <c r="M158" i="202"/>
  <c r="M204" i="202"/>
  <c r="M160" i="202"/>
  <c r="M231" i="202"/>
  <c r="M233" i="202"/>
  <c r="M260" i="202"/>
  <c r="M255" i="202"/>
  <c r="M256" i="202"/>
  <c r="M274" i="202"/>
  <c r="M236" i="202"/>
  <c r="M208" i="202"/>
  <c r="M210" i="202"/>
  <c r="M184" i="202"/>
  <c r="M183" i="202"/>
  <c r="M185" i="202"/>
  <c r="M159" i="202"/>
  <c r="M206" i="202"/>
  <c r="M181" i="202"/>
  <c r="M156" i="202"/>
  <c r="M155" i="202"/>
  <c r="M253" i="202"/>
  <c r="M249" i="202"/>
  <c r="M262" i="202"/>
  <c r="M259" i="202"/>
  <c r="M235" i="202"/>
  <c r="M85" i="202"/>
  <c r="M53" i="202"/>
  <c r="M28" i="202"/>
  <c r="M26" i="202"/>
  <c r="M24" i="202"/>
  <c r="M23" i="202"/>
  <c r="K43" i="202"/>
  <c r="L43" i="202"/>
  <c r="M47" i="202"/>
  <c r="M261" i="202"/>
  <c r="M263" i="202"/>
  <c r="M266" i="202"/>
  <c r="M267" i="202"/>
  <c r="M228" i="202"/>
  <c r="M240" i="202"/>
  <c r="K242" i="202"/>
  <c r="M242" i="202"/>
  <c r="M209" i="202"/>
  <c r="M211" i="202"/>
  <c r="M213" i="202"/>
  <c r="M180" i="202"/>
  <c r="M191" i="202"/>
  <c r="M178" i="202"/>
  <c r="M190" i="202"/>
  <c r="M192" i="202"/>
  <c r="M165" i="202"/>
  <c r="K167" i="202"/>
  <c r="M134" i="202"/>
  <c r="L167" i="202"/>
  <c r="L168" i="202"/>
  <c r="L171" i="202"/>
  <c r="M129" i="202"/>
  <c r="M131" i="202"/>
  <c r="M133" i="202"/>
  <c r="M140" i="202"/>
  <c r="M142" i="202"/>
  <c r="M111" i="202"/>
  <c r="M104" i="202"/>
  <c r="M106" i="202"/>
  <c r="M108" i="202"/>
  <c r="M115" i="202"/>
  <c r="M117" i="202"/>
  <c r="M84" i="202"/>
  <c r="M86" i="202"/>
  <c r="M79" i="202"/>
  <c r="M81" i="202"/>
  <c r="M83" i="202"/>
  <c r="M90" i="202"/>
  <c r="M92" i="202"/>
  <c r="M61" i="202"/>
  <c r="M198" i="202"/>
  <c r="M186" i="202"/>
  <c r="M199" i="202"/>
  <c r="M148" i="202"/>
  <c r="M161" i="202"/>
  <c r="M136" i="202"/>
  <c r="M149" i="202"/>
  <c r="M124" i="202"/>
  <c r="M98" i="202"/>
  <c r="M60" i="202"/>
  <c r="M237" i="202"/>
  <c r="M212" i="202"/>
  <c r="M187" i="202"/>
  <c r="M162" i="202"/>
  <c r="M138" i="202"/>
  <c r="M113" i="202"/>
  <c r="M112" i="202"/>
  <c r="M88" i="202"/>
  <c r="M56" i="202"/>
  <c r="M73" i="202"/>
  <c r="L93" i="202"/>
  <c r="L96" i="202"/>
  <c r="M99" i="202"/>
  <c r="M109" i="202"/>
  <c r="M105" i="202"/>
  <c r="L143" i="202"/>
  <c r="L146" i="202"/>
  <c r="M154" i="202"/>
  <c r="M153" i="202"/>
  <c r="M173" i="202"/>
  <c r="L218" i="202"/>
  <c r="L221" i="202"/>
  <c r="M205" i="202"/>
  <c r="M230" i="202"/>
  <c r="M248" i="202"/>
  <c r="M258" i="202"/>
  <c r="M273" i="202"/>
  <c r="K268" i="202"/>
  <c r="M254" i="202"/>
  <c r="L268" i="202"/>
  <c r="L271" i="202"/>
  <c r="L243" i="202"/>
  <c r="L246" i="202"/>
  <c r="M229" i="202"/>
  <c r="M224" i="202"/>
  <c r="K218" i="202"/>
  <c r="M203" i="202"/>
  <c r="M223" i="202"/>
  <c r="M179" i="202"/>
  <c r="K193" i="202"/>
  <c r="L193" i="202"/>
  <c r="L196" i="202"/>
  <c r="M174" i="202"/>
  <c r="M130" i="202"/>
  <c r="M132" i="202"/>
  <c r="K143" i="202"/>
  <c r="K118" i="202"/>
  <c r="L118" i="202"/>
  <c r="L121" i="202"/>
  <c r="M123" i="202"/>
  <c r="M107" i="202"/>
  <c r="M80" i="202"/>
  <c r="M82" i="202"/>
  <c r="K93" i="202"/>
  <c r="M62" i="202"/>
  <c r="L67" i="202"/>
  <c r="L70" i="202"/>
  <c r="M55" i="202"/>
  <c r="M54" i="202"/>
  <c r="M52" i="202"/>
  <c r="M58" i="202"/>
  <c r="M72" i="202"/>
  <c r="M78" i="202"/>
  <c r="M103" i="202"/>
  <c r="M128" i="202"/>
  <c r="M157" i="202"/>
  <c r="M182" i="202"/>
  <c r="M207" i="202"/>
  <c r="M232" i="202"/>
  <c r="M257" i="202"/>
  <c r="K67" i="202"/>
  <c r="M167" i="202"/>
  <c r="M43" i="202"/>
  <c r="U8" i="175"/>
  <c r="U10" i="175"/>
  <c r="S10" i="175"/>
  <c r="U8" i="172"/>
  <c r="U10" i="172"/>
  <c r="S10" i="172"/>
  <c r="U8" i="174"/>
  <c r="U10" i="174"/>
  <c r="S10" i="174"/>
  <c r="U8" i="173"/>
  <c r="U10" i="173"/>
  <c r="S10" i="173"/>
  <c r="U8" i="164"/>
  <c r="U10" i="164"/>
  <c r="S10" i="164"/>
  <c r="U8" i="158"/>
  <c r="U10" i="158"/>
  <c r="S10" i="158"/>
  <c r="U8" i="159"/>
  <c r="U8" i="161"/>
  <c r="U10" i="161"/>
  <c r="S10" i="161"/>
  <c r="U8" i="168"/>
  <c r="U10" i="168"/>
  <c r="S10" i="168"/>
  <c r="U8" i="165"/>
  <c r="U10" i="165"/>
  <c r="S10" i="165"/>
  <c r="U8" i="169"/>
  <c r="U10" i="169"/>
  <c r="S10" i="169"/>
  <c r="M268" i="202"/>
  <c r="M193" i="202"/>
  <c r="K243" i="202"/>
  <c r="M243" i="202"/>
  <c r="M168" i="202"/>
  <c r="K168" i="202"/>
  <c r="M93" i="202"/>
  <c r="M143" i="202"/>
  <c r="M218" i="202"/>
  <c r="M118" i="202"/>
  <c r="M67" i="202"/>
  <c r="R45" i="89"/>
  <c r="R44" i="89"/>
  <c r="R43" i="89"/>
  <c r="R42" i="89"/>
  <c r="R41" i="89"/>
  <c r="R40" i="89"/>
  <c r="R39" i="89"/>
  <c r="R38" i="89"/>
  <c r="R37" i="89"/>
  <c r="R32" i="89"/>
  <c r="R29" i="89"/>
  <c r="R28" i="89"/>
  <c r="R27" i="89"/>
  <c r="R26" i="89"/>
  <c r="R25" i="89"/>
  <c r="R24" i="89"/>
  <c r="R23" i="89"/>
  <c r="R22" i="89"/>
  <c r="R21" i="89"/>
  <c r="R20" i="89"/>
  <c r="R19" i="89"/>
  <c r="R18" i="89"/>
  <c r="R17" i="89"/>
  <c r="R16" i="89"/>
  <c r="R15" i="89"/>
  <c r="R14" i="89"/>
  <c r="R13" i="89"/>
  <c r="R12" i="89"/>
  <c r="R11" i="89"/>
  <c r="Q46" i="89"/>
  <c r="R46" i="89"/>
  <c r="Q30" i="89"/>
  <c r="P30" i="89"/>
  <c r="R30" i="89"/>
  <c r="C26" i="192"/>
  <c r="E26" i="192"/>
  <c r="G26" i="192"/>
  <c r="I26" i="192"/>
  <c r="K26" i="192"/>
  <c r="M26" i="192"/>
  <c r="O26" i="192"/>
  <c r="B48" i="159"/>
  <c r="B48" i="15"/>
  <c r="B48" i="158"/>
  <c r="A48" i="159"/>
  <c r="A48" i="158"/>
  <c r="A48" i="15"/>
  <c r="U50" i="198"/>
  <c r="U110" i="198"/>
  <c r="S50" i="198"/>
  <c r="S110" i="198"/>
  <c r="Q50" i="198"/>
  <c r="Q110" i="198"/>
  <c r="O50" i="198"/>
  <c r="O110" i="198"/>
  <c r="M50" i="198"/>
  <c r="M110" i="198"/>
  <c r="K50" i="198"/>
  <c r="K110" i="198"/>
  <c r="I50" i="198"/>
  <c r="I110" i="198"/>
  <c r="G50" i="198"/>
  <c r="G110" i="198"/>
  <c r="E50" i="198"/>
  <c r="E110" i="198"/>
  <c r="U16" i="198"/>
  <c r="S16" i="198"/>
  <c r="Q16" i="198"/>
  <c r="O16" i="198"/>
  <c r="M16" i="198"/>
  <c r="K16" i="198"/>
  <c r="I16" i="198"/>
  <c r="G16" i="198"/>
  <c r="E16" i="198"/>
  <c r="U14" i="198"/>
  <c r="S14" i="198"/>
  <c r="Q14" i="198"/>
  <c r="O14" i="198"/>
  <c r="M14" i="198"/>
  <c r="K14" i="198"/>
  <c r="I14" i="198"/>
  <c r="G14" i="198"/>
  <c r="E14" i="198"/>
  <c r="C14" i="198"/>
  <c r="U14" i="197"/>
  <c r="S14" i="197"/>
  <c r="Q14" i="197"/>
  <c r="O14" i="197"/>
  <c r="M14" i="197"/>
  <c r="K14" i="197"/>
  <c r="I14" i="197"/>
  <c r="G14" i="197"/>
  <c r="E14" i="197"/>
  <c r="C14" i="197"/>
  <c r="C50" i="198"/>
  <c r="C110" i="198"/>
  <c r="B48" i="198"/>
  <c r="A48" i="198"/>
  <c r="C16" i="198"/>
  <c r="U115" i="195"/>
  <c r="S115" i="195"/>
  <c r="Q115" i="195"/>
  <c r="O115" i="195"/>
  <c r="M115" i="195"/>
  <c r="K115" i="195"/>
  <c r="I115" i="195"/>
  <c r="G115" i="195"/>
  <c r="E115" i="195"/>
  <c r="U114" i="195"/>
  <c r="S114" i="195"/>
  <c r="Q114" i="195"/>
  <c r="O114" i="195"/>
  <c r="M114" i="195"/>
  <c r="K114" i="195"/>
  <c r="I114" i="195"/>
  <c r="G114" i="195"/>
  <c r="E114" i="195"/>
  <c r="U113" i="195"/>
  <c r="S113" i="195"/>
  <c r="Q113" i="195"/>
  <c r="O113" i="195"/>
  <c r="M113" i="195"/>
  <c r="K113" i="195"/>
  <c r="I113" i="195"/>
  <c r="G113" i="195"/>
  <c r="E113" i="195"/>
  <c r="U97" i="195"/>
  <c r="S97" i="195"/>
  <c r="Q97" i="195"/>
  <c r="O97" i="195"/>
  <c r="M97" i="195"/>
  <c r="K97" i="195"/>
  <c r="I97" i="195"/>
  <c r="G97" i="195"/>
  <c r="E97" i="195"/>
  <c r="U59" i="195"/>
  <c r="S59" i="195"/>
  <c r="Q59" i="195"/>
  <c r="O59" i="195"/>
  <c r="M59" i="195"/>
  <c r="K59" i="195"/>
  <c r="I59" i="195"/>
  <c r="G59" i="195"/>
  <c r="E59" i="195"/>
  <c r="U50" i="195"/>
  <c r="U110" i="195"/>
  <c r="S50" i="195"/>
  <c r="S110" i="195"/>
  <c r="Q50" i="195"/>
  <c r="Q110" i="195"/>
  <c r="O50" i="195"/>
  <c r="O110" i="195"/>
  <c r="M50" i="195"/>
  <c r="M110" i="195"/>
  <c r="K50" i="195"/>
  <c r="K110" i="195"/>
  <c r="I50" i="195"/>
  <c r="I110" i="195"/>
  <c r="G50" i="195"/>
  <c r="G110" i="195"/>
  <c r="E50" i="195"/>
  <c r="E110" i="195"/>
  <c r="U45" i="195"/>
  <c r="S45" i="195"/>
  <c r="Q45" i="195"/>
  <c r="O45" i="195"/>
  <c r="M45" i="195"/>
  <c r="K45" i="195"/>
  <c r="I45" i="195"/>
  <c r="G45" i="195"/>
  <c r="E45" i="195"/>
  <c r="U44" i="195"/>
  <c r="S44" i="195"/>
  <c r="Q44" i="195"/>
  <c r="O44" i="195"/>
  <c r="M44" i="195"/>
  <c r="K44" i="195"/>
  <c r="I44" i="195"/>
  <c r="G44" i="195"/>
  <c r="E44" i="195"/>
  <c r="U43" i="195"/>
  <c r="S43" i="195"/>
  <c r="Q43" i="195"/>
  <c r="O43" i="195"/>
  <c r="M43" i="195"/>
  <c r="K43" i="195"/>
  <c r="I43" i="195"/>
  <c r="G43" i="195"/>
  <c r="E43" i="195"/>
  <c r="U42" i="195"/>
  <c r="S42" i="195"/>
  <c r="Q42" i="195"/>
  <c r="O42" i="195"/>
  <c r="M42" i="195"/>
  <c r="K42" i="195"/>
  <c r="I42" i="195"/>
  <c r="G42" i="195"/>
  <c r="E42" i="195"/>
  <c r="U41" i="195"/>
  <c r="S41" i="195"/>
  <c r="Q41" i="195"/>
  <c r="O41" i="195"/>
  <c r="M41" i="195"/>
  <c r="K41" i="195"/>
  <c r="I41" i="195"/>
  <c r="G41" i="195"/>
  <c r="E41" i="195"/>
  <c r="U40" i="195"/>
  <c r="S40" i="195"/>
  <c r="Q40" i="195"/>
  <c r="O40" i="195"/>
  <c r="M40" i="195"/>
  <c r="K40" i="195"/>
  <c r="I40" i="195"/>
  <c r="G40" i="195"/>
  <c r="E40" i="195"/>
  <c r="U39" i="195"/>
  <c r="S39" i="195"/>
  <c r="Q39" i="195"/>
  <c r="O39" i="195"/>
  <c r="M39" i="195"/>
  <c r="K39" i="195"/>
  <c r="I39" i="195"/>
  <c r="G39" i="195"/>
  <c r="E39" i="195"/>
  <c r="U38" i="195"/>
  <c r="S38" i="195"/>
  <c r="Q38" i="195"/>
  <c r="O38" i="195"/>
  <c r="M38" i="195"/>
  <c r="K38" i="195"/>
  <c r="I38" i="195"/>
  <c r="G38" i="195"/>
  <c r="E38" i="195"/>
  <c r="U37" i="195"/>
  <c r="S37" i="195"/>
  <c r="Q37" i="195"/>
  <c r="O37" i="195"/>
  <c r="M37" i="195"/>
  <c r="K37" i="195"/>
  <c r="I37" i="195"/>
  <c r="G37" i="195"/>
  <c r="E37" i="195"/>
  <c r="U36" i="195"/>
  <c r="S36" i="195"/>
  <c r="Q36" i="195"/>
  <c r="Q46" i="195"/>
  <c r="O36" i="195"/>
  <c r="M36" i="195"/>
  <c r="K36" i="195"/>
  <c r="I36" i="195"/>
  <c r="I46" i="195"/>
  <c r="G36" i="195"/>
  <c r="E36" i="195"/>
  <c r="U32" i="195"/>
  <c r="S32" i="195"/>
  <c r="Q32" i="195"/>
  <c r="O32" i="195"/>
  <c r="M32" i="195"/>
  <c r="K32" i="195"/>
  <c r="I32" i="195"/>
  <c r="G32" i="195"/>
  <c r="E32" i="195"/>
  <c r="U27" i="195"/>
  <c r="S27" i="195"/>
  <c r="Q27" i="195"/>
  <c r="O27" i="195"/>
  <c r="M27" i="195"/>
  <c r="K27" i="195"/>
  <c r="I27" i="195"/>
  <c r="G27" i="195"/>
  <c r="E27" i="195"/>
  <c r="U26" i="195"/>
  <c r="S26" i="195"/>
  <c r="Q26" i="195"/>
  <c r="O26" i="195"/>
  <c r="M26" i="195"/>
  <c r="K26" i="195"/>
  <c r="I26" i="195"/>
  <c r="G26" i="195"/>
  <c r="E26" i="195"/>
  <c r="U25" i="195"/>
  <c r="S25" i="195"/>
  <c r="Q25" i="195"/>
  <c r="O25" i="195"/>
  <c r="M25" i="195"/>
  <c r="K25" i="195"/>
  <c r="I25" i="195"/>
  <c r="G25" i="195"/>
  <c r="E25" i="195"/>
  <c r="U24" i="195"/>
  <c r="S24" i="195"/>
  <c r="Q24" i="195"/>
  <c r="O24" i="195"/>
  <c r="M24" i="195"/>
  <c r="K24" i="195"/>
  <c r="I24" i="195"/>
  <c r="G24" i="195"/>
  <c r="E24" i="195"/>
  <c r="U23" i="195"/>
  <c r="S23" i="195"/>
  <c r="Q23" i="195"/>
  <c r="O23" i="195"/>
  <c r="M23" i="195"/>
  <c r="K23" i="195"/>
  <c r="I23" i="195"/>
  <c r="G23" i="195"/>
  <c r="E23" i="195"/>
  <c r="U21" i="195"/>
  <c r="S21" i="195"/>
  <c r="Q21" i="195"/>
  <c r="O21" i="195"/>
  <c r="M21" i="195"/>
  <c r="K21" i="195"/>
  <c r="I21" i="195"/>
  <c r="G21" i="195"/>
  <c r="E21" i="195"/>
  <c r="U20" i="195"/>
  <c r="S20" i="195"/>
  <c r="Q20" i="195"/>
  <c r="O20" i="195"/>
  <c r="M20" i="195"/>
  <c r="K20" i="195"/>
  <c r="I20" i="195"/>
  <c r="G20" i="195"/>
  <c r="E20" i="195"/>
  <c r="U19" i="195"/>
  <c r="S19" i="195"/>
  <c r="Q19" i="195"/>
  <c r="O19" i="195"/>
  <c r="M19" i="195"/>
  <c r="K19" i="195"/>
  <c r="I19" i="195"/>
  <c r="G19" i="195"/>
  <c r="E19" i="195"/>
  <c r="U16" i="195"/>
  <c r="S16" i="195"/>
  <c r="Q16" i="195"/>
  <c r="O16" i="195"/>
  <c r="M16" i="195"/>
  <c r="K16" i="195"/>
  <c r="I16" i="195"/>
  <c r="G16" i="195"/>
  <c r="E16" i="195"/>
  <c r="C115" i="195"/>
  <c r="C114" i="195"/>
  <c r="C113" i="195"/>
  <c r="C97" i="195"/>
  <c r="C59" i="195"/>
  <c r="C45" i="195"/>
  <c r="C44" i="195"/>
  <c r="C43" i="195"/>
  <c r="C42" i="195"/>
  <c r="C41" i="195"/>
  <c r="C40" i="195"/>
  <c r="C39" i="195"/>
  <c r="C38" i="195"/>
  <c r="C37" i="195"/>
  <c r="C36" i="195"/>
  <c r="C32" i="195"/>
  <c r="C27" i="195"/>
  <c r="C26" i="195"/>
  <c r="C25" i="195"/>
  <c r="C24" i="195"/>
  <c r="C23" i="195"/>
  <c r="C21" i="195"/>
  <c r="C20" i="195"/>
  <c r="C19" i="195"/>
  <c r="C28" i="195"/>
  <c r="U14" i="195"/>
  <c r="S14" i="195"/>
  <c r="Q14" i="195"/>
  <c r="O14" i="195"/>
  <c r="M14" i="195"/>
  <c r="K14" i="195"/>
  <c r="I14" i="195"/>
  <c r="G14" i="195"/>
  <c r="E14" i="195"/>
  <c r="C14" i="195"/>
  <c r="U14" i="194"/>
  <c r="S14" i="194"/>
  <c r="Q14" i="194"/>
  <c r="O14" i="194"/>
  <c r="M14" i="194"/>
  <c r="K14" i="194"/>
  <c r="I14" i="194"/>
  <c r="G14" i="194"/>
  <c r="E14" i="194"/>
  <c r="C14" i="194"/>
  <c r="U14" i="192"/>
  <c r="S14" i="192"/>
  <c r="Q14" i="192"/>
  <c r="O14" i="192"/>
  <c r="M14" i="192"/>
  <c r="K14" i="192"/>
  <c r="I14" i="192"/>
  <c r="G14" i="192"/>
  <c r="E14" i="192"/>
  <c r="C14" i="192"/>
  <c r="S14" i="193"/>
  <c r="Q14" i="193"/>
  <c r="O14" i="193"/>
  <c r="M14" i="193"/>
  <c r="K14" i="193"/>
  <c r="I14" i="193"/>
  <c r="G14" i="193"/>
  <c r="E14" i="193"/>
  <c r="U14" i="193"/>
  <c r="C14" i="193"/>
  <c r="C23" i="192"/>
  <c r="E23" i="192"/>
  <c r="G23" i="192"/>
  <c r="I23" i="192"/>
  <c r="K23" i="192"/>
  <c r="M23" i="192"/>
  <c r="O23" i="192"/>
  <c r="Q23" i="192"/>
  <c r="S23" i="192"/>
  <c r="U23" i="192"/>
  <c r="C24" i="192"/>
  <c r="C24" i="198"/>
  <c r="E24" i="192"/>
  <c r="E24" i="198"/>
  <c r="G24" i="192"/>
  <c r="G24" i="198"/>
  <c r="I24" i="192"/>
  <c r="I24" i="198"/>
  <c r="K24" i="192"/>
  <c r="K24" i="198"/>
  <c r="M24" i="192"/>
  <c r="M24" i="198"/>
  <c r="O24" i="192"/>
  <c r="O24" i="198"/>
  <c r="Q24" i="192"/>
  <c r="Q24" i="198"/>
  <c r="S24" i="192"/>
  <c r="S24" i="198"/>
  <c r="U24" i="192"/>
  <c r="U24" i="198"/>
  <c r="U115" i="192"/>
  <c r="S115" i="192"/>
  <c r="Q115" i="192"/>
  <c r="O115" i="192"/>
  <c r="M115" i="192"/>
  <c r="K115" i="192"/>
  <c r="I115" i="192"/>
  <c r="G115" i="192"/>
  <c r="E115" i="192"/>
  <c r="U114" i="192"/>
  <c r="S114" i="192"/>
  <c r="Q114" i="192"/>
  <c r="O114" i="192"/>
  <c r="M114" i="192"/>
  <c r="K114" i="192"/>
  <c r="I114" i="192"/>
  <c r="G114" i="192"/>
  <c r="E114" i="192"/>
  <c r="U113" i="192"/>
  <c r="S113" i="192"/>
  <c r="Q113" i="192"/>
  <c r="O113" i="192"/>
  <c r="M113" i="192"/>
  <c r="K113" i="192"/>
  <c r="I113" i="192"/>
  <c r="G113" i="192"/>
  <c r="E113" i="192"/>
  <c r="U50" i="192"/>
  <c r="U110" i="192"/>
  <c r="S50" i="192"/>
  <c r="S110" i="192"/>
  <c r="Q50" i="192"/>
  <c r="Q110" i="192"/>
  <c r="O50" i="192"/>
  <c r="O110" i="192"/>
  <c r="M50" i="192"/>
  <c r="M110" i="192"/>
  <c r="K50" i="192"/>
  <c r="K110" i="192"/>
  <c r="I50" i="192"/>
  <c r="I110" i="192"/>
  <c r="G50" i="192"/>
  <c r="G110" i="192"/>
  <c r="E50" i="192"/>
  <c r="E110" i="192"/>
  <c r="U45" i="192"/>
  <c r="S45" i="192"/>
  <c r="Q45" i="192"/>
  <c r="O45" i="192"/>
  <c r="M45" i="192"/>
  <c r="K45" i="192"/>
  <c r="I45" i="192"/>
  <c r="G45" i="192"/>
  <c r="E45" i="192"/>
  <c r="U44" i="192"/>
  <c r="U44" i="198"/>
  <c r="S44" i="192"/>
  <c r="S44" i="198"/>
  <c r="Q44" i="192"/>
  <c r="O44" i="192"/>
  <c r="O44" i="198"/>
  <c r="M44" i="192"/>
  <c r="M44" i="198"/>
  <c r="K44" i="192"/>
  <c r="K44" i="198"/>
  <c r="I44" i="192"/>
  <c r="G44" i="192"/>
  <c r="E44" i="192"/>
  <c r="E44" i="198"/>
  <c r="U43" i="192"/>
  <c r="S43" i="192"/>
  <c r="Q43" i="192"/>
  <c r="O43" i="192"/>
  <c r="M43" i="192"/>
  <c r="K43" i="192"/>
  <c r="I43" i="192"/>
  <c r="G43" i="192"/>
  <c r="E43" i="192"/>
  <c r="U42" i="192"/>
  <c r="S42" i="192"/>
  <c r="Q42" i="192"/>
  <c r="O42" i="192"/>
  <c r="M42" i="192"/>
  <c r="K42" i="192"/>
  <c r="I42" i="192"/>
  <c r="G42" i="192"/>
  <c r="E42" i="192"/>
  <c r="U41" i="192"/>
  <c r="S41" i="192"/>
  <c r="Q41" i="192"/>
  <c r="O41" i="192"/>
  <c r="M41" i="192"/>
  <c r="K41" i="192"/>
  <c r="I41" i="192"/>
  <c r="G41" i="192"/>
  <c r="E41" i="192"/>
  <c r="U40" i="192"/>
  <c r="S40" i="192"/>
  <c r="Q40" i="192"/>
  <c r="O40" i="192"/>
  <c r="M40" i="192"/>
  <c r="K40" i="192"/>
  <c r="I40" i="192"/>
  <c r="G40" i="192"/>
  <c r="E40" i="192"/>
  <c r="U39" i="192"/>
  <c r="S39" i="192"/>
  <c r="Q39" i="192"/>
  <c r="O39" i="192"/>
  <c r="M39" i="192"/>
  <c r="K39" i="192"/>
  <c r="I39" i="192"/>
  <c r="G39" i="192"/>
  <c r="E39" i="192"/>
  <c r="U38" i="192"/>
  <c r="S38" i="192"/>
  <c r="Q38" i="192"/>
  <c r="O38" i="192"/>
  <c r="M38" i="192"/>
  <c r="K38" i="192"/>
  <c r="I38" i="192"/>
  <c r="G38" i="192"/>
  <c r="E38" i="192"/>
  <c r="U37" i="192"/>
  <c r="S37" i="192"/>
  <c r="Q37" i="192"/>
  <c r="O37" i="192"/>
  <c r="M37" i="192"/>
  <c r="K37" i="192"/>
  <c r="I37" i="192"/>
  <c r="G37" i="192"/>
  <c r="E37" i="192"/>
  <c r="U36" i="192"/>
  <c r="S36" i="192"/>
  <c r="Q36" i="192"/>
  <c r="O36" i="192"/>
  <c r="M36" i="192"/>
  <c r="K36" i="192"/>
  <c r="I36" i="192"/>
  <c r="G36" i="192"/>
  <c r="E36" i="192"/>
  <c r="U32" i="192"/>
  <c r="U32" i="198"/>
  <c r="S32" i="192"/>
  <c r="S32" i="198"/>
  <c r="Q32" i="192"/>
  <c r="Q32" i="198"/>
  <c r="O32" i="192"/>
  <c r="O32" i="198"/>
  <c r="M32" i="192"/>
  <c r="M32" i="198"/>
  <c r="K32" i="192"/>
  <c r="K32" i="198"/>
  <c r="I32" i="192"/>
  <c r="I32" i="198"/>
  <c r="G32" i="192"/>
  <c r="G32" i="198"/>
  <c r="E32" i="192"/>
  <c r="E32" i="198"/>
  <c r="U27" i="192"/>
  <c r="S27" i="192"/>
  <c r="Q27" i="192"/>
  <c r="O27" i="192"/>
  <c r="M27" i="192"/>
  <c r="K27" i="192"/>
  <c r="I27" i="192"/>
  <c r="G27" i="192"/>
  <c r="E27" i="192"/>
  <c r="U26" i="192"/>
  <c r="U26" i="198"/>
  <c r="S26" i="192"/>
  <c r="S26" i="198"/>
  <c r="Q26" i="192"/>
  <c r="Q26" i="198"/>
  <c r="O26" i="198"/>
  <c r="M26" i="198"/>
  <c r="K26" i="198"/>
  <c r="I26" i="198"/>
  <c r="G26" i="198"/>
  <c r="E26" i="198"/>
  <c r="U25" i="192"/>
  <c r="S25" i="192"/>
  <c r="S25" i="198"/>
  <c r="Q25" i="192"/>
  <c r="O25" i="192"/>
  <c r="O25" i="198"/>
  <c r="M25" i="192"/>
  <c r="K25" i="192"/>
  <c r="K25" i="198"/>
  <c r="I25" i="192"/>
  <c r="G25" i="192"/>
  <c r="G25" i="198"/>
  <c r="E25" i="192"/>
  <c r="U21" i="192"/>
  <c r="S21" i="192"/>
  <c r="Q21" i="192"/>
  <c r="O21" i="192"/>
  <c r="M21" i="192"/>
  <c r="K21" i="192"/>
  <c r="I21" i="192"/>
  <c r="G21" i="192"/>
  <c r="E21" i="192"/>
  <c r="U16" i="192"/>
  <c r="S16" i="192"/>
  <c r="Q16" i="192"/>
  <c r="O16" i="192"/>
  <c r="M16" i="192"/>
  <c r="K16" i="192"/>
  <c r="I16" i="192"/>
  <c r="G16" i="192"/>
  <c r="E16" i="192"/>
  <c r="C115" i="192"/>
  <c r="C114" i="192"/>
  <c r="C113" i="192"/>
  <c r="C45" i="192"/>
  <c r="C44" i="192"/>
  <c r="C43" i="192"/>
  <c r="C43" i="198"/>
  <c r="C42" i="192"/>
  <c r="C42" i="198"/>
  <c r="C41" i="192"/>
  <c r="C40" i="192"/>
  <c r="C39" i="192"/>
  <c r="C38" i="192"/>
  <c r="C37" i="192"/>
  <c r="C36" i="192"/>
  <c r="C50" i="192"/>
  <c r="C32" i="192"/>
  <c r="C32" i="198"/>
  <c r="C27" i="192"/>
  <c r="C26" i="198"/>
  <c r="C25" i="192"/>
  <c r="C21" i="192"/>
  <c r="U111" i="197"/>
  <c r="S111" i="197"/>
  <c r="Q111" i="197"/>
  <c r="O111" i="197"/>
  <c r="M111" i="197"/>
  <c r="K111" i="197"/>
  <c r="I111" i="197"/>
  <c r="G111" i="197"/>
  <c r="E111" i="197"/>
  <c r="C111" i="197"/>
  <c r="K28" i="197"/>
  <c r="L99" i="197"/>
  <c r="O28" i="197"/>
  <c r="P84" i="197"/>
  <c r="P83" i="197"/>
  <c r="E28" i="197"/>
  <c r="F75" i="197"/>
  <c r="I28" i="197"/>
  <c r="J60" i="197"/>
  <c r="U50" i="197"/>
  <c r="U110" i="197"/>
  <c r="S50" i="197"/>
  <c r="S110" i="197"/>
  <c r="Q50" i="197"/>
  <c r="Q110" i="197"/>
  <c r="O50" i="197"/>
  <c r="O110" i="197"/>
  <c r="M50" i="197"/>
  <c r="M110" i="197"/>
  <c r="K50" i="197"/>
  <c r="K110" i="197"/>
  <c r="I50" i="197"/>
  <c r="I110" i="197"/>
  <c r="G50" i="197"/>
  <c r="G110" i="197"/>
  <c r="E50" i="197"/>
  <c r="E110" i="197"/>
  <c r="C50" i="197"/>
  <c r="C110" i="197"/>
  <c r="B48" i="197"/>
  <c r="A48" i="197"/>
  <c r="U46" i="197"/>
  <c r="S46" i="197"/>
  <c r="Q46" i="197"/>
  <c r="O46" i="197"/>
  <c r="M46" i="197"/>
  <c r="K46" i="197"/>
  <c r="L46" i="197"/>
  <c r="I46" i="197"/>
  <c r="G46" i="197"/>
  <c r="E46" i="197"/>
  <c r="C46" i="197"/>
  <c r="P44" i="197"/>
  <c r="J44" i="197"/>
  <c r="L43" i="197"/>
  <c r="P40" i="197"/>
  <c r="J40" i="197"/>
  <c r="L39" i="197"/>
  <c r="P36" i="197"/>
  <c r="J36" i="197"/>
  <c r="U33" i="197"/>
  <c r="S33" i="197"/>
  <c r="Q33" i="197"/>
  <c r="O33" i="197"/>
  <c r="M33" i="197"/>
  <c r="K33" i="197"/>
  <c r="L33" i="197"/>
  <c r="I33" i="197"/>
  <c r="J33" i="197"/>
  <c r="G33" i="197"/>
  <c r="E33" i="197"/>
  <c r="C33" i="197"/>
  <c r="P31" i="197"/>
  <c r="U28" i="197"/>
  <c r="V23" i="197"/>
  <c r="S28" i="197"/>
  <c r="T19" i="197"/>
  <c r="Q28" i="197"/>
  <c r="P87" i="197"/>
  <c r="M28" i="197"/>
  <c r="J74" i="197"/>
  <c r="G28" i="197"/>
  <c r="F59" i="197"/>
  <c r="C28" i="197"/>
  <c r="T27" i="197"/>
  <c r="P27" i="197"/>
  <c r="L27" i="197"/>
  <c r="H27" i="197"/>
  <c r="F27" i="197"/>
  <c r="P26" i="197"/>
  <c r="L26" i="197"/>
  <c r="D26" i="197"/>
  <c r="T25" i="197"/>
  <c r="P25" i="197"/>
  <c r="L25" i="197"/>
  <c r="H25" i="197"/>
  <c r="F25" i="197"/>
  <c r="P24" i="197"/>
  <c r="L24" i="197"/>
  <c r="D24" i="197"/>
  <c r="P23" i="197"/>
  <c r="N23" i="197"/>
  <c r="L23" i="197"/>
  <c r="D23" i="197"/>
  <c r="T21" i="197"/>
  <c r="P21" i="197"/>
  <c r="L21" i="197"/>
  <c r="J21" i="197"/>
  <c r="H21" i="197"/>
  <c r="P20" i="197"/>
  <c r="L20" i="197"/>
  <c r="D20" i="197"/>
  <c r="P19" i="197"/>
  <c r="L19" i="197"/>
  <c r="J19" i="197"/>
  <c r="U16" i="197"/>
  <c r="S16" i="197"/>
  <c r="Q16" i="197"/>
  <c r="O16" i="197"/>
  <c r="M16" i="197"/>
  <c r="K16" i="197"/>
  <c r="I16" i="197"/>
  <c r="G16" i="197"/>
  <c r="E16" i="197"/>
  <c r="C16" i="197"/>
  <c r="C50" i="195"/>
  <c r="C110" i="195"/>
  <c r="B48" i="195"/>
  <c r="A48" i="195"/>
  <c r="C16" i="195"/>
  <c r="U111" i="194"/>
  <c r="S111" i="194"/>
  <c r="Q111" i="194"/>
  <c r="O111" i="194"/>
  <c r="M111" i="194"/>
  <c r="K111" i="194"/>
  <c r="I111" i="194"/>
  <c r="G111" i="194"/>
  <c r="E111" i="194"/>
  <c r="C111" i="194"/>
  <c r="K50" i="194"/>
  <c r="K110" i="194"/>
  <c r="C50" i="194"/>
  <c r="C110" i="194"/>
  <c r="U50" i="194"/>
  <c r="U110" i="194"/>
  <c r="S50" i="194"/>
  <c r="S110" i="194"/>
  <c r="Q50" i="194"/>
  <c r="Q110" i="194"/>
  <c r="O50" i="194"/>
  <c r="O110" i="194"/>
  <c r="M50" i="194"/>
  <c r="M110" i="194"/>
  <c r="I50" i="194"/>
  <c r="I110" i="194"/>
  <c r="G50" i="194"/>
  <c r="G110" i="194"/>
  <c r="E50" i="194"/>
  <c r="E110" i="194"/>
  <c r="B48" i="194"/>
  <c r="A48" i="194"/>
  <c r="U46" i="194"/>
  <c r="S46" i="194"/>
  <c r="Q46" i="194"/>
  <c r="O46" i="194"/>
  <c r="M46" i="194"/>
  <c r="K46" i="194"/>
  <c r="I46" i="194"/>
  <c r="G46" i="194"/>
  <c r="E46" i="194"/>
  <c r="C46" i="194"/>
  <c r="U28" i="194"/>
  <c r="S28" i="194"/>
  <c r="T25" i="194"/>
  <c r="Q28" i="194"/>
  <c r="R25" i="194"/>
  <c r="O28" i="194"/>
  <c r="M28" i="194"/>
  <c r="N44" i="194"/>
  <c r="K28" i="194"/>
  <c r="I28" i="194"/>
  <c r="J113" i="194"/>
  <c r="G28" i="194"/>
  <c r="E28" i="194"/>
  <c r="C28" i="194"/>
  <c r="D26" i="194"/>
  <c r="P24" i="194"/>
  <c r="P23" i="194"/>
  <c r="U16" i="194"/>
  <c r="S16" i="194"/>
  <c r="Q16" i="194"/>
  <c r="O16" i="194"/>
  <c r="M16" i="194"/>
  <c r="K16" i="194"/>
  <c r="I16" i="194"/>
  <c r="G16" i="194"/>
  <c r="E16" i="194"/>
  <c r="C16" i="194"/>
  <c r="U111" i="193"/>
  <c r="S111" i="193"/>
  <c r="Q111" i="193"/>
  <c r="O111" i="193"/>
  <c r="M111" i="193"/>
  <c r="K111" i="193"/>
  <c r="I111" i="193"/>
  <c r="G111" i="193"/>
  <c r="E111" i="193"/>
  <c r="C111" i="193"/>
  <c r="U50" i="193"/>
  <c r="U110" i="193"/>
  <c r="S50" i="193"/>
  <c r="S110" i="193"/>
  <c r="Q50" i="193"/>
  <c r="Q110" i="193"/>
  <c r="O50" i="193"/>
  <c r="O110" i="193"/>
  <c r="M50" i="193"/>
  <c r="M110" i="193"/>
  <c r="K50" i="193"/>
  <c r="K110" i="193"/>
  <c r="I50" i="193"/>
  <c r="I110" i="193"/>
  <c r="G50" i="193"/>
  <c r="G110" i="193"/>
  <c r="E50" i="193"/>
  <c r="E110" i="193"/>
  <c r="C50" i="193"/>
  <c r="C110" i="193"/>
  <c r="B48" i="193"/>
  <c r="A48" i="193"/>
  <c r="U46" i="193"/>
  <c r="S46" i="193"/>
  <c r="Q46" i="193"/>
  <c r="O46" i="193"/>
  <c r="M46" i="193"/>
  <c r="K46" i="193"/>
  <c r="I46" i="193"/>
  <c r="G46" i="193"/>
  <c r="E46" i="193"/>
  <c r="C46" i="193"/>
  <c r="U28" i="193"/>
  <c r="S28" i="193"/>
  <c r="T19" i="193"/>
  <c r="Q28" i="193"/>
  <c r="O28" i="193"/>
  <c r="M28" i="193"/>
  <c r="K28" i="193"/>
  <c r="I28" i="193"/>
  <c r="G28" i="193"/>
  <c r="E28" i="193"/>
  <c r="C28" i="193"/>
  <c r="D19" i="193"/>
  <c r="D24" i="193"/>
  <c r="U16" i="193"/>
  <c r="S16" i="193"/>
  <c r="Q16" i="193"/>
  <c r="O16" i="193"/>
  <c r="M16" i="193"/>
  <c r="K16" i="193"/>
  <c r="I16" i="193"/>
  <c r="G16" i="193"/>
  <c r="E16" i="193"/>
  <c r="C16" i="193"/>
  <c r="C110" i="192"/>
  <c r="B48" i="192"/>
  <c r="A48" i="192"/>
  <c r="C16" i="192"/>
  <c r="C50" i="191"/>
  <c r="C110" i="191"/>
  <c r="U50" i="191"/>
  <c r="U110" i="191"/>
  <c r="S50" i="191"/>
  <c r="S110" i="191"/>
  <c r="Q50" i="191"/>
  <c r="Q110" i="191"/>
  <c r="O50" i="191"/>
  <c r="O110" i="191"/>
  <c r="M50" i="191"/>
  <c r="M110" i="191"/>
  <c r="K50" i="191"/>
  <c r="K110" i="191"/>
  <c r="I50" i="191"/>
  <c r="I110" i="191"/>
  <c r="G50" i="191"/>
  <c r="G110" i="191"/>
  <c r="E50" i="191"/>
  <c r="E110" i="191"/>
  <c r="B48" i="191"/>
  <c r="A48" i="191"/>
  <c r="U46" i="191"/>
  <c r="S46" i="191"/>
  <c r="Q46" i="191"/>
  <c r="O46" i="191"/>
  <c r="M46" i="191"/>
  <c r="K46" i="191"/>
  <c r="I46" i="191"/>
  <c r="G46" i="191"/>
  <c r="E46" i="191"/>
  <c r="C46" i="191"/>
  <c r="U16" i="191"/>
  <c r="S16" i="191"/>
  <c r="Q16" i="191"/>
  <c r="O16" i="191"/>
  <c r="M16" i="191"/>
  <c r="K16" i="191"/>
  <c r="I16" i="191"/>
  <c r="G16" i="191"/>
  <c r="E16" i="191"/>
  <c r="C16" i="191"/>
  <c r="U50" i="190"/>
  <c r="U110" i="190"/>
  <c r="S50" i="190"/>
  <c r="S110" i="190"/>
  <c r="Q50" i="190"/>
  <c r="Q110" i="190"/>
  <c r="O50" i="190"/>
  <c r="O110" i="190"/>
  <c r="M50" i="190"/>
  <c r="M110" i="190"/>
  <c r="K50" i="190"/>
  <c r="K110" i="190"/>
  <c r="I50" i="190"/>
  <c r="I110" i="190"/>
  <c r="G50" i="190"/>
  <c r="G110" i="190"/>
  <c r="E50" i="190"/>
  <c r="E110" i="190"/>
  <c r="C50" i="190"/>
  <c r="C110" i="190"/>
  <c r="B48" i="190"/>
  <c r="A48" i="190"/>
  <c r="U46" i="190"/>
  <c r="S46" i="190"/>
  <c r="Q46" i="190"/>
  <c r="O46" i="190"/>
  <c r="M46" i="190"/>
  <c r="K46" i="190"/>
  <c r="I46" i="190"/>
  <c r="G46" i="190"/>
  <c r="E46" i="190"/>
  <c r="C46" i="190"/>
  <c r="U16" i="190"/>
  <c r="S16" i="190"/>
  <c r="Q16" i="190"/>
  <c r="O16" i="190"/>
  <c r="M16" i="190"/>
  <c r="K16" i="190"/>
  <c r="I16" i="190"/>
  <c r="G16" i="190"/>
  <c r="E16" i="190"/>
  <c r="C16" i="190"/>
  <c r="U50" i="189"/>
  <c r="U110" i="189"/>
  <c r="S50" i="189"/>
  <c r="S110" i="189"/>
  <c r="Q50" i="189"/>
  <c r="Q110" i="189"/>
  <c r="O50" i="189"/>
  <c r="O110" i="189"/>
  <c r="M50" i="189"/>
  <c r="M110" i="189"/>
  <c r="K50" i="189"/>
  <c r="K110" i="189"/>
  <c r="I50" i="189"/>
  <c r="I110" i="189"/>
  <c r="G50" i="189"/>
  <c r="G110" i="189"/>
  <c r="E50" i="189"/>
  <c r="E110" i="189"/>
  <c r="C50" i="189"/>
  <c r="C110" i="189"/>
  <c r="B48" i="189"/>
  <c r="A48" i="189"/>
  <c r="U46" i="189"/>
  <c r="S46" i="189"/>
  <c r="Q46" i="189"/>
  <c r="O46" i="189"/>
  <c r="M46" i="189"/>
  <c r="K46" i="189"/>
  <c r="I46" i="189"/>
  <c r="G46" i="189"/>
  <c r="E46" i="189"/>
  <c r="C46" i="189"/>
  <c r="U16" i="189"/>
  <c r="S16" i="189"/>
  <c r="Q16" i="189"/>
  <c r="O16" i="189"/>
  <c r="M16" i="189"/>
  <c r="K16" i="189"/>
  <c r="I16" i="189"/>
  <c r="G16" i="189"/>
  <c r="E16" i="189"/>
  <c r="C16" i="189"/>
  <c r="U50" i="188"/>
  <c r="U110" i="188"/>
  <c r="S50" i="188"/>
  <c r="S110" i="188"/>
  <c r="Q50" i="188"/>
  <c r="Q110" i="188"/>
  <c r="O50" i="188"/>
  <c r="O110" i="188"/>
  <c r="M50" i="188"/>
  <c r="M110" i="188"/>
  <c r="K50" i="188"/>
  <c r="K110" i="188"/>
  <c r="I50" i="188"/>
  <c r="I110" i="188"/>
  <c r="G50" i="188"/>
  <c r="G110" i="188"/>
  <c r="E50" i="188"/>
  <c r="E110" i="188"/>
  <c r="C50" i="188"/>
  <c r="C110" i="188"/>
  <c r="B48" i="188"/>
  <c r="A48" i="188"/>
  <c r="U46" i="188"/>
  <c r="S46" i="188"/>
  <c r="Q46" i="188"/>
  <c r="O46" i="188"/>
  <c r="M46" i="188"/>
  <c r="K46" i="188"/>
  <c r="I46" i="188"/>
  <c r="G46" i="188"/>
  <c r="E46" i="188"/>
  <c r="C46" i="188"/>
  <c r="U16" i="188"/>
  <c r="S16" i="188"/>
  <c r="Q16" i="188"/>
  <c r="O16" i="188"/>
  <c r="M16" i="188"/>
  <c r="K16" i="188"/>
  <c r="I16" i="188"/>
  <c r="G16" i="188"/>
  <c r="E16" i="188"/>
  <c r="C16" i="188"/>
  <c r="U50" i="187"/>
  <c r="U110" i="187"/>
  <c r="S50" i="187"/>
  <c r="S110" i="187"/>
  <c r="Q50" i="187"/>
  <c r="Q110" i="187"/>
  <c r="O50" i="187"/>
  <c r="O110" i="187"/>
  <c r="M50" i="187"/>
  <c r="M110" i="187"/>
  <c r="K50" i="187"/>
  <c r="K110" i="187"/>
  <c r="I50" i="187"/>
  <c r="I110" i="187"/>
  <c r="G50" i="187"/>
  <c r="G110" i="187"/>
  <c r="E50" i="187"/>
  <c r="E110" i="187"/>
  <c r="C50" i="187"/>
  <c r="C110" i="187"/>
  <c r="B48" i="187"/>
  <c r="A48" i="187"/>
  <c r="U46" i="187"/>
  <c r="S46" i="187"/>
  <c r="Q46" i="187"/>
  <c r="O46" i="187"/>
  <c r="M46" i="187"/>
  <c r="K46" i="187"/>
  <c r="I46" i="187"/>
  <c r="G46" i="187"/>
  <c r="E46" i="187"/>
  <c r="C46" i="187"/>
  <c r="U16" i="187"/>
  <c r="S16" i="187"/>
  <c r="Q16" i="187"/>
  <c r="O16" i="187"/>
  <c r="M16" i="187"/>
  <c r="K16" i="187"/>
  <c r="I16" i="187"/>
  <c r="G16" i="187"/>
  <c r="E16" i="187"/>
  <c r="C16" i="187"/>
  <c r="U50" i="186"/>
  <c r="U110" i="186"/>
  <c r="S50" i="186"/>
  <c r="S110" i="186"/>
  <c r="Q50" i="186"/>
  <c r="Q110" i="186"/>
  <c r="O50" i="186"/>
  <c r="O110" i="186"/>
  <c r="M50" i="186"/>
  <c r="M110" i="186"/>
  <c r="K50" i="186"/>
  <c r="K110" i="186"/>
  <c r="I50" i="186"/>
  <c r="I110" i="186"/>
  <c r="G50" i="186"/>
  <c r="G110" i="186"/>
  <c r="E50" i="186"/>
  <c r="E110" i="186"/>
  <c r="C50" i="186"/>
  <c r="C110" i="186"/>
  <c r="B48" i="186"/>
  <c r="A48" i="186"/>
  <c r="U46" i="186"/>
  <c r="S46" i="186"/>
  <c r="Q46" i="186"/>
  <c r="O46" i="186"/>
  <c r="M46" i="186"/>
  <c r="K46" i="186"/>
  <c r="I46" i="186"/>
  <c r="G46" i="186"/>
  <c r="E46" i="186"/>
  <c r="C46" i="186"/>
  <c r="U16" i="186"/>
  <c r="S16" i="186"/>
  <c r="Q16" i="186"/>
  <c r="O16" i="186"/>
  <c r="M16" i="186"/>
  <c r="K16" i="186"/>
  <c r="I16" i="186"/>
  <c r="G16" i="186"/>
  <c r="E16" i="186"/>
  <c r="C16" i="186"/>
  <c r="U50" i="185"/>
  <c r="U110" i="185"/>
  <c r="Q50" i="185"/>
  <c r="Q110" i="185"/>
  <c r="M50" i="185"/>
  <c r="M110" i="185"/>
  <c r="I50" i="185"/>
  <c r="I110" i="185"/>
  <c r="S50" i="185"/>
  <c r="S110" i="185"/>
  <c r="O50" i="185"/>
  <c r="O110" i="185"/>
  <c r="K50" i="185"/>
  <c r="K110" i="185"/>
  <c r="G50" i="185"/>
  <c r="G110" i="185"/>
  <c r="E50" i="185"/>
  <c r="E110" i="185"/>
  <c r="C50" i="185"/>
  <c r="C110" i="185"/>
  <c r="B48" i="185"/>
  <c r="A48" i="185"/>
  <c r="U46" i="185"/>
  <c r="S46" i="185"/>
  <c r="Q46" i="185"/>
  <c r="O46" i="185"/>
  <c r="M46" i="185"/>
  <c r="K46" i="185"/>
  <c r="I46" i="185"/>
  <c r="G46" i="185"/>
  <c r="E46" i="185"/>
  <c r="C46" i="185"/>
  <c r="U16" i="185"/>
  <c r="S16" i="185"/>
  <c r="Q16" i="185"/>
  <c r="O16" i="185"/>
  <c r="M16" i="185"/>
  <c r="K16" i="185"/>
  <c r="I16" i="185"/>
  <c r="G16" i="185"/>
  <c r="E16" i="185"/>
  <c r="C16" i="185"/>
  <c r="U50" i="184"/>
  <c r="U110" i="184"/>
  <c r="S50" i="184"/>
  <c r="S110" i="184"/>
  <c r="Q50" i="184"/>
  <c r="Q110" i="184"/>
  <c r="O50" i="184"/>
  <c r="O110" i="184"/>
  <c r="M50" i="184"/>
  <c r="M110" i="184"/>
  <c r="K50" i="184"/>
  <c r="K110" i="184"/>
  <c r="I50" i="184"/>
  <c r="I110" i="184"/>
  <c r="G50" i="184"/>
  <c r="G110" i="184"/>
  <c r="E50" i="184"/>
  <c r="E110" i="184"/>
  <c r="C50" i="184"/>
  <c r="C110" i="184"/>
  <c r="B48" i="184"/>
  <c r="A48" i="184"/>
  <c r="U46" i="184"/>
  <c r="S46" i="184"/>
  <c r="Q46" i="184"/>
  <c r="O46" i="184"/>
  <c r="M46" i="184"/>
  <c r="K46" i="184"/>
  <c r="I46" i="184"/>
  <c r="G46" i="184"/>
  <c r="E46" i="184"/>
  <c r="C46" i="184"/>
  <c r="U16" i="184"/>
  <c r="S16" i="184"/>
  <c r="Q16" i="184"/>
  <c r="O16" i="184"/>
  <c r="M16" i="184"/>
  <c r="K16" i="184"/>
  <c r="I16" i="184"/>
  <c r="G16" i="184"/>
  <c r="E16" i="184"/>
  <c r="C16" i="184"/>
  <c r="U50" i="183"/>
  <c r="U110" i="183"/>
  <c r="S50" i="183"/>
  <c r="S110" i="183"/>
  <c r="Q50" i="183"/>
  <c r="Q110" i="183"/>
  <c r="O50" i="183"/>
  <c r="O110" i="183"/>
  <c r="M50" i="183"/>
  <c r="M110" i="183"/>
  <c r="K50" i="183"/>
  <c r="K110" i="183"/>
  <c r="I50" i="183"/>
  <c r="I110" i="183"/>
  <c r="G50" i="183"/>
  <c r="G110" i="183"/>
  <c r="E50" i="183"/>
  <c r="E110" i="183"/>
  <c r="C50" i="183"/>
  <c r="C110" i="183"/>
  <c r="B48" i="183"/>
  <c r="A48" i="183"/>
  <c r="U46" i="183"/>
  <c r="S46" i="183"/>
  <c r="Q46" i="183"/>
  <c r="O46" i="183"/>
  <c r="M46" i="183"/>
  <c r="K46" i="183"/>
  <c r="I46" i="183"/>
  <c r="G46" i="183"/>
  <c r="E46" i="183"/>
  <c r="C46" i="183"/>
  <c r="U16" i="183"/>
  <c r="S16" i="183"/>
  <c r="Q16" i="183"/>
  <c r="O16" i="183"/>
  <c r="M16" i="183"/>
  <c r="K16" i="183"/>
  <c r="I16" i="183"/>
  <c r="G16" i="183"/>
  <c r="E16" i="183"/>
  <c r="C16" i="183"/>
  <c r="E50" i="182"/>
  <c r="E110" i="182"/>
  <c r="C50" i="182"/>
  <c r="C110" i="182"/>
  <c r="U50" i="182"/>
  <c r="U110" i="182"/>
  <c r="S50" i="182"/>
  <c r="S110" i="182"/>
  <c r="Q50" i="182"/>
  <c r="Q110" i="182"/>
  <c r="O50" i="182"/>
  <c r="O110" i="182"/>
  <c r="M50" i="182"/>
  <c r="M110" i="182"/>
  <c r="K50" i="182"/>
  <c r="K110" i="182"/>
  <c r="I50" i="182"/>
  <c r="I110" i="182"/>
  <c r="G50" i="182"/>
  <c r="G110" i="182"/>
  <c r="B48" i="182"/>
  <c r="A48" i="182"/>
  <c r="U46" i="182"/>
  <c r="S46" i="182"/>
  <c r="Q46" i="182"/>
  <c r="O46" i="182"/>
  <c r="M46" i="182"/>
  <c r="K46" i="182"/>
  <c r="I46" i="182"/>
  <c r="G46" i="182"/>
  <c r="E46" i="182"/>
  <c r="C46" i="182"/>
  <c r="U16" i="182"/>
  <c r="S16" i="182"/>
  <c r="Q16" i="182"/>
  <c r="O16" i="182"/>
  <c r="M16" i="182"/>
  <c r="K16" i="182"/>
  <c r="I16" i="182"/>
  <c r="G16" i="182"/>
  <c r="E16" i="182"/>
  <c r="C16" i="182"/>
  <c r="U50" i="181"/>
  <c r="U110" i="181"/>
  <c r="S50" i="181"/>
  <c r="S110" i="181"/>
  <c r="Q50" i="181"/>
  <c r="Q110" i="181"/>
  <c r="O50" i="181"/>
  <c r="O110" i="181"/>
  <c r="M50" i="181"/>
  <c r="M110" i="181"/>
  <c r="K50" i="181"/>
  <c r="K110" i="181"/>
  <c r="I50" i="181"/>
  <c r="I110" i="181"/>
  <c r="G50" i="181"/>
  <c r="G110" i="181"/>
  <c r="E50" i="181"/>
  <c r="E110" i="181"/>
  <c r="C50" i="181"/>
  <c r="C110" i="181"/>
  <c r="B48" i="181"/>
  <c r="A48" i="181"/>
  <c r="U46" i="181"/>
  <c r="S46" i="181"/>
  <c r="Q46" i="181"/>
  <c r="O46" i="181"/>
  <c r="M46" i="181"/>
  <c r="K46" i="181"/>
  <c r="I46" i="181"/>
  <c r="G46" i="181"/>
  <c r="E46" i="181"/>
  <c r="C46" i="181"/>
  <c r="U16" i="181"/>
  <c r="S16" i="181"/>
  <c r="Q16" i="181"/>
  <c r="O16" i="181"/>
  <c r="M16" i="181"/>
  <c r="K16" i="181"/>
  <c r="I16" i="181"/>
  <c r="G16" i="181"/>
  <c r="E16" i="181"/>
  <c r="C16" i="181"/>
  <c r="G50" i="180"/>
  <c r="G110" i="180"/>
  <c r="U50" i="180"/>
  <c r="U110" i="180"/>
  <c r="S50" i="180"/>
  <c r="S110" i="180"/>
  <c r="Q50" i="180"/>
  <c r="Q110" i="180"/>
  <c r="O50" i="180"/>
  <c r="O110" i="180"/>
  <c r="M50" i="180"/>
  <c r="M110" i="180"/>
  <c r="K50" i="180"/>
  <c r="K110" i="180"/>
  <c r="I50" i="180"/>
  <c r="I110" i="180"/>
  <c r="E50" i="180"/>
  <c r="E110" i="180"/>
  <c r="C50" i="180"/>
  <c r="C110" i="180"/>
  <c r="B48" i="180"/>
  <c r="A48" i="180"/>
  <c r="U46" i="180"/>
  <c r="S46" i="180"/>
  <c r="Q46" i="180"/>
  <c r="O46" i="180"/>
  <c r="M46" i="180"/>
  <c r="K46" i="180"/>
  <c r="I46" i="180"/>
  <c r="G46" i="180"/>
  <c r="E46" i="180"/>
  <c r="C46" i="180"/>
  <c r="U16" i="180"/>
  <c r="S16" i="180"/>
  <c r="Q16" i="180"/>
  <c r="O16" i="180"/>
  <c r="M16" i="180"/>
  <c r="K16" i="180"/>
  <c r="I16" i="180"/>
  <c r="G16" i="180"/>
  <c r="E16" i="180"/>
  <c r="C16" i="180"/>
  <c r="Q50" i="179"/>
  <c r="Q110" i="179"/>
  <c r="U50" i="179"/>
  <c r="U110" i="179"/>
  <c r="S50" i="179"/>
  <c r="S110" i="179"/>
  <c r="O50" i="179"/>
  <c r="O110" i="179"/>
  <c r="M50" i="179"/>
  <c r="M110" i="179"/>
  <c r="K50" i="179"/>
  <c r="K110" i="179"/>
  <c r="I50" i="179"/>
  <c r="I110" i="179"/>
  <c r="G50" i="179"/>
  <c r="G110" i="179"/>
  <c r="E50" i="179"/>
  <c r="E110" i="179"/>
  <c r="C50" i="179"/>
  <c r="C110" i="179"/>
  <c r="B48" i="179"/>
  <c r="A48" i="179"/>
  <c r="U46" i="179"/>
  <c r="S46" i="179"/>
  <c r="Q46" i="179"/>
  <c r="O46" i="179"/>
  <c r="M46" i="179"/>
  <c r="K46" i="179"/>
  <c r="I46" i="179"/>
  <c r="G46" i="179"/>
  <c r="E46" i="179"/>
  <c r="C46" i="179"/>
  <c r="U16" i="179"/>
  <c r="S16" i="179"/>
  <c r="Q16" i="179"/>
  <c r="O16" i="179"/>
  <c r="M16" i="179"/>
  <c r="K16" i="179"/>
  <c r="I16" i="179"/>
  <c r="G16" i="179"/>
  <c r="E16" i="179"/>
  <c r="C16" i="179"/>
  <c r="C50" i="178"/>
  <c r="C110" i="178"/>
  <c r="U50" i="178"/>
  <c r="U110" i="178"/>
  <c r="S50" i="178"/>
  <c r="S110" i="178"/>
  <c r="Q50" i="178"/>
  <c r="Q110" i="178"/>
  <c r="O50" i="178"/>
  <c r="O110" i="178"/>
  <c r="M50" i="178"/>
  <c r="M110" i="178"/>
  <c r="K50" i="178"/>
  <c r="K110" i="178"/>
  <c r="I50" i="178"/>
  <c r="I110" i="178"/>
  <c r="G50" i="178"/>
  <c r="G110" i="178"/>
  <c r="E50" i="178"/>
  <c r="E110" i="178"/>
  <c r="B48" i="178"/>
  <c r="A48" i="178"/>
  <c r="U46" i="178"/>
  <c r="S46" i="178"/>
  <c r="Q46" i="178"/>
  <c r="O46" i="178"/>
  <c r="M46" i="178"/>
  <c r="K46" i="178"/>
  <c r="I46" i="178"/>
  <c r="G46" i="178"/>
  <c r="E46" i="178"/>
  <c r="C46" i="178"/>
  <c r="U16" i="178"/>
  <c r="S16" i="178"/>
  <c r="Q16" i="178"/>
  <c r="O16" i="178"/>
  <c r="M16" i="178"/>
  <c r="K16" i="178"/>
  <c r="I16" i="178"/>
  <c r="G16" i="178"/>
  <c r="E16" i="178"/>
  <c r="C16" i="178"/>
  <c r="S50" i="177"/>
  <c r="S110" i="177"/>
  <c r="K50" i="177"/>
  <c r="K110" i="177"/>
  <c r="C50" i="177"/>
  <c r="C110" i="177"/>
  <c r="U50" i="177"/>
  <c r="U110" i="177"/>
  <c r="Q50" i="177"/>
  <c r="Q110" i="177"/>
  <c r="O50" i="177"/>
  <c r="O110" i="177"/>
  <c r="M50" i="177"/>
  <c r="M110" i="177"/>
  <c r="I50" i="177"/>
  <c r="I110" i="177"/>
  <c r="G50" i="177"/>
  <c r="G110" i="177"/>
  <c r="E50" i="177"/>
  <c r="E110" i="177"/>
  <c r="B48" i="177"/>
  <c r="A48" i="177"/>
  <c r="U46" i="177"/>
  <c r="S46" i="177"/>
  <c r="Q46" i="177"/>
  <c r="O46" i="177"/>
  <c r="M46" i="177"/>
  <c r="K46" i="177"/>
  <c r="I46" i="177"/>
  <c r="G46" i="177"/>
  <c r="E46" i="177"/>
  <c r="C46" i="177"/>
  <c r="U16" i="177"/>
  <c r="S16" i="177"/>
  <c r="Q16" i="177"/>
  <c r="O16" i="177"/>
  <c r="M16" i="177"/>
  <c r="K16" i="177"/>
  <c r="I16" i="177"/>
  <c r="G16" i="177"/>
  <c r="E16" i="177"/>
  <c r="C16" i="177"/>
  <c r="U31" i="177"/>
  <c r="U33" i="177"/>
  <c r="S31" i="177"/>
  <c r="S33" i="177"/>
  <c r="Q31" i="177"/>
  <c r="Q33" i="177"/>
  <c r="O31" i="177"/>
  <c r="O33" i="177"/>
  <c r="M31" i="177"/>
  <c r="M33" i="177"/>
  <c r="K31" i="177"/>
  <c r="K33" i="177"/>
  <c r="I31" i="177"/>
  <c r="I33" i="177"/>
  <c r="G31" i="177"/>
  <c r="G33" i="177"/>
  <c r="C14" i="177"/>
  <c r="U50" i="176"/>
  <c r="U110" i="176"/>
  <c r="E50" i="176"/>
  <c r="E110" i="176"/>
  <c r="C50" i="176"/>
  <c r="C110" i="176"/>
  <c r="S50" i="176"/>
  <c r="S110" i="176"/>
  <c r="Q50" i="176"/>
  <c r="Q110" i="176"/>
  <c r="O50" i="176"/>
  <c r="O110" i="176"/>
  <c r="M50" i="176"/>
  <c r="M110" i="176"/>
  <c r="K50" i="176"/>
  <c r="K110" i="176"/>
  <c r="I50" i="176"/>
  <c r="I110" i="176"/>
  <c r="G50" i="176"/>
  <c r="G110" i="176"/>
  <c r="B48" i="176"/>
  <c r="A48" i="176"/>
  <c r="U46" i="176"/>
  <c r="S46" i="176"/>
  <c r="Q46" i="176"/>
  <c r="O46" i="176"/>
  <c r="M46" i="176"/>
  <c r="K46" i="176"/>
  <c r="I46" i="176"/>
  <c r="G46" i="176"/>
  <c r="E46" i="176"/>
  <c r="C46" i="176"/>
  <c r="I31" i="176"/>
  <c r="I33" i="176"/>
  <c r="U16" i="176"/>
  <c r="S16" i="176"/>
  <c r="Q16" i="176"/>
  <c r="O16" i="176"/>
  <c r="M16" i="176"/>
  <c r="K16" i="176"/>
  <c r="I16" i="176"/>
  <c r="G16" i="176"/>
  <c r="E16" i="176"/>
  <c r="C16" i="176"/>
  <c r="U31" i="176"/>
  <c r="U33" i="176"/>
  <c r="S31" i="176"/>
  <c r="S33" i="176"/>
  <c r="Q31" i="176"/>
  <c r="Q33" i="176"/>
  <c r="O31" i="176"/>
  <c r="O33" i="176"/>
  <c r="M31" i="176"/>
  <c r="M33" i="176"/>
  <c r="K31" i="176"/>
  <c r="K33" i="176"/>
  <c r="G31" i="176"/>
  <c r="G33" i="176"/>
  <c r="I50" i="175"/>
  <c r="I110" i="175"/>
  <c r="U50" i="175"/>
  <c r="U110" i="175"/>
  <c r="S50" i="175"/>
  <c r="S110" i="175"/>
  <c r="Q50" i="175"/>
  <c r="Q110" i="175"/>
  <c r="O50" i="175"/>
  <c r="O110" i="175"/>
  <c r="M50" i="175"/>
  <c r="M110" i="175"/>
  <c r="K50" i="175"/>
  <c r="K110" i="175"/>
  <c r="G50" i="175"/>
  <c r="G110" i="175"/>
  <c r="E50" i="175"/>
  <c r="E110" i="175"/>
  <c r="C50" i="175"/>
  <c r="C110" i="175"/>
  <c r="B48" i="175"/>
  <c r="A48" i="175"/>
  <c r="U46" i="175"/>
  <c r="S46" i="175"/>
  <c r="Q46" i="175"/>
  <c r="O46" i="175"/>
  <c r="M46" i="175"/>
  <c r="K46" i="175"/>
  <c r="I46" i="175"/>
  <c r="G46" i="175"/>
  <c r="E46" i="175"/>
  <c r="C46" i="175"/>
  <c r="U33" i="175"/>
  <c r="S33" i="175"/>
  <c r="Q33" i="175"/>
  <c r="O33" i="175"/>
  <c r="M33" i="175"/>
  <c r="K33" i="175"/>
  <c r="I33" i="175"/>
  <c r="G33" i="175"/>
  <c r="E33" i="175"/>
  <c r="U28" i="175"/>
  <c r="S28" i="175"/>
  <c r="Q28" i="175"/>
  <c r="O28" i="175"/>
  <c r="M28" i="175"/>
  <c r="K28" i="175"/>
  <c r="I28" i="175"/>
  <c r="G28" i="175"/>
  <c r="E28" i="175"/>
  <c r="C28" i="175"/>
  <c r="U16" i="175"/>
  <c r="S16" i="175"/>
  <c r="Q16" i="175"/>
  <c r="O16" i="175"/>
  <c r="M16" i="175"/>
  <c r="K16" i="175"/>
  <c r="I16" i="175"/>
  <c r="G16" i="175"/>
  <c r="E16" i="175"/>
  <c r="C16" i="175"/>
  <c r="U50" i="174"/>
  <c r="U110" i="174"/>
  <c r="S50" i="174"/>
  <c r="S110" i="174"/>
  <c r="Q50" i="174"/>
  <c r="Q110" i="174"/>
  <c r="O50" i="174"/>
  <c r="O110" i="174"/>
  <c r="M50" i="174"/>
  <c r="M110" i="174"/>
  <c r="K50" i="174"/>
  <c r="K110" i="174"/>
  <c r="I50" i="174"/>
  <c r="I110" i="174"/>
  <c r="G50" i="174"/>
  <c r="G110" i="174"/>
  <c r="E50" i="174"/>
  <c r="E110" i="174"/>
  <c r="C50" i="174"/>
  <c r="C110" i="174"/>
  <c r="B48" i="174"/>
  <c r="A48" i="174"/>
  <c r="U46" i="174"/>
  <c r="S46" i="174"/>
  <c r="Q46" i="174"/>
  <c r="O46" i="174"/>
  <c r="M46" i="174"/>
  <c r="K46" i="174"/>
  <c r="I46" i="174"/>
  <c r="G46" i="174"/>
  <c r="E46" i="174"/>
  <c r="C46" i="174"/>
  <c r="U33" i="174"/>
  <c r="S33" i="174"/>
  <c r="Q33" i="174"/>
  <c r="O33" i="174"/>
  <c r="M33" i="174"/>
  <c r="K33" i="174"/>
  <c r="I33" i="174"/>
  <c r="G33" i="174"/>
  <c r="E33" i="174"/>
  <c r="U28" i="174"/>
  <c r="S28" i="174"/>
  <c r="Q28" i="174"/>
  <c r="O28" i="174"/>
  <c r="M28" i="174"/>
  <c r="K28" i="174"/>
  <c r="I28" i="174"/>
  <c r="G28" i="174"/>
  <c r="E28" i="174"/>
  <c r="R26" i="174"/>
  <c r="U16" i="174"/>
  <c r="S16" i="174"/>
  <c r="Q16" i="174"/>
  <c r="O16" i="174"/>
  <c r="M16" i="174"/>
  <c r="K16" i="174"/>
  <c r="I16" i="174"/>
  <c r="G16" i="174"/>
  <c r="E16" i="174"/>
  <c r="C16" i="174"/>
  <c r="S50" i="173"/>
  <c r="S110" i="173"/>
  <c r="C50" i="173"/>
  <c r="C110" i="173"/>
  <c r="U50" i="173"/>
  <c r="U110" i="173"/>
  <c r="Q50" i="173"/>
  <c r="Q110" i="173"/>
  <c r="O50" i="173"/>
  <c r="O110" i="173"/>
  <c r="M50" i="173"/>
  <c r="M110" i="173"/>
  <c r="K50" i="173"/>
  <c r="K110" i="173"/>
  <c r="I50" i="173"/>
  <c r="I110" i="173"/>
  <c r="G50" i="173"/>
  <c r="G110" i="173"/>
  <c r="E50" i="173"/>
  <c r="E110" i="173"/>
  <c r="B48" i="173"/>
  <c r="A48" i="173"/>
  <c r="U46" i="173"/>
  <c r="S46" i="173"/>
  <c r="Q46" i="173"/>
  <c r="O46" i="173"/>
  <c r="M46" i="173"/>
  <c r="K46" i="173"/>
  <c r="I46" i="173"/>
  <c r="G46" i="173"/>
  <c r="E46" i="173"/>
  <c r="C46" i="173"/>
  <c r="U33" i="173"/>
  <c r="S33" i="173"/>
  <c r="Q33" i="173"/>
  <c r="O33" i="173"/>
  <c r="M33" i="173"/>
  <c r="K33" i="173"/>
  <c r="I33" i="173"/>
  <c r="G33" i="173"/>
  <c r="E33" i="173"/>
  <c r="U28" i="173"/>
  <c r="S28" i="173"/>
  <c r="Q28" i="173"/>
  <c r="O28" i="173"/>
  <c r="M28" i="173"/>
  <c r="K28" i="173"/>
  <c r="I28" i="173"/>
  <c r="G28" i="173"/>
  <c r="E28" i="173"/>
  <c r="U16" i="173"/>
  <c r="S16" i="173"/>
  <c r="Q16" i="173"/>
  <c r="O16" i="173"/>
  <c r="M16" i="173"/>
  <c r="K16" i="173"/>
  <c r="I16" i="173"/>
  <c r="G16" i="173"/>
  <c r="E16" i="173"/>
  <c r="C16" i="173"/>
  <c r="U50" i="172"/>
  <c r="U110" i="172"/>
  <c r="S50" i="172"/>
  <c r="S110" i="172"/>
  <c r="Q50" i="172"/>
  <c r="Q110" i="172"/>
  <c r="O50" i="172"/>
  <c r="O110" i="172"/>
  <c r="M50" i="172"/>
  <c r="M110" i="172"/>
  <c r="K50" i="172"/>
  <c r="K110" i="172"/>
  <c r="I50" i="172"/>
  <c r="I110" i="172"/>
  <c r="G50" i="172"/>
  <c r="G110" i="172"/>
  <c r="E50" i="172"/>
  <c r="E110" i="172"/>
  <c r="C50" i="172"/>
  <c r="C110" i="172"/>
  <c r="B48" i="172"/>
  <c r="A48" i="172"/>
  <c r="U46" i="172"/>
  <c r="S46" i="172"/>
  <c r="Q46" i="172"/>
  <c r="O46" i="172"/>
  <c r="M46" i="172"/>
  <c r="K46" i="172"/>
  <c r="I46" i="172"/>
  <c r="G46" i="172"/>
  <c r="E46" i="172"/>
  <c r="C46" i="172"/>
  <c r="U33" i="172"/>
  <c r="S33" i="172"/>
  <c r="Q33" i="172"/>
  <c r="O33" i="172"/>
  <c r="M33" i="172"/>
  <c r="K33" i="172"/>
  <c r="I33" i="172"/>
  <c r="G33" i="172"/>
  <c r="E33" i="172"/>
  <c r="U28" i="172"/>
  <c r="S28" i="172"/>
  <c r="Q28" i="172"/>
  <c r="O28" i="172"/>
  <c r="M28" i="172"/>
  <c r="K28" i="172"/>
  <c r="I28" i="172"/>
  <c r="G28" i="172"/>
  <c r="E28" i="172"/>
  <c r="C33" i="172"/>
  <c r="U16" i="172"/>
  <c r="S16" i="172"/>
  <c r="Q16" i="172"/>
  <c r="O16" i="172"/>
  <c r="M16" i="172"/>
  <c r="K16" i="172"/>
  <c r="I16" i="172"/>
  <c r="G16" i="172"/>
  <c r="E16" i="172"/>
  <c r="U50" i="171"/>
  <c r="U110" i="171"/>
  <c r="S50" i="171"/>
  <c r="S110" i="171"/>
  <c r="Q50" i="171"/>
  <c r="Q110" i="171"/>
  <c r="O50" i="171"/>
  <c r="O110" i="171"/>
  <c r="M50" i="171"/>
  <c r="M110" i="171"/>
  <c r="K50" i="171"/>
  <c r="K110" i="171"/>
  <c r="I50" i="171"/>
  <c r="I110" i="171"/>
  <c r="G50" i="171"/>
  <c r="G110" i="171"/>
  <c r="E50" i="171"/>
  <c r="E110" i="171"/>
  <c r="C50" i="171"/>
  <c r="C110" i="171"/>
  <c r="B48" i="171"/>
  <c r="A48" i="171"/>
  <c r="U46" i="171"/>
  <c r="S46" i="171"/>
  <c r="Q46" i="171"/>
  <c r="O46" i="171"/>
  <c r="M46" i="171"/>
  <c r="K46" i="171"/>
  <c r="I46" i="171"/>
  <c r="G46" i="171"/>
  <c r="E46" i="171"/>
  <c r="C46" i="171"/>
  <c r="O14" i="171"/>
  <c r="O31" i="171"/>
  <c r="O33" i="171"/>
  <c r="G14" i="171"/>
  <c r="G31" i="171"/>
  <c r="G33" i="171"/>
  <c r="U16" i="171"/>
  <c r="S16" i="171"/>
  <c r="Q16" i="171"/>
  <c r="O16" i="171"/>
  <c r="M16" i="171"/>
  <c r="K16" i="171"/>
  <c r="I16" i="171"/>
  <c r="G16" i="171"/>
  <c r="E16" i="171"/>
  <c r="C16" i="171"/>
  <c r="U14" i="171"/>
  <c r="U31" i="171"/>
  <c r="U33" i="171"/>
  <c r="S14" i="171"/>
  <c r="S31" i="171"/>
  <c r="S33" i="171"/>
  <c r="Q14" i="171"/>
  <c r="Q31" i="171"/>
  <c r="Q33" i="171"/>
  <c r="M14" i="171"/>
  <c r="M31" i="171"/>
  <c r="M33" i="171"/>
  <c r="K14" i="171"/>
  <c r="K31" i="171"/>
  <c r="K33" i="171"/>
  <c r="I14" i="171"/>
  <c r="I31" i="171"/>
  <c r="I33" i="171"/>
  <c r="E14" i="171"/>
  <c r="C14" i="171"/>
  <c r="U50" i="170"/>
  <c r="U110" i="170"/>
  <c r="S50" i="170"/>
  <c r="S110" i="170"/>
  <c r="Q50" i="170"/>
  <c r="Q110" i="170"/>
  <c r="O50" i="170"/>
  <c r="O110" i="170"/>
  <c r="M50" i="170"/>
  <c r="M110" i="170"/>
  <c r="K50" i="170"/>
  <c r="K110" i="170"/>
  <c r="I50" i="170"/>
  <c r="I110" i="170"/>
  <c r="G50" i="170"/>
  <c r="G110" i="170"/>
  <c r="E50" i="170"/>
  <c r="E110" i="170"/>
  <c r="C50" i="170"/>
  <c r="C110" i="170"/>
  <c r="B48" i="170"/>
  <c r="A48" i="170"/>
  <c r="U46" i="170"/>
  <c r="S46" i="170"/>
  <c r="Q46" i="170"/>
  <c r="O46" i="170"/>
  <c r="M46" i="170"/>
  <c r="K46" i="170"/>
  <c r="I46" i="170"/>
  <c r="G46" i="170"/>
  <c r="E46" i="170"/>
  <c r="C46" i="170"/>
  <c r="U33" i="170"/>
  <c r="S33" i="170"/>
  <c r="Q33" i="170"/>
  <c r="O33" i="170"/>
  <c r="M33" i="170"/>
  <c r="K33" i="170"/>
  <c r="I33" i="170"/>
  <c r="G33" i="170"/>
  <c r="E33" i="170"/>
  <c r="V19" i="170"/>
  <c r="R19" i="170"/>
  <c r="P27" i="170"/>
  <c r="N20" i="170"/>
  <c r="J20" i="170"/>
  <c r="H25" i="170"/>
  <c r="J25" i="170"/>
  <c r="U16" i="170"/>
  <c r="S16" i="170"/>
  <c r="Q16" i="170"/>
  <c r="O16" i="170"/>
  <c r="M16" i="170"/>
  <c r="K16" i="170"/>
  <c r="I16" i="170"/>
  <c r="G16" i="170"/>
  <c r="E16" i="170"/>
  <c r="C16" i="170"/>
  <c r="S50" i="169"/>
  <c r="S110" i="169"/>
  <c r="U50" i="169"/>
  <c r="U110" i="169"/>
  <c r="Q50" i="169"/>
  <c r="Q110" i="169"/>
  <c r="O50" i="169"/>
  <c r="O110" i="169"/>
  <c r="M50" i="169"/>
  <c r="M110" i="169"/>
  <c r="K50" i="169"/>
  <c r="K110" i="169"/>
  <c r="I50" i="169"/>
  <c r="I110" i="169"/>
  <c r="G50" i="169"/>
  <c r="G110" i="169"/>
  <c r="E50" i="169"/>
  <c r="E110" i="169"/>
  <c r="C50" i="169"/>
  <c r="C110" i="169"/>
  <c r="B48" i="169"/>
  <c r="A48" i="169"/>
  <c r="U46" i="169"/>
  <c r="S46" i="169"/>
  <c r="Q46" i="169"/>
  <c r="O46" i="169"/>
  <c r="M46" i="169"/>
  <c r="K46" i="169"/>
  <c r="I46" i="169"/>
  <c r="G46" i="169"/>
  <c r="E46" i="169"/>
  <c r="C46" i="169"/>
  <c r="U33" i="169"/>
  <c r="S33" i="169"/>
  <c r="Q33" i="169"/>
  <c r="O33" i="169"/>
  <c r="M33" i="169"/>
  <c r="K33" i="169"/>
  <c r="I33" i="169"/>
  <c r="G33" i="169"/>
  <c r="E33" i="169"/>
  <c r="U28" i="169"/>
  <c r="S28" i="169"/>
  <c r="Q28" i="169"/>
  <c r="R25" i="169"/>
  <c r="O28" i="169"/>
  <c r="M28" i="169"/>
  <c r="K28" i="169"/>
  <c r="I28" i="169"/>
  <c r="G28" i="169"/>
  <c r="E28" i="169"/>
  <c r="C28" i="169"/>
  <c r="U16" i="169"/>
  <c r="S16" i="169"/>
  <c r="Q16" i="169"/>
  <c r="O16" i="169"/>
  <c r="M16" i="169"/>
  <c r="K16" i="169"/>
  <c r="I16" i="169"/>
  <c r="G16" i="169"/>
  <c r="E16" i="169"/>
  <c r="C16" i="169"/>
  <c r="U50" i="168"/>
  <c r="U110" i="168"/>
  <c r="S50" i="168"/>
  <c r="S110" i="168"/>
  <c r="Q50" i="168"/>
  <c r="Q110" i="168"/>
  <c r="O50" i="168"/>
  <c r="O110" i="168"/>
  <c r="M50" i="168"/>
  <c r="M110" i="168"/>
  <c r="K50" i="168"/>
  <c r="K110" i="168"/>
  <c r="I50" i="168"/>
  <c r="I110" i="168"/>
  <c r="G50" i="168"/>
  <c r="G110" i="168"/>
  <c r="E50" i="168"/>
  <c r="E110" i="168"/>
  <c r="C50" i="168"/>
  <c r="C110" i="168"/>
  <c r="B48" i="168"/>
  <c r="A48" i="168"/>
  <c r="U46" i="168"/>
  <c r="S46" i="168"/>
  <c r="Q46" i="168"/>
  <c r="O46" i="168"/>
  <c r="M46" i="168"/>
  <c r="K46" i="168"/>
  <c r="I46" i="168"/>
  <c r="G46" i="168"/>
  <c r="E46" i="168"/>
  <c r="C46" i="168"/>
  <c r="U33" i="168"/>
  <c r="S33" i="168"/>
  <c r="Q33" i="168"/>
  <c r="O33" i="168"/>
  <c r="M33" i="168"/>
  <c r="K33" i="168"/>
  <c r="I33" i="168"/>
  <c r="G33" i="168"/>
  <c r="E33" i="168"/>
  <c r="U28" i="168"/>
  <c r="S28" i="168"/>
  <c r="Q28" i="168"/>
  <c r="O28" i="168"/>
  <c r="P20" i="168"/>
  <c r="M28" i="168"/>
  <c r="K28" i="168"/>
  <c r="I28" i="168"/>
  <c r="G28" i="168"/>
  <c r="E28" i="168"/>
  <c r="C28" i="168"/>
  <c r="R27" i="168"/>
  <c r="U16" i="168"/>
  <c r="S16" i="168"/>
  <c r="Q16" i="168"/>
  <c r="O16" i="168"/>
  <c r="M16" i="168"/>
  <c r="K16" i="168"/>
  <c r="I16" i="168"/>
  <c r="G16" i="168"/>
  <c r="E16" i="168"/>
  <c r="C16" i="168"/>
  <c r="U50" i="167"/>
  <c r="U110" i="167"/>
  <c r="S50" i="167"/>
  <c r="S110" i="167"/>
  <c r="Q50" i="167"/>
  <c r="Q110" i="167"/>
  <c r="O50" i="167"/>
  <c r="O110" i="167"/>
  <c r="M50" i="167"/>
  <c r="M110" i="167"/>
  <c r="K50" i="167"/>
  <c r="K110" i="167"/>
  <c r="I50" i="167"/>
  <c r="I110" i="167"/>
  <c r="G50" i="167"/>
  <c r="G110" i="167"/>
  <c r="E50" i="167"/>
  <c r="E110" i="167"/>
  <c r="C50" i="167"/>
  <c r="C110" i="167"/>
  <c r="B48" i="167"/>
  <c r="A48" i="167"/>
  <c r="U46" i="167"/>
  <c r="S46" i="167"/>
  <c r="Q46" i="167"/>
  <c r="O46" i="167"/>
  <c r="M46" i="167"/>
  <c r="K46" i="167"/>
  <c r="I46" i="167"/>
  <c r="G46" i="167"/>
  <c r="E46" i="167"/>
  <c r="C46" i="167"/>
  <c r="U33" i="167"/>
  <c r="S33" i="167"/>
  <c r="Q33" i="167"/>
  <c r="O33" i="167"/>
  <c r="M33" i="167"/>
  <c r="K33" i="167"/>
  <c r="I33" i="167"/>
  <c r="G33" i="167"/>
  <c r="E33" i="167"/>
  <c r="J19" i="167"/>
  <c r="H26" i="167"/>
  <c r="C28" i="167"/>
  <c r="J20" i="167"/>
  <c r="U16" i="167"/>
  <c r="S16" i="167"/>
  <c r="Q16" i="167"/>
  <c r="O16" i="167"/>
  <c r="M16" i="167"/>
  <c r="K16" i="167"/>
  <c r="I16" i="167"/>
  <c r="G16" i="167"/>
  <c r="E16" i="167"/>
  <c r="C16" i="167"/>
  <c r="U50" i="165"/>
  <c r="U110" i="165"/>
  <c r="S50" i="165"/>
  <c r="S110" i="165"/>
  <c r="Q50" i="165"/>
  <c r="Q110" i="165"/>
  <c r="O50" i="165"/>
  <c r="O110" i="165"/>
  <c r="M50" i="165"/>
  <c r="M110" i="165"/>
  <c r="K50" i="165"/>
  <c r="K110" i="165"/>
  <c r="I50" i="165"/>
  <c r="I110" i="165"/>
  <c r="G50" i="165"/>
  <c r="G110" i="165"/>
  <c r="E50" i="165"/>
  <c r="E110" i="165"/>
  <c r="C50" i="165"/>
  <c r="C110" i="165"/>
  <c r="B48" i="165"/>
  <c r="A48" i="165"/>
  <c r="U46" i="165"/>
  <c r="S46" i="165"/>
  <c r="Q46" i="165"/>
  <c r="O46" i="165"/>
  <c r="M46" i="165"/>
  <c r="K46" i="165"/>
  <c r="I46" i="165"/>
  <c r="G46" i="165"/>
  <c r="E46" i="165"/>
  <c r="C46" i="165"/>
  <c r="U33" i="165"/>
  <c r="S33" i="165"/>
  <c r="Q33" i="165"/>
  <c r="O33" i="165"/>
  <c r="M33" i="165"/>
  <c r="K33" i="165"/>
  <c r="I33" i="165"/>
  <c r="G33" i="165"/>
  <c r="E33" i="165"/>
  <c r="U28" i="165"/>
  <c r="S28" i="165"/>
  <c r="Q28" i="165"/>
  <c r="O28" i="165"/>
  <c r="M28" i="165"/>
  <c r="K28" i="165"/>
  <c r="I28" i="165"/>
  <c r="J19" i="165"/>
  <c r="G28" i="165"/>
  <c r="E28" i="165"/>
  <c r="C33" i="165"/>
  <c r="J20" i="165"/>
  <c r="U16" i="165"/>
  <c r="S16" i="165"/>
  <c r="Q16" i="165"/>
  <c r="O16" i="165"/>
  <c r="M16" i="165"/>
  <c r="K16" i="165"/>
  <c r="I16" i="165"/>
  <c r="G16" i="165"/>
  <c r="E16" i="165"/>
  <c r="C16" i="165"/>
  <c r="Q50" i="164"/>
  <c r="Q110" i="164"/>
  <c r="I50" i="164"/>
  <c r="I110" i="164"/>
  <c r="U50" i="164"/>
  <c r="U110" i="164"/>
  <c r="S50" i="164"/>
  <c r="S110" i="164"/>
  <c r="O50" i="164"/>
  <c r="O110" i="164"/>
  <c r="M50" i="164"/>
  <c r="M110" i="164"/>
  <c r="K50" i="164"/>
  <c r="K110" i="164"/>
  <c r="G50" i="164"/>
  <c r="G110" i="164"/>
  <c r="E50" i="164"/>
  <c r="E110" i="164"/>
  <c r="C50" i="164"/>
  <c r="C110" i="164"/>
  <c r="B48" i="164"/>
  <c r="A48" i="164"/>
  <c r="U46" i="164"/>
  <c r="S46" i="164"/>
  <c r="Q46" i="164"/>
  <c r="O46" i="164"/>
  <c r="M46" i="164"/>
  <c r="K46" i="164"/>
  <c r="I46" i="164"/>
  <c r="G46" i="164"/>
  <c r="E46" i="164"/>
  <c r="C46" i="164"/>
  <c r="U33" i="164"/>
  <c r="S33" i="164"/>
  <c r="Q33" i="164"/>
  <c r="O33" i="164"/>
  <c r="M33" i="164"/>
  <c r="K33" i="164"/>
  <c r="I33" i="164"/>
  <c r="G33" i="164"/>
  <c r="E33" i="164"/>
  <c r="U28" i="164"/>
  <c r="S28" i="164"/>
  <c r="Q28" i="164"/>
  <c r="O28" i="164"/>
  <c r="M28" i="164"/>
  <c r="K28" i="164"/>
  <c r="I28" i="164"/>
  <c r="G28" i="164"/>
  <c r="E28" i="164"/>
  <c r="C33" i="164"/>
  <c r="R20" i="164"/>
  <c r="U16" i="164"/>
  <c r="S16" i="164"/>
  <c r="Q16" i="164"/>
  <c r="O16" i="164"/>
  <c r="M16" i="164"/>
  <c r="K16" i="164"/>
  <c r="I16" i="164"/>
  <c r="G16" i="164"/>
  <c r="E16" i="164"/>
  <c r="C16" i="164"/>
  <c r="U50" i="163"/>
  <c r="U110" i="163"/>
  <c r="S50" i="163"/>
  <c r="S110" i="163"/>
  <c r="Q50" i="163"/>
  <c r="Q110" i="163"/>
  <c r="O50" i="163"/>
  <c r="O110" i="163"/>
  <c r="M50" i="163"/>
  <c r="M110" i="163"/>
  <c r="K50" i="163"/>
  <c r="K110" i="163"/>
  <c r="I50" i="163"/>
  <c r="I110" i="163"/>
  <c r="G50" i="163"/>
  <c r="G110" i="163"/>
  <c r="E50" i="163"/>
  <c r="E110" i="163"/>
  <c r="C50" i="163"/>
  <c r="C110" i="163"/>
  <c r="B48" i="163"/>
  <c r="A48" i="163"/>
  <c r="U46" i="163"/>
  <c r="S46" i="163"/>
  <c r="Q46" i="163"/>
  <c r="O46" i="163"/>
  <c r="M46" i="163"/>
  <c r="K46" i="163"/>
  <c r="I46" i="163"/>
  <c r="G46" i="163"/>
  <c r="E46" i="163"/>
  <c r="C46" i="163"/>
  <c r="U33" i="163"/>
  <c r="S33" i="163"/>
  <c r="Q33" i="163"/>
  <c r="O33" i="163"/>
  <c r="M33" i="163"/>
  <c r="K33" i="163"/>
  <c r="I33" i="163"/>
  <c r="G33" i="163"/>
  <c r="E33" i="163"/>
  <c r="U28" i="163"/>
  <c r="V20" i="163"/>
  <c r="S28" i="163"/>
  <c r="T19" i="163"/>
  <c r="Q28" i="163"/>
  <c r="O28" i="163"/>
  <c r="M28" i="163"/>
  <c r="K28" i="163"/>
  <c r="L21" i="163"/>
  <c r="I28" i="163"/>
  <c r="G28" i="163"/>
  <c r="F21" i="163"/>
  <c r="C28" i="163"/>
  <c r="D21" i="163"/>
  <c r="N25" i="163"/>
  <c r="V21" i="163"/>
  <c r="V19" i="163"/>
  <c r="U16" i="163"/>
  <c r="S16" i="163"/>
  <c r="Q16" i="163"/>
  <c r="O16" i="163"/>
  <c r="M16" i="163"/>
  <c r="K16" i="163"/>
  <c r="I16" i="163"/>
  <c r="G16" i="163"/>
  <c r="E16" i="163"/>
  <c r="C16" i="163"/>
  <c r="C50" i="162"/>
  <c r="C110" i="162"/>
  <c r="U50" i="162"/>
  <c r="U110" i="162"/>
  <c r="S50" i="162"/>
  <c r="S110" i="162"/>
  <c r="Q50" i="162"/>
  <c r="Q110" i="162"/>
  <c r="O50" i="162"/>
  <c r="O110" i="162"/>
  <c r="M50" i="162"/>
  <c r="M110" i="162"/>
  <c r="K50" i="162"/>
  <c r="K110" i="162"/>
  <c r="I50" i="162"/>
  <c r="I110" i="162"/>
  <c r="G50" i="162"/>
  <c r="G110" i="162"/>
  <c r="E50" i="162"/>
  <c r="E110" i="162"/>
  <c r="B48" i="162"/>
  <c r="A48" i="162"/>
  <c r="U46" i="162"/>
  <c r="S46" i="162"/>
  <c r="Q46" i="162"/>
  <c r="O46" i="162"/>
  <c r="M46" i="162"/>
  <c r="K46" i="162"/>
  <c r="I46" i="162"/>
  <c r="G46" i="162"/>
  <c r="E46" i="162"/>
  <c r="C46" i="162"/>
  <c r="U16" i="162"/>
  <c r="S16" i="162"/>
  <c r="Q16" i="162"/>
  <c r="O16" i="162"/>
  <c r="M16" i="162"/>
  <c r="K16" i="162"/>
  <c r="I16" i="162"/>
  <c r="G16" i="162"/>
  <c r="E16" i="162"/>
  <c r="C16" i="162"/>
  <c r="U31" i="162"/>
  <c r="U33" i="162"/>
  <c r="S31" i="162"/>
  <c r="S33" i="162"/>
  <c r="Q31" i="162"/>
  <c r="Q33" i="162"/>
  <c r="O31" i="162"/>
  <c r="O33" i="162"/>
  <c r="M31" i="162"/>
  <c r="M33" i="162"/>
  <c r="K31" i="162"/>
  <c r="K33" i="162"/>
  <c r="I31" i="162"/>
  <c r="I33" i="162"/>
  <c r="G33" i="162"/>
  <c r="E14" i="162"/>
  <c r="C14" i="162"/>
  <c r="G50" i="161"/>
  <c r="G110" i="161"/>
  <c r="U50" i="161"/>
  <c r="U110" i="161"/>
  <c r="S50" i="161"/>
  <c r="S110" i="161"/>
  <c r="Q50" i="161"/>
  <c r="Q110" i="161"/>
  <c r="O50" i="161"/>
  <c r="O110" i="161"/>
  <c r="M50" i="161"/>
  <c r="M110" i="161"/>
  <c r="K50" i="161"/>
  <c r="K110" i="161"/>
  <c r="I50" i="161"/>
  <c r="I110" i="161"/>
  <c r="E50" i="161"/>
  <c r="E110" i="161"/>
  <c r="C50" i="161"/>
  <c r="C110" i="161"/>
  <c r="B48" i="161"/>
  <c r="A48" i="161"/>
  <c r="U46" i="161"/>
  <c r="S46" i="161"/>
  <c r="Q46" i="161"/>
  <c r="O46" i="161"/>
  <c r="M46" i="161"/>
  <c r="K46" i="161"/>
  <c r="I46" i="161"/>
  <c r="G46" i="161"/>
  <c r="E46" i="161"/>
  <c r="C46" i="161"/>
  <c r="U33" i="161"/>
  <c r="S33" i="161"/>
  <c r="Q33" i="161"/>
  <c r="O33" i="161"/>
  <c r="M33" i="161"/>
  <c r="K33" i="161"/>
  <c r="I33" i="161"/>
  <c r="G33" i="161"/>
  <c r="E33" i="161"/>
  <c r="U28" i="161"/>
  <c r="S28" i="161"/>
  <c r="Q28" i="161"/>
  <c r="O28" i="161"/>
  <c r="M28" i="161"/>
  <c r="K28" i="161"/>
  <c r="I28" i="161"/>
  <c r="G28" i="161"/>
  <c r="E28" i="161"/>
  <c r="N27" i="161"/>
  <c r="D26" i="161"/>
  <c r="N25" i="161"/>
  <c r="N20" i="161"/>
  <c r="U16" i="161"/>
  <c r="S16" i="161"/>
  <c r="Q16" i="161"/>
  <c r="O16" i="161"/>
  <c r="M16" i="161"/>
  <c r="K16" i="161"/>
  <c r="I16" i="161"/>
  <c r="G16" i="161"/>
  <c r="E16" i="161"/>
  <c r="C16" i="161"/>
  <c r="U50" i="160"/>
  <c r="U110" i="160"/>
  <c r="S50" i="160"/>
  <c r="S110" i="160"/>
  <c r="Q50" i="160"/>
  <c r="Q110" i="160"/>
  <c r="O50" i="160"/>
  <c r="O110" i="160"/>
  <c r="M50" i="160"/>
  <c r="M110" i="160"/>
  <c r="K50" i="160"/>
  <c r="K110" i="160"/>
  <c r="I50" i="160"/>
  <c r="I110" i="160"/>
  <c r="G50" i="160"/>
  <c r="G110" i="160"/>
  <c r="E50" i="160"/>
  <c r="E110" i="160"/>
  <c r="C50" i="160"/>
  <c r="C110" i="160"/>
  <c r="B48" i="160"/>
  <c r="A48" i="160"/>
  <c r="U46" i="160"/>
  <c r="S46" i="160"/>
  <c r="Q46" i="160"/>
  <c r="O46" i="160"/>
  <c r="M46" i="160"/>
  <c r="K46" i="160"/>
  <c r="I46" i="160"/>
  <c r="G46" i="160"/>
  <c r="E46" i="160"/>
  <c r="C46" i="160"/>
  <c r="U14" i="160"/>
  <c r="U31" i="160"/>
  <c r="U33" i="160"/>
  <c r="M14" i="160"/>
  <c r="M31" i="160"/>
  <c r="M33" i="160"/>
  <c r="U16" i="160"/>
  <c r="S16" i="160"/>
  <c r="Q16" i="160"/>
  <c r="O16" i="160"/>
  <c r="M16" i="160"/>
  <c r="K16" i="160"/>
  <c r="I16" i="160"/>
  <c r="G16" i="160"/>
  <c r="E16" i="160"/>
  <c r="C16" i="160"/>
  <c r="S14" i="160"/>
  <c r="S31" i="160"/>
  <c r="S33" i="160"/>
  <c r="Q14" i="160"/>
  <c r="Q31" i="160"/>
  <c r="Q33" i="160"/>
  <c r="O14" i="160"/>
  <c r="O31" i="160"/>
  <c r="O33" i="160"/>
  <c r="K14" i="160"/>
  <c r="K31" i="160"/>
  <c r="K33" i="160"/>
  <c r="I14" i="160"/>
  <c r="I31" i="160"/>
  <c r="I33" i="160"/>
  <c r="G14" i="160"/>
  <c r="G31" i="160"/>
  <c r="G33" i="160"/>
  <c r="E14" i="160"/>
  <c r="C14" i="160"/>
  <c r="U50" i="159"/>
  <c r="U110" i="159"/>
  <c r="S50" i="159"/>
  <c r="S110" i="159"/>
  <c r="Q50" i="159"/>
  <c r="Q110" i="159"/>
  <c r="O50" i="159"/>
  <c r="O110" i="159"/>
  <c r="M50" i="159"/>
  <c r="M110" i="159"/>
  <c r="K50" i="159"/>
  <c r="K110" i="159"/>
  <c r="I50" i="159"/>
  <c r="I110" i="159"/>
  <c r="G50" i="159"/>
  <c r="G110" i="159"/>
  <c r="E50" i="159"/>
  <c r="E110" i="159"/>
  <c r="C50" i="159"/>
  <c r="C110" i="159"/>
  <c r="U46" i="159"/>
  <c r="S46" i="159"/>
  <c r="Q46" i="159"/>
  <c r="O46" i="159"/>
  <c r="M46" i="159"/>
  <c r="K46" i="159"/>
  <c r="I46" i="159"/>
  <c r="G46" i="159"/>
  <c r="E46" i="159"/>
  <c r="C46" i="159"/>
  <c r="E33" i="159"/>
  <c r="U28" i="159"/>
  <c r="S28" i="159"/>
  <c r="Q28" i="159"/>
  <c r="O28" i="159"/>
  <c r="M28" i="159"/>
  <c r="K28" i="159"/>
  <c r="I28" i="159"/>
  <c r="G28" i="159"/>
  <c r="E28" i="159"/>
  <c r="C28" i="159"/>
  <c r="U16" i="159"/>
  <c r="S16" i="159"/>
  <c r="Q16" i="159"/>
  <c r="O16" i="159"/>
  <c r="M16" i="159"/>
  <c r="K16" i="159"/>
  <c r="I16" i="159"/>
  <c r="G16" i="159"/>
  <c r="E16" i="159"/>
  <c r="C16" i="159"/>
  <c r="U50" i="158"/>
  <c r="U110" i="158"/>
  <c r="S50" i="158"/>
  <c r="S110" i="158"/>
  <c r="Q50" i="158"/>
  <c r="Q110" i="158"/>
  <c r="O50" i="158"/>
  <c r="O110" i="158"/>
  <c r="M50" i="158"/>
  <c r="M110" i="158"/>
  <c r="K50" i="158"/>
  <c r="K110" i="158"/>
  <c r="I50" i="158"/>
  <c r="I110" i="158"/>
  <c r="G50" i="158"/>
  <c r="G110" i="158"/>
  <c r="E50" i="158"/>
  <c r="E110" i="158"/>
  <c r="C50" i="158"/>
  <c r="C110" i="158"/>
  <c r="U46" i="158"/>
  <c r="S46" i="158"/>
  <c r="Q46" i="158"/>
  <c r="O46" i="158"/>
  <c r="M46" i="158"/>
  <c r="K46" i="158"/>
  <c r="I46" i="158"/>
  <c r="G46" i="158"/>
  <c r="E46" i="158"/>
  <c r="C46" i="158"/>
  <c r="U33" i="158"/>
  <c r="S33" i="158"/>
  <c r="Q33" i="158"/>
  <c r="O33" i="158"/>
  <c r="M33" i="158"/>
  <c r="K33" i="158"/>
  <c r="I33" i="158"/>
  <c r="G33" i="158"/>
  <c r="E33" i="158"/>
  <c r="U28" i="158"/>
  <c r="S28" i="158"/>
  <c r="Q28" i="158"/>
  <c r="O28" i="158"/>
  <c r="M28" i="158"/>
  <c r="K28" i="158"/>
  <c r="I28" i="158"/>
  <c r="G28" i="158"/>
  <c r="E28" i="158"/>
  <c r="U16" i="158"/>
  <c r="S16" i="158"/>
  <c r="Q16" i="158"/>
  <c r="O16" i="158"/>
  <c r="M16" i="158"/>
  <c r="K16" i="158"/>
  <c r="I16" i="158"/>
  <c r="G16" i="158"/>
  <c r="E16" i="158"/>
  <c r="C16" i="158"/>
  <c r="U14" i="15"/>
  <c r="U31" i="15"/>
  <c r="U33" i="15"/>
  <c r="S14" i="15"/>
  <c r="S31" i="15"/>
  <c r="Q14" i="15"/>
  <c r="Q31" i="15"/>
  <c r="O14" i="15"/>
  <c r="O31" i="15"/>
  <c r="M14" i="15"/>
  <c r="M31" i="15"/>
  <c r="K14" i="15"/>
  <c r="K31" i="15"/>
  <c r="I14" i="15"/>
  <c r="I31" i="15"/>
  <c r="G14" i="15"/>
  <c r="G31" i="15"/>
  <c r="U50" i="15"/>
  <c r="U110" i="15"/>
  <c r="S50" i="15"/>
  <c r="S110" i="15"/>
  <c r="Q50" i="15"/>
  <c r="Q110" i="15"/>
  <c r="O50" i="15"/>
  <c r="O110" i="15"/>
  <c r="M50" i="15"/>
  <c r="M110" i="15"/>
  <c r="K50" i="15"/>
  <c r="K110" i="15"/>
  <c r="I50" i="15"/>
  <c r="I110" i="15"/>
  <c r="G50" i="15"/>
  <c r="G110" i="15"/>
  <c r="E50" i="15"/>
  <c r="E110" i="15"/>
  <c r="C50" i="15"/>
  <c r="C110" i="15"/>
  <c r="U46" i="15"/>
  <c r="S46" i="15"/>
  <c r="Q46" i="15"/>
  <c r="O46" i="15"/>
  <c r="M46" i="15"/>
  <c r="K46" i="15"/>
  <c r="I46" i="15"/>
  <c r="G46" i="15"/>
  <c r="E46" i="15"/>
  <c r="C46" i="15"/>
  <c r="Q33" i="15"/>
  <c r="O33" i="15"/>
  <c r="I33" i="15"/>
  <c r="G33" i="15"/>
  <c r="U16" i="15"/>
  <c r="S16" i="15"/>
  <c r="Q16" i="15"/>
  <c r="O16" i="15"/>
  <c r="M16" i="15"/>
  <c r="K16" i="15"/>
  <c r="I16" i="15"/>
  <c r="G16" i="15"/>
  <c r="E16" i="15"/>
  <c r="C16" i="15"/>
  <c r="H97" i="197"/>
  <c r="H85" i="197"/>
  <c r="H52" i="197"/>
  <c r="N97" i="197"/>
  <c r="N85" i="197"/>
  <c r="N52" i="197"/>
  <c r="T32" i="197"/>
  <c r="T41" i="197"/>
  <c r="H89" i="197"/>
  <c r="T24" i="197"/>
  <c r="T26" i="197"/>
  <c r="D97" i="197"/>
  <c r="D85" i="197"/>
  <c r="D52" i="197"/>
  <c r="N28" i="197"/>
  <c r="D32" i="197"/>
  <c r="H42" i="197"/>
  <c r="N43" i="197"/>
  <c r="D46" i="197"/>
  <c r="T46" i="197"/>
  <c r="V55" i="197"/>
  <c r="N77" i="197"/>
  <c r="T90" i="197"/>
  <c r="H19" i="197"/>
  <c r="N20" i="197"/>
  <c r="D21" i="197"/>
  <c r="F28" i="197"/>
  <c r="L97" i="197"/>
  <c r="L85" i="197"/>
  <c r="L52" i="197"/>
  <c r="R97" i="197"/>
  <c r="R85" i="197"/>
  <c r="R52" i="197"/>
  <c r="H31" i="197"/>
  <c r="N32" i="197"/>
  <c r="H33" i="197"/>
  <c r="P33" i="197"/>
  <c r="H36" i="197"/>
  <c r="L37" i="197"/>
  <c r="D39" i="197"/>
  <c r="H40" i="197"/>
  <c r="L41" i="197"/>
  <c r="D43" i="197"/>
  <c r="H44" i="197"/>
  <c r="L45" i="197"/>
  <c r="H46" i="197"/>
  <c r="P46" i="197"/>
  <c r="J54" i="197"/>
  <c r="N81" i="197"/>
  <c r="H96" i="197"/>
  <c r="T97" i="197"/>
  <c r="T85" i="197"/>
  <c r="T52" i="197"/>
  <c r="T37" i="197"/>
  <c r="T45" i="197"/>
  <c r="N55" i="197"/>
  <c r="H20" i="197"/>
  <c r="T20" i="197"/>
  <c r="H24" i="197"/>
  <c r="J66" i="197"/>
  <c r="J97" i="197"/>
  <c r="J85" i="197"/>
  <c r="J52" i="197"/>
  <c r="V79" i="197"/>
  <c r="V52" i="197"/>
  <c r="D33" i="197"/>
  <c r="T33" i="197"/>
  <c r="H38" i="197"/>
  <c r="N39" i="197"/>
  <c r="N65" i="197"/>
  <c r="D19" i="197"/>
  <c r="V20" i="197"/>
  <c r="H23" i="197"/>
  <c r="T23" i="197"/>
  <c r="J24" i="197"/>
  <c r="D25" i="197"/>
  <c r="N25" i="197"/>
  <c r="H26" i="197"/>
  <c r="D27" i="197"/>
  <c r="N27" i="197"/>
  <c r="F67" i="197"/>
  <c r="F97" i="197"/>
  <c r="F85" i="197"/>
  <c r="F52" i="197"/>
  <c r="J28" i="197"/>
  <c r="P97" i="197"/>
  <c r="P85" i="197"/>
  <c r="P52" i="197"/>
  <c r="V28" i="197"/>
  <c r="L32" i="197"/>
  <c r="F33" i="197"/>
  <c r="N33" i="197"/>
  <c r="V33" i="197"/>
  <c r="D37" i="197"/>
  <c r="P38" i="197"/>
  <c r="T39" i="197"/>
  <c r="D41" i="197"/>
  <c r="P42" i="197"/>
  <c r="T43" i="197"/>
  <c r="D45" i="197"/>
  <c r="N46" i="197"/>
  <c r="N57" i="197"/>
  <c r="V71" i="197"/>
  <c r="J78" i="197"/>
  <c r="D86" i="197"/>
  <c r="D93" i="197"/>
  <c r="S21" i="198"/>
  <c r="S23" i="118"/>
  <c r="S23" i="198"/>
  <c r="K21" i="198"/>
  <c r="K23" i="118"/>
  <c r="K23" i="198"/>
  <c r="V26" i="163"/>
  <c r="T19" i="194"/>
  <c r="H27" i="193"/>
  <c r="J21" i="193"/>
  <c r="L19" i="193"/>
  <c r="T26" i="193"/>
  <c r="H23" i="193"/>
  <c r="V26" i="193"/>
  <c r="G28" i="195"/>
  <c r="H20" i="195"/>
  <c r="O28" i="195"/>
  <c r="P27" i="195"/>
  <c r="L24" i="193"/>
  <c r="V19" i="193"/>
  <c r="V25" i="193"/>
  <c r="L21" i="193"/>
  <c r="J25" i="193"/>
  <c r="J23" i="193"/>
  <c r="J19" i="193"/>
  <c r="L19" i="163"/>
  <c r="R97" i="163"/>
  <c r="R59" i="163"/>
  <c r="L26" i="163"/>
  <c r="L97" i="163"/>
  <c r="L59" i="163"/>
  <c r="N21" i="163"/>
  <c r="N97" i="163"/>
  <c r="N59" i="163"/>
  <c r="V55" i="163"/>
  <c r="V59" i="163"/>
  <c r="J26" i="163"/>
  <c r="J97" i="163"/>
  <c r="J59" i="163"/>
  <c r="T55" i="163"/>
  <c r="T97" i="163"/>
  <c r="T59" i="163"/>
  <c r="H97" i="163"/>
  <c r="H59" i="163"/>
  <c r="P55" i="163"/>
  <c r="P97" i="163"/>
  <c r="P59" i="163"/>
  <c r="U43" i="198"/>
  <c r="S42" i="198"/>
  <c r="Q42" i="198"/>
  <c r="Q43" i="198"/>
  <c r="O42" i="198"/>
  <c r="O43" i="198"/>
  <c r="M43" i="198"/>
  <c r="K42" i="198"/>
  <c r="I42" i="198"/>
  <c r="I43" i="198"/>
  <c r="G42" i="198"/>
  <c r="G43" i="198"/>
  <c r="G44" i="198"/>
  <c r="P97" i="158"/>
  <c r="P59" i="158"/>
  <c r="J97" i="158"/>
  <c r="J59" i="158"/>
  <c r="R97" i="158"/>
  <c r="R59" i="158"/>
  <c r="H97" i="158"/>
  <c r="H59" i="158"/>
  <c r="L25" i="158"/>
  <c r="L97" i="158"/>
  <c r="L59" i="158"/>
  <c r="T97" i="158"/>
  <c r="T59" i="158"/>
  <c r="F97" i="158"/>
  <c r="F59" i="158"/>
  <c r="N97" i="158"/>
  <c r="N59" i="158"/>
  <c r="V25" i="158"/>
  <c r="V59" i="158"/>
  <c r="D55" i="159"/>
  <c r="D29" i="159"/>
  <c r="F55" i="159"/>
  <c r="F29" i="159"/>
  <c r="P55" i="159"/>
  <c r="P29" i="159"/>
  <c r="J55" i="159"/>
  <c r="J29" i="159"/>
  <c r="R55" i="159"/>
  <c r="R29" i="159"/>
  <c r="N55" i="159"/>
  <c r="N29" i="159"/>
  <c r="H55" i="159"/>
  <c r="H29" i="159"/>
  <c r="L55" i="159"/>
  <c r="L29" i="159"/>
  <c r="T55" i="159"/>
  <c r="T29" i="159"/>
  <c r="J97" i="161"/>
  <c r="J59" i="161"/>
  <c r="R19" i="161"/>
  <c r="R97" i="161"/>
  <c r="R59" i="161"/>
  <c r="L97" i="161"/>
  <c r="L59" i="161"/>
  <c r="T24" i="161"/>
  <c r="T97" i="161"/>
  <c r="T59" i="161"/>
  <c r="F27" i="161"/>
  <c r="F97" i="161"/>
  <c r="F59" i="161"/>
  <c r="N26" i="161"/>
  <c r="N97" i="161"/>
  <c r="N59" i="161"/>
  <c r="V27" i="161"/>
  <c r="V59" i="161"/>
  <c r="H20" i="161"/>
  <c r="H97" i="161"/>
  <c r="H59" i="161"/>
  <c r="P27" i="161"/>
  <c r="P97" i="161"/>
  <c r="P59" i="161"/>
  <c r="J19" i="164"/>
  <c r="J95" i="164"/>
  <c r="J89" i="164"/>
  <c r="J83" i="164"/>
  <c r="J79" i="164"/>
  <c r="J71" i="164"/>
  <c r="J60" i="164"/>
  <c r="J52" i="164"/>
  <c r="J93" i="164"/>
  <c r="J85" i="164"/>
  <c r="J81" i="164"/>
  <c r="J73" i="164"/>
  <c r="J62" i="164"/>
  <c r="J94" i="164"/>
  <c r="J87" i="164"/>
  <c r="J82" i="164"/>
  <c r="J74" i="164"/>
  <c r="J69" i="164"/>
  <c r="J58" i="164"/>
  <c r="J96" i="164"/>
  <c r="J91" i="164"/>
  <c r="J84" i="164"/>
  <c r="J80" i="164"/>
  <c r="J72" i="164"/>
  <c r="J53" i="164"/>
  <c r="J61" i="164"/>
  <c r="J57" i="164"/>
  <c r="J97" i="164"/>
  <c r="J59" i="164"/>
  <c r="R19" i="164"/>
  <c r="R95" i="164"/>
  <c r="R89" i="164"/>
  <c r="R83" i="164"/>
  <c r="R79" i="164"/>
  <c r="R71" i="164"/>
  <c r="R60" i="164"/>
  <c r="R52" i="164"/>
  <c r="R81" i="164"/>
  <c r="R73" i="164"/>
  <c r="R62" i="164"/>
  <c r="R94" i="164"/>
  <c r="R87" i="164"/>
  <c r="R82" i="164"/>
  <c r="R74" i="164"/>
  <c r="R69" i="164"/>
  <c r="R58" i="164"/>
  <c r="R93" i="164"/>
  <c r="R85" i="164"/>
  <c r="R96" i="164"/>
  <c r="R91" i="164"/>
  <c r="R84" i="164"/>
  <c r="R80" i="164"/>
  <c r="R72" i="164"/>
  <c r="R61" i="164"/>
  <c r="R57" i="164"/>
  <c r="R53" i="164"/>
  <c r="R97" i="164"/>
  <c r="R59" i="164"/>
  <c r="L21" i="164"/>
  <c r="L94" i="164"/>
  <c r="L87" i="164"/>
  <c r="L82" i="164"/>
  <c r="L74" i="164"/>
  <c r="L69" i="164"/>
  <c r="L58" i="164"/>
  <c r="L96" i="164"/>
  <c r="L91" i="164"/>
  <c r="L80" i="164"/>
  <c r="L72" i="164"/>
  <c r="L93" i="164"/>
  <c r="L85" i="164"/>
  <c r="L81" i="164"/>
  <c r="L73" i="164"/>
  <c r="L62" i="164"/>
  <c r="L57" i="164"/>
  <c r="L84" i="164"/>
  <c r="L95" i="164"/>
  <c r="L89" i="164"/>
  <c r="L83" i="164"/>
  <c r="L79" i="164"/>
  <c r="L71" i="164"/>
  <c r="L53" i="164"/>
  <c r="L52" i="164"/>
  <c r="L61" i="164"/>
  <c r="L60" i="164"/>
  <c r="L97" i="164"/>
  <c r="L59" i="164"/>
  <c r="T23" i="164"/>
  <c r="T94" i="164"/>
  <c r="T87" i="164"/>
  <c r="T82" i="164"/>
  <c r="T74" i="164"/>
  <c r="T69" i="164"/>
  <c r="T58" i="164"/>
  <c r="T84" i="164"/>
  <c r="T93" i="164"/>
  <c r="T85" i="164"/>
  <c r="T81" i="164"/>
  <c r="T73" i="164"/>
  <c r="T62" i="164"/>
  <c r="T57" i="164"/>
  <c r="T96" i="164"/>
  <c r="T91" i="164"/>
  <c r="T80" i="164"/>
  <c r="T72" i="164"/>
  <c r="T61" i="164"/>
  <c r="T60" i="164"/>
  <c r="T53" i="164"/>
  <c r="T95" i="164"/>
  <c r="T89" i="164"/>
  <c r="T83" i="164"/>
  <c r="T79" i="164"/>
  <c r="T71" i="164"/>
  <c r="T52" i="164"/>
  <c r="T97" i="164"/>
  <c r="T59" i="164"/>
  <c r="F20" i="164"/>
  <c r="F93" i="164"/>
  <c r="F85" i="164"/>
  <c r="F81" i="164"/>
  <c r="F73" i="164"/>
  <c r="F62" i="164"/>
  <c r="F57" i="164"/>
  <c r="F96" i="164"/>
  <c r="F91" i="164"/>
  <c r="F84" i="164"/>
  <c r="F80" i="164"/>
  <c r="F72" i="164"/>
  <c r="F61" i="164"/>
  <c r="F53" i="164"/>
  <c r="F95" i="164"/>
  <c r="F89" i="164"/>
  <c r="F83" i="164"/>
  <c r="F79" i="164"/>
  <c r="F71" i="164"/>
  <c r="F60" i="164"/>
  <c r="F52" i="164"/>
  <c r="F87" i="164"/>
  <c r="F82" i="164"/>
  <c r="F74" i="164"/>
  <c r="F69" i="164"/>
  <c r="F58" i="164"/>
  <c r="F94" i="164"/>
  <c r="F97" i="164"/>
  <c r="F59" i="164"/>
  <c r="N19" i="164"/>
  <c r="N93" i="164"/>
  <c r="N85" i="164"/>
  <c r="N81" i="164"/>
  <c r="N73" i="164"/>
  <c r="N62" i="164"/>
  <c r="N57" i="164"/>
  <c r="N95" i="164"/>
  <c r="N89" i="164"/>
  <c r="N83" i="164"/>
  <c r="N79" i="164"/>
  <c r="N71" i="164"/>
  <c r="N96" i="164"/>
  <c r="N91" i="164"/>
  <c r="N84" i="164"/>
  <c r="N80" i="164"/>
  <c r="N72" i="164"/>
  <c r="N61" i="164"/>
  <c r="N53" i="164"/>
  <c r="N52" i="164"/>
  <c r="N58" i="164"/>
  <c r="N94" i="164"/>
  <c r="N87" i="164"/>
  <c r="N82" i="164"/>
  <c r="N74" i="164"/>
  <c r="N69" i="164"/>
  <c r="N60" i="164"/>
  <c r="N97" i="164"/>
  <c r="N59" i="164"/>
  <c r="V52" i="164"/>
  <c r="V59" i="164"/>
  <c r="H96" i="164"/>
  <c r="H91" i="164"/>
  <c r="H84" i="164"/>
  <c r="H80" i="164"/>
  <c r="H72" i="164"/>
  <c r="H61" i="164"/>
  <c r="H53" i="164"/>
  <c r="H94" i="164"/>
  <c r="H87" i="164"/>
  <c r="H69" i="164"/>
  <c r="H95" i="164"/>
  <c r="H89" i="164"/>
  <c r="H83" i="164"/>
  <c r="H79" i="164"/>
  <c r="H71" i="164"/>
  <c r="H60" i="164"/>
  <c r="H52" i="164"/>
  <c r="H82" i="164"/>
  <c r="H74" i="164"/>
  <c r="H57" i="164"/>
  <c r="H93" i="164"/>
  <c r="H85" i="164"/>
  <c r="H81" i="164"/>
  <c r="H73" i="164"/>
  <c r="H62" i="164"/>
  <c r="H58" i="164"/>
  <c r="H97" i="164"/>
  <c r="H59" i="164"/>
  <c r="P24" i="164"/>
  <c r="P96" i="164"/>
  <c r="P91" i="164"/>
  <c r="P84" i="164"/>
  <c r="P80" i="164"/>
  <c r="P72" i="164"/>
  <c r="P61" i="164"/>
  <c r="P53" i="164"/>
  <c r="P94" i="164"/>
  <c r="P87" i="164"/>
  <c r="P82" i="164"/>
  <c r="P74" i="164"/>
  <c r="P69" i="164"/>
  <c r="P95" i="164"/>
  <c r="P89" i="164"/>
  <c r="P83" i="164"/>
  <c r="P79" i="164"/>
  <c r="P71" i="164"/>
  <c r="P60" i="164"/>
  <c r="P52" i="164"/>
  <c r="P58" i="164"/>
  <c r="P93" i="164"/>
  <c r="P85" i="164"/>
  <c r="P81" i="164"/>
  <c r="P73" i="164"/>
  <c r="P62" i="164"/>
  <c r="P57" i="164"/>
  <c r="P97" i="164"/>
  <c r="P59" i="164"/>
  <c r="L25" i="165"/>
  <c r="L55" i="165"/>
  <c r="L95" i="165"/>
  <c r="L89" i="165"/>
  <c r="L83" i="165"/>
  <c r="L79" i="165"/>
  <c r="L71" i="165"/>
  <c r="L60" i="165"/>
  <c r="L58" i="165"/>
  <c r="L94" i="165"/>
  <c r="L87" i="165"/>
  <c r="L93" i="165"/>
  <c r="L85" i="165"/>
  <c r="L81" i="165"/>
  <c r="L73" i="165"/>
  <c r="L62" i="165"/>
  <c r="L53" i="165"/>
  <c r="L96" i="165"/>
  <c r="L91" i="165"/>
  <c r="L84" i="165"/>
  <c r="L82" i="165"/>
  <c r="L74" i="165"/>
  <c r="L69" i="165"/>
  <c r="L80" i="165"/>
  <c r="L72" i="165"/>
  <c r="L61" i="165"/>
  <c r="L57" i="165"/>
  <c r="L52" i="165"/>
  <c r="L97" i="165"/>
  <c r="L59" i="165"/>
  <c r="T25" i="165"/>
  <c r="T55" i="165"/>
  <c r="T95" i="165"/>
  <c r="T89" i="165"/>
  <c r="T83" i="165"/>
  <c r="T79" i="165"/>
  <c r="T71" i="165"/>
  <c r="T60" i="165"/>
  <c r="T58" i="165"/>
  <c r="T94" i="165"/>
  <c r="T87" i="165"/>
  <c r="T93" i="165"/>
  <c r="T85" i="165"/>
  <c r="T81" i="165"/>
  <c r="T73" i="165"/>
  <c r="T62" i="165"/>
  <c r="T53" i="165"/>
  <c r="T96" i="165"/>
  <c r="T91" i="165"/>
  <c r="T84" i="165"/>
  <c r="T80" i="165"/>
  <c r="T72" i="165"/>
  <c r="T61" i="165"/>
  <c r="T57" i="165"/>
  <c r="T52" i="165"/>
  <c r="T82" i="165"/>
  <c r="T74" i="165"/>
  <c r="T69" i="165"/>
  <c r="T97" i="165"/>
  <c r="T59" i="165"/>
  <c r="F27" i="165"/>
  <c r="F97" i="165"/>
  <c r="F94" i="165"/>
  <c r="F87" i="165"/>
  <c r="F82" i="165"/>
  <c r="F74" i="165"/>
  <c r="F69" i="165"/>
  <c r="F57" i="165"/>
  <c r="F93" i="165"/>
  <c r="F85" i="165"/>
  <c r="F96" i="165"/>
  <c r="F91" i="165"/>
  <c r="F84" i="165"/>
  <c r="F80" i="165"/>
  <c r="F72" i="165"/>
  <c r="F61" i="165"/>
  <c r="F52" i="165"/>
  <c r="F55" i="165"/>
  <c r="F95" i="165"/>
  <c r="F89" i="165"/>
  <c r="F83" i="165"/>
  <c r="F79" i="165"/>
  <c r="F71" i="165"/>
  <c r="F60" i="165"/>
  <c r="F81" i="165"/>
  <c r="F73" i="165"/>
  <c r="F62" i="165"/>
  <c r="F58" i="165"/>
  <c r="F53" i="165"/>
  <c r="F59" i="165"/>
  <c r="N25" i="165"/>
  <c r="N94" i="165"/>
  <c r="N87" i="165"/>
  <c r="N82" i="165"/>
  <c r="N74" i="165"/>
  <c r="N69" i="165"/>
  <c r="N57" i="165"/>
  <c r="N93" i="165"/>
  <c r="N85" i="165"/>
  <c r="N97" i="165"/>
  <c r="N96" i="165"/>
  <c r="N91" i="165"/>
  <c r="N84" i="165"/>
  <c r="N80" i="165"/>
  <c r="N72" i="165"/>
  <c r="N61" i="165"/>
  <c r="N52" i="165"/>
  <c r="N55" i="165"/>
  <c r="N95" i="165"/>
  <c r="N89" i="165"/>
  <c r="N81" i="165"/>
  <c r="N73" i="165"/>
  <c r="N62" i="165"/>
  <c r="N58" i="165"/>
  <c r="N53" i="165"/>
  <c r="N83" i="165"/>
  <c r="N79" i="165"/>
  <c r="N71" i="165"/>
  <c r="N60" i="165"/>
  <c r="N59" i="165"/>
  <c r="V55" i="165"/>
  <c r="V59" i="165"/>
  <c r="H93" i="165"/>
  <c r="H85" i="165"/>
  <c r="H81" i="165"/>
  <c r="H73" i="165"/>
  <c r="H62" i="165"/>
  <c r="H53" i="165"/>
  <c r="H96" i="165"/>
  <c r="H91" i="165"/>
  <c r="H84" i="165"/>
  <c r="H55" i="165"/>
  <c r="H95" i="165"/>
  <c r="H89" i="165"/>
  <c r="H83" i="165"/>
  <c r="H79" i="165"/>
  <c r="H71" i="165"/>
  <c r="H60" i="165"/>
  <c r="H58" i="165"/>
  <c r="H94" i="165"/>
  <c r="H87" i="165"/>
  <c r="H82" i="165"/>
  <c r="H74" i="165"/>
  <c r="H69" i="165"/>
  <c r="H80" i="165"/>
  <c r="H72" i="165"/>
  <c r="H61" i="165"/>
  <c r="H57" i="165"/>
  <c r="H52" i="165"/>
  <c r="H97" i="165"/>
  <c r="H59" i="165"/>
  <c r="P93" i="165"/>
  <c r="P85" i="165"/>
  <c r="P81" i="165"/>
  <c r="P73" i="165"/>
  <c r="P62" i="165"/>
  <c r="P53" i="165"/>
  <c r="P96" i="165"/>
  <c r="P91" i="165"/>
  <c r="P84" i="165"/>
  <c r="P55" i="165"/>
  <c r="P95" i="165"/>
  <c r="P89" i="165"/>
  <c r="P83" i="165"/>
  <c r="P79" i="165"/>
  <c r="P71" i="165"/>
  <c r="P60" i="165"/>
  <c r="P58" i="165"/>
  <c r="P94" i="165"/>
  <c r="P87" i="165"/>
  <c r="P80" i="165"/>
  <c r="P72" i="165"/>
  <c r="P61" i="165"/>
  <c r="P57" i="165"/>
  <c r="P52" i="165"/>
  <c r="P82" i="165"/>
  <c r="P74" i="165"/>
  <c r="P69" i="165"/>
  <c r="P97" i="165"/>
  <c r="P59" i="165"/>
  <c r="J21" i="165"/>
  <c r="J96" i="165"/>
  <c r="J91" i="165"/>
  <c r="J84" i="165"/>
  <c r="J80" i="165"/>
  <c r="J72" i="165"/>
  <c r="J61" i="165"/>
  <c r="J52" i="165"/>
  <c r="J55" i="165"/>
  <c r="J97" i="165"/>
  <c r="J95" i="165"/>
  <c r="J89" i="165"/>
  <c r="J94" i="165"/>
  <c r="J87" i="165"/>
  <c r="J82" i="165"/>
  <c r="J74" i="165"/>
  <c r="J69" i="165"/>
  <c r="J57" i="165"/>
  <c r="J93" i="165"/>
  <c r="J85" i="165"/>
  <c r="J81" i="165"/>
  <c r="J73" i="165"/>
  <c r="J62" i="165"/>
  <c r="J58" i="165"/>
  <c r="J53" i="165"/>
  <c r="J83" i="165"/>
  <c r="J79" i="165"/>
  <c r="J71" i="165"/>
  <c r="J60" i="165"/>
  <c r="J59" i="165"/>
  <c r="R19" i="165"/>
  <c r="R96" i="165"/>
  <c r="R91" i="165"/>
  <c r="R84" i="165"/>
  <c r="R80" i="165"/>
  <c r="R72" i="165"/>
  <c r="R61" i="165"/>
  <c r="R52" i="165"/>
  <c r="R55" i="165"/>
  <c r="R95" i="165"/>
  <c r="R89" i="165"/>
  <c r="R94" i="165"/>
  <c r="R87" i="165"/>
  <c r="R82" i="165"/>
  <c r="R74" i="165"/>
  <c r="R69" i="165"/>
  <c r="R57" i="165"/>
  <c r="R97" i="165"/>
  <c r="R93" i="165"/>
  <c r="R85" i="165"/>
  <c r="R83" i="165"/>
  <c r="R79" i="165"/>
  <c r="R71" i="165"/>
  <c r="R60" i="165"/>
  <c r="R81" i="165"/>
  <c r="R73" i="165"/>
  <c r="R62" i="165"/>
  <c r="R58" i="165"/>
  <c r="R53" i="165"/>
  <c r="R59" i="165"/>
  <c r="E39" i="198"/>
  <c r="M39" i="198"/>
  <c r="U39" i="198"/>
  <c r="G39" i="198"/>
  <c r="O39" i="198"/>
  <c r="I39" i="198"/>
  <c r="Q39" i="198"/>
  <c r="C38" i="198"/>
  <c r="C45" i="198"/>
  <c r="C41" i="198"/>
  <c r="C37" i="198"/>
  <c r="G38" i="198"/>
  <c r="O38" i="198"/>
  <c r="I38" i="198"/>
  <c r="Q38" i="198"/>
  <c r="K38" i="198"/>
  <c r="S38" i="198"/>
  <c r="I37" i="198"/>
  <c r="Q37" i="198"/>
  <c r="I41" i="198"/>
  <c r="Q41" i="198"/>
  <c r="K37" i="198"/>
  <c r="S37" i="198"/>
  <c r="K41" i="198"/>
  <c r="S41" i="198"/>
  <c r="E37" i="198"/>
  <c r="M37" i="198"/>
  <c r="U37" i="198"/>
  <c r="E41" i="198"/>
  <c r="M41" i="198"/>
  <c r="U41" i="198"/>
  <c r="K36" i="198"/>
  <c r="S36" i="198"/>
  <c r="K40" i="198"/>
  <c r="S40" i="198"/>
  <c r="I45" i="198"/>
  <c r="Q45" i="198"/>
  <c r="E36" i="198"/>
  <c r="M36" i="198"/>
  <c r="U36" i="198"/>
  <c r="E40" i="198"/>
  <c r="M40" i="198"/>
  <c r="U40" i="198"/>
  <c r="K45" i="198"/>
  <c r="S45" i="198"/>
  <c r="G36" i="198"/>
  <c r="O36" i="198"/>
  <c r="G40" i="198"/>
  <c r="O40" i="198"/>
  <c r="E45" i="198"/>
  <c r="M45" i="198"/>
  <c r="U45" i="198"/>
  <c r="J95" i="173"/>
  <c r="J89" i="173"/>
  <c r="J83" i="173"/>
  <c r="J79" i="173"/>
  <c r="J71" i="173"/>
  <c r="J60" i="173"/>
  <c r="J58" i="173"/>
  <c r="J55" i="173"/>
  <c r="J94" i="173"/>
  <c r="J87" i="173"/>
  <c r="J82" i="173"/>
  <c r="J74" i="173"/>
  <c r="J69" i="173"/>
  <c r="J57" i="173"/>
  <c r="J96" i="173"/>
  <c r="J84" i="173"/>
  <c r="J72" i="173"/>
  <c r="J61" i="173"/>
  <c r="J97" i="173"/>
  <c r="J93" i="173"/>
  <c r="J85" i="173"/>
  <c r="J81" i="173"/>
  <c r="J73" i="173"/>
  <c r="J62" i="173"/>
  <c r="J53" i="173"/>
  <c r="J91" i="173"/>
  <c r="J80" i="173"/>
  <c r="J52" i="173"/>
  <c r="J59" i="173"/>
  <c r="L55" i="173"/>
  <c r="L97" i="173"/>
  <c r="L94" i="173"/>
  <c r="L87" i="173"/>
  <c r="L82" i="173"/>
  <c r="L74" i="173"/>
  <c r="L69" i="173"/>
  <c r="L57" i="173"/>
  <c r="L71" i="173"/>
  <c r="L93" i="173"/>
  <c r="L85" i="173"/>
  <c r="L81" i="173"/>
  <c r="L73" i="173"/>
  <c r="L62" i="173"/>
  <c r="L53" i="173"/>
  <c r="L96" i="173"/>
  <c r="L91" i="173"/>
  <c r="L84" i="173"/>
  <c r="L80" i="173"/>
  <c r="L72" i="173"/>
  <c r="L61" i="173"/>
  <c r="L52" i="173"/>
  <c r="L95" i="173"/>
  <c r="L89" i="173"/>
  <c r="L83" i="173"/>
  <c r="L79" i="173"/>
  <c r="L60" i="173"/>
  <c r="L58" i="173"/>
  <c r="L59" i="173"/>
  <c r="T55" i="173"/>
  <c r="T97" i="173"/>
  <c r="T94" i="173"/>
  <c r="T87" i="173"/>
  <c r="T82" i="173"/>
  <c r="T74" i="173"/>
  <c r="T69" i="173"/>
  <c r="T57" i="173"/>
  <c r="T95" i="173"/>
  <c r="T83" i="173"/>
  <c r="T60" i="173"/>
  <c r="T58" i="173"/>
  <c r="T93" i="173"/>
  <c r="T85" i="173"/>
  <c r="T81" i="173"/>
  <c r="T73" i="173"/>
  <c r="T62" i="173"/>
  <c r="T53" i="173"/>
  <c r="T89" i="173"/>
  <c r="T79" i="173"/>
  <c r="T96" i="173"/>
  <c r="T91" i="173"/>
  <c r="T84" i="173"/>
  <c r="T80" i="173"/>
  <c r="T72" i="173"/>
  <c r="T61" i="173"/>
  <c r="T52" i="173"/>
  <c r="T71" i="173"/>
  <c r="T59" i="173"/>
  <c r="F93" i="173"/>
  <c r="F85" i="173"/>
  <c r="F81" i="173"/>
  <c r="F73" i="173"/>
  <c r="F62" i="173"/>
  <c r="F53" i="173"/>
  <c r="F96" i="173"/>
  <c r="F91" i="173"/>
  <c r="F84" i="173"/>
  <c r="F80" i="173"/>
  <c r="F72" i="173"/>
  <c r="F61" i="173"/>
  <c r="F52" i="173"/>
  <c r="F55" i="173"/>
  <c r="F94" i="173"/>
  <c r="F82" i="173"/>
  <c r="F69" i="173"/>
  <c r="F97" i="173"/>
  <c r="F95" i="173"/>
  <c r="F89" i="173"/>
  <c r="F83" i="173"/>
  <c r="F79" i="173"/>
  <c r="F71" i="173"/>
  <c r="F60" i="173"/>
  <c r="F58" i="173"/>
  <c r="F87" i="173"/>
  <c r="F74" i="173"/>
  <c r="F57" i="173"/>
  <c r="F59" i="173"/>
  <c r="N93" i="173"/>
  <c r="N85" i="173"/>
  <c r="N81" i="173"/>
  <c r="N73" i="173"/>
  <c r="N62" i="173"/>
  <c r="N53" i="173"/>
  <c r="N94" i="173"/>
  <c r="N87" i="173"/>
  <c r="N74" i="173"/>
  <c r="N57" i="173"/>
  <c r="N96" i="173"/>
  <c r="N91" i="173"/>
  <c r="N84" i="173"/>
  <c r="N80" i="173"/>
  <c r="N72" i="173"/>
  <c r="N61" i="173"/>
  <c r="N52" i="173"/>
  <c r="N97" i="173"/>
  <c r="N95" i="173"/>
  <c r="N89" i="173"/>
  <c r="N83" i="173"/>
  <c r="N79" i="173"/>
  <c r="N71" i="173"/>
  <c r="N60" i="173"/>
  <c r="N58" i="173"/>
  <c r="N55" i="173"/>
  <c r="N82" i="173"/>
  <c r="N69" i="173"/>
  <c r="N59" i="173"/>
  <c r="R95" i="173"/>
  <c r="R89" i="173"/>
  <c r="R83" i="173"/>
  <c r="R79" i="173"/>
  <c r="R71" i="173"/>
  <c r="R60" i="173"/>
  <c r="R58" i="173"/>
  <c r="R91" i="173"/>
  <c r="R80" i="173"/>
  <c r="R72" i="173"/>
  <c r="R55" i="173"/>
  <c r="R94" i="173"/>
  <c r="R87" i="173"/>
  <c r="R82" i="173"/>
  <c r="R74" i="173"/>
  <c r="R69" i="173"/>
  <c r="R57" i="173"/>
  <c r="R97" i="173"/>
  <c r="R93" i="173"/>
  <c r="R85" i="173"/>
  <c r="R81" i="173"/>
  <c r="R73" i="173"/>
  <c r="R62" i="173"/>
  <c r="R53" i="173"/>
  <c r="R96" i="173"/>
  <c r="R84" i="173"/>
  <c r="R61" i="173"/>
  <c r="R52" i="173"/>
  <c r="R59" i="173"/>
  <c r="H97" i="173"/>
  <c r="H96" i="173"/>
  <c r="H91" i="173"/>
  <c r="H84" i="173"/>
  <c r="H80" i="173"/>
  <c r="H72" i="173"/>
  <c r="H61" i="173"/>
  <c r="H52" i="173"/>
  <c r="H85" i="173"/>
  <c r="H95" i="173"/>
  <c r="H89" i="173"/>
  <c r="H83" i="173"/>
  <c r="H79" i="173"/>
  <c r="H71" i="173"/>
  <c r="H60" i="173"/>
  <c r="H58" i="173"/>
  <c r="H93" i="173"/>
  <c r="H55" i="173"/>
  <c r="H94" i="173"/>
  <c r="H87" i="173"/>
  <c r="H82" i="173"/>
  <c r="H74" i="173"/>
  <c r="H69" i="173"/>
  <c r="H57" i="173"/>
  <c r="H81" i="173"/>
  <c r="H73" i="173"/>
  <c r="H62" i="173"/>
  <c r="H53" i="173"/>
  <c r="H59" i="173"/>
  <c r="P97" i="173"/>
  <c r="P96" i="173"/>
  <c r="P91" i="173"/>
  <c r="P84" i="173"/>
  <c r="P80" i="173"/>
  <c r="P72" i="173"/>
  <c r="P61" i="173"/>
  <c r="P52" i="173"/>
  <c r="P81" i="173"/>
  <c r="P62" i="173"/>
  <c r="P53" i="173"/>
  <c r="P95" i="173"/>
  <c r="P89" i="173"/>
  <c r="P83" i="173"/>
  <c r="P79" i="173"/>
  <c r="P71" i="173"/>
  <c r="P60" i="173"/>
  <c r="P58" i="173"/>
  <c r="P85" i="173"/>
  <c r="P73" i="173"/>
  <c r="P55" i="173"/>
  <c r="P94" i="173"/>
  <c r="P87" i="173"/>
  <c r="P82" i="173"/>
  <c r="P74" i="173"/>
  <c r="P69" i="173"/>
  <c r="P57" i="173"/>
  <c r="P93" i="173"/>
  <c r="P59" i="173"/>
  <c r="T57" i="174"/>
  <c r="T52" i="174"/>
  <c r="T53" i="174"/>
  <c r="T95" i="174"/>
  <c r="T93" i="174"/>
  <c r="T89" i="174"/>
  <c r="T85" i="174"/>
  <c r="T83" i="174"/>
  <c r="T81" i="174"/>
  <c r="T79" i="174"/>
  <c r="T73" i="174"/>
  <c r="T71" i="174"/>
  <c r="T62" i="174"/>
  <c r="T60" i="174"/>
  <c r="T55" i="174"/>
  <c r="T96" i="174"/>
  <c r="T94" i="174"/>
  <c r="T91" i="174"/>
  <c r="T87" i="174"/>
  <c r="T84" i="174"/>
  <c r="T82" i="174"/>
  <c r="T80" i="174"/>
  <c r="T74" i="174"/>
  <c r="T72" i="174"/>
  <c r="T69" i="174"/>
  <c r="T61" i="174"/>
  <c r="T58" i="174"/>
  <c r="T97" i="174"/>
  <c r="T59" i="174"/>
  <c r="R19" i="174"/>
  <c r="R55" i="174"/>
  <c r="R95" i="174"/>
  <c r="R89" i="174"/>
  <c r="R83" i="174"/>
  <c r="R79" i="174"/>
  <c r="R71" i="174"/>
  <c r="R60" i="174"/>
  <c r="R52" i="174"/>
  <c r="R96" i="174"/>
  <c r="R91" i="174"/>
  <c r="R84" i="174"/>
  <c r="R80" i="174"/>
  <c r="R72" i="174"/>
  <c r="R61" i="174"/>
  <c r="R53" i="174"/>
  <c r="R93" i="174"/>
  <c r="R85" i="174"/>
  <c r="R81" i="174"/>
  <c r="R73" i="174"/>
  <c r="R62" i="174"/>
  <c r="R57" i="174"/>
  <c r="R94" i="174"/>
  <c r="R87" i="174"/>
  <c r="R82" i="174"/>
  <c r="R74" i="174"/>
  <c r="R69" i="174"/>
  <c r="R58" i="174"/>
  <c r="R97" i="174"/>
  <c r="R59" i="174"/>
  <c r="P58" i="174"/>
  <c r="P57" i="174"/>
  <c r="P53" i="174"/>
  <c r="P52" i="174"/>
  <c r="P94" i="174"/>
  <c r="P91" i="174"/>
  <c r="P85" i="174"/>
  <c r="P81" i="174"/>
  <c r="P74" i="174"/>
  <c r="P71" i="174"/>
  <c r="P61" i="174"/>
  <c r="P55" i="174"/>
  <c r="P95" i="174"/>
  <c r="P89" i="174"/>
  <c r="P84" i="174"/>
  <c r="P80" i="174"/>
  <c r="P73" i="174"/>
  <c r="P62" i="174"/>
  <c r="P96" i="174"/>
  <c r="P93" i="174"/>
  <c r="P87" i="174"/>
  <c r="P83" i="174"/>
  <c r="P82" i="174"/>
  <c r="P79" i="174"/>
  <c r="P72" i="174"/>
  <c r="P69" i="174"/>
  <c r="P60" i="174"/>
  <c r="P97" i="174"/>
  <c r="P59" i="174"/>
  <c r="N93" i="174"/>
  <c r="N85" i="174"/>
  <c r="N81" i="174"/>
  <c r="N73" i="174"/>
  <c r="N62" i="174"/>
  <c r="N53" i="174"/>
  <c r="N94" i="174"/>
  <c r="N96" i="174"/>
  <c r="N91" i="174"/>
  <c r="N84" i="174"/>
  <c r="N80" i="174"/>
  <c r="N72" i="174"/>
  <c r="N61" i="174"/>
  <c r="N58" i="174"/>
  <c r="N52" i="174"/>
  <c r="N82" i="174"/>
  <c r="N69" i="174"/>
  <c r="N55" i="174"/>
  <c r="N95" i="174"/>
  <c r="N89" i="174"/>
  <c r="N83" i="174"/>
  <c r="N79" i="174"/>
  <c r="N71" i="174"/>
  <c r="N60" i="174"/>
  <c r="N57" i="174"/>
  <c r="N87" i="174"/>
  <c r="N74" i="174"/>
  <c r="N97" i="174"/>
  <c r="N59" i="174"/>
  <c r="L96" i="174"/>
  <c r="L94" i="174"/>
  <c r="L91" i="174"/>
  <c r="L87" i="174"/>
  <c r="L84" i="174"/>
  <c r="L82" i="174"/>
  <c r="L80" i="174"/>
  <c r="L74" i="174"/>
  <c r="L72" i="174"/>
  <c r="L69" i="174"/>
  <c r="L61" i="174"/>
  <c r="L53" i="174"/>
  <c r="L58" i="174"/>
  <c r="L57" i="174"/>
  <c r="L55" i="174"/>
  <c r="L95" i="174"/>
  <c r="L93" i="174"/>
  <c r="L89" i="174"/>
  <c r="L85" i="174"/>
  <c r="L83" i="174"/>
  <c r="L81" i="174"/>
  <c r="L79" i="174"/>
  <c r="L73" i="174"/>
  <c r="L71" i="174"/>
  <c r="L62" i="174"/>
  <c r="L60" i="174"/>
  <c r="L52" i="174"/>
  <c r="L97" i="174"/>
  <c r="L59" i="174"/>
  <c r="J55" i="174"/>
  <c r="J94" i="174"/>
  <c r="J87" i="174"/>
  <c r="J82" i="174"/>
  <c r="J74" i="174"/>
  <c r="J69" i="174"/>
  <c r="J58" i="174"/>
  <c r="J53" i="174"/>
  <c r="J91" i="174"/>
  <c r="J80" i="174"/>
  <c r="J61" i="174"/>
  <c r="J85" i="174"/>
  <c r="J73" i="174"/>
  <c r="J57" i="174"/>
  <c r="J95" i="174"/>
  <c r="J89" i="174"/>
  <c r="J83" i="174"/>
  <c r="J79" i="174"/>
  <c r="J71" i="174"/>
  <c r="J60" i="174"/>
  <c r="J96" i="174"/>
  <c r="J84" i="174"/>
  <c r="J72" i="174"/>
  <c r="J93" i="174"/>
  <c r="J81" i="174"/>
  <c r="J62" i="174"/>
  <c r="J52" i="174"/>
  <c r="J97" i="174"/>
  <c r="J59" i="174"/>
  <c r="H96" i="174"/>
  <c r="H95" i="174"/>
  <c r="H94" i="174"/>
  <c r="H93" i="174"/>
  <c r="H91" i="174"/>
  <c r="H89" i="174"/>
  <c r="H87" i="174"/>
  <c r="H85" i="174"/>
  <c r="H84" i="174"/>
  <c r="H83" i="174"/>
  <c r="H82" i="174"/>
  <c r="H81" i="174"/>
  <c r="H80" i="174"/>
  <c r="H79" i="174"/>
  <c r="H74" i="174"/>
  <c r="H73" i="174"/>
  <c r="H72" i="174"/>
  <c r="H71" i="174"/>
  <c r="H69" i="174"/>
  <c r="H62" i="174"/>
  <c r="H61" i="174"/>
  <c r="H60" i="174"/>
  <c r="H55" i="174"/>
  <c r="H58" i="174"/>
  <c r="H57" i="174"/>
  <c r="H53" i="174"/>
  <c r="H52" i="174"/>
  <c r="H97" i="174"/>
  <c r="H59" i="174"/>
  <c r="F94" i="174"/>
  <c r="F87" i="174"/>
  <c r="F82" i="174"/>
  <c r="F74" i="174"/>
  <c r="F69" i="174"/>
  <c r="F52" i="174"/>
  <c r="F83" i="174"/>
  <c r="F57" i="174"/>
  <c r="F93" i="174"/>
  <c r="F85" i="174"/>
  <c r="F81" i="174"/>
  <c r="F73" i="174"/>
  <c r="F62" i="174"/>
  <c r="F89" i="174"/>
  <c r="F71" i="174"/>
  <c r="F60" i="174"/>
  <c r="F55" i="174"/>
  <c r="F96" i="174"/>
  <c r="F91" i="174"/>
  <c r="F84" i="174"/>
  <c r="F80" i="174"/>
  <c r="F72" i="174"/>
  <c r="F61" i="174"/>
  <c r="F58" i="174"/>
  <c r="F95" i="174"/>
  <c r="F79" i="174"/>
  <c r="F53" i="174"/>
  <c r="F97" i="174"/>
  <c r="F59" i="174"/>
  <c r="D95" i="167"/>
  <c r="D89" i="167"/>
  <c r="D83" i="167"/>
  <c r="D79" i="167"/>
  <c r="D71" i="167"/>
  <c r="D60" i="167"/>
  <c r="D58" i="167"/>
  <c r="D52" i="167"/>
  <c r="D55" i="167"/>
  <c r="D84" i="167"/>
  <c r="D61" i="167"/>
  <c r="D94" i="167"/>
  <c r="D87" i="167"/>
  <c r="D82" i="167"/>
  <c r="D74" i="167"/>
  <c r="D69" i="167"/>
  <c r="D57" i="167"/>
  <c r="D91" i="167"/>
  <c r="D80" i="167"/>
  <c r="D53" i="167"/>
  <c r="D93" i="167"/>
  <c r="D85" i="167"/>
  <c r="D81" i="167"/>
  <c r="D73" i="167"/>
  <c r="D62" i="167"/>
  <c r="D96" i="167"/>
  <c r="D72" i="167"/>
  <c r="D97" i="167"/>
  <c r="D59" i="167"/>
  <c r="T55" i="168"/>
  <c r="T95" i="168"/>
  <c r="T89" i="168"/>
  <c r="T83" i="168"/>
  <c r="T79" i="168"/>
  <c r="T71" i="168"/>
  <c r="T60" i="168"/>
  <c r="T58" i="168"/>
  <c r="T52" i="168"/>
  <c r="T84" i="168"/>
  <c r="T80" i="168"/>
  <c r="T97" i="168"/>
  <c r="T94" i="168"/>
  <c r="T87" i="168"/>
  <c r="T82" i="168"/>
  <c r="T74" i="168"/>
  <c r="T69" i="168"/>
  <c r="T57" i="168"/>
  <c r="T96" i="168"/>
  <c r="T72" i="168"/>
  <c r="T53" i="168"/>
  <c r="T93" i="168"/>
  <c r="T85" i="168"/>
  <c r="T81" i="168"/>
  <c r="T73" i="168"/>
  <c r="T62" i="168"/>
  <c r="T91" i="168"/>
  <c r="T61" i="168"/>
  <c r="T59" i="168"/>
  <c r="R55" i="168"/>
  <c r="R97" i="168"/>
  <c r="R95" i="168"/>
  <c r="R93" i="168"/>
  <c r="R89" i="168"/>
  <c r="R85" i="168"/>
  <c r="R83" i="168"/>
  <c r="R81" i="168"/>
  <c r="R79" i="168"/>
  <c r="R73" i="168"/>
  <c r="R71" i="168"/>
  <c r="R62" i="168"/>
  <c r="R60" i="168"/>
  <c r="R57" i="168"/>
  <c r="R96" i="168"/>
  <c r="R87" i="168"/>
  <c r="R80" i="168"/>
  <c r="R69" i="168"/>
  <c r="R58" i="168"/>
  <c r="R53" i="168"/>
  <c r="R52" i="168"/>
  <c r="R94" i="168"/>
  <c r="R91" i="168"/>
  <c r="R84" i="168"/>
  <c r="R82" i="168"/>
  <c r="R74" i="168"/>
  <c r="R72" i="168"/>
  <c r="R61" i="168"/>
  <c r="R59" i="168"/>
  <c r="P97" i="168"/>
  <c r="P94" i="168"/>
  <c r="P87" i="168"/>
  <c r="P82" i="168"/>
  <c r="P74" i="168"/>
  <c r="P69" i="168"/>
  <c r="P52" i="168"/>
  <c r="P95" i="168"/>
  <c r="P89" i="168"/>
  <c r="P83" i="168"/>
  <c r="P79" i="168"/>
  <c r="P71" i="168"/>
  <c r="P60" i="168"/>
  <c r="P57" i="168"/>
  <c r="P53" i="168"/>
  <c r="P55" i="168"/>
  <c r="P96" i="168"/>
  <c r="P91" i="168"/>
  <c r="P84" i="168"/>
  <c r="P80" i="168"/>
  <c r="P72" i="168"/>
  <c r="P61" i="168"/>
  <c r="P58" i="168"/>
  <c r="P93" i="168"/>
  <c r="P85" i="168"/>
  <c r="P81" i="168"/>
  <c r="P73" i="168"/>
  <c r="P62" i="168"/>
  <c r="P59" i="168"/>
  <c r="N58" i="168"/>
  <c r="N57" i="168"/>
  <c r="N96" i="168"/>
  <c r="N95" i="168"/>
  <c r="N94" i="168"/>
  <c r="N93" i="168"/>
  <c r="N91" i="168"/>
  <c r="N89" i="168"/>
  <c r="N87" i="168"/>
  <c r="N85" i="168"/>
  <c r="N84" i="168"/>
  <c r="N83" i="168"/>
  <c r="N82" i="168"/>
  <c r="N81" i="168"/>
  <c r="N80" i="168"/>
  <c r="N79" i="168"/>
  <c r="N74" i="168"/>
  <c r="N73" i="168"/>
  <c r="N72" i="168"/>
  <c r="N71" i="168"/>
  <c r="N69" i="168"/>
  <c r="N62" i="168"/>
  <c r="N61" i="168"/>
  <c r="N60" i="168"/>
  <c r="N53" i="168"/>
  <c r="N52" i="168"/>
  <c r="N55" i="168"/>
  <c r="N97" i="168"/>
  <c r="N59" i="168"/>
  <c r="L55" i="168"/>
  <c r="L96" i="168"/>
  <c r="L91" i="168"/>
  <c r="L84" i="168"/>
  <c r="L80" i="168"/>
  <c r="L72" i="168"/>
  <c r="L61" i="168"/>
  <c r="L57" i="168"/>
  <c r="L52" i="168"/>
  <c r="L81" i="168"/>
  <c r="L62" i="168"/>
  <c r="L95" i="168"/>
  <c r="L89" i="168"/>
  <c r="L83" i="168"/>
  <c r="L79" i="168"/>
  <c r="L71" i="168"/>
  <c r="L60" i="168"/>
  <c r="L85" i="168"/>
  <c r="L73" i="168"/>
  <c r="L53" i="168"/>
  <c r="L97" i="168"/>
  <c r="L94" i="168"/>
  <c r="L87" i="168"/>
  <c r="L82" i="168"/>
  <c r="L74" i="168"/>
  <c r="L69" i="168"/>
  <c r="L93" i="168"/>
  <c r="L58" i="168"/>
  <c r="L59" i="168"/>
  <c r="J53" i="168"/>
  <c r="J55" i="168"/>
  <c r="J97" i="168"/>
  <c r="J95" i="168"/>
  <c r="J93" i="168"/>
  <c r="J89" i="168"/>
  <c r="J85" i="168"/>
  <c r="J83" i="168"/>
  <c r="J81" i="168"/>
  <c r="J79" i="168"/>
  <c r="J73" i="168"/>
  <c r="J71" i="168"/>
  <c r="J62" i="168"/>
  <c r="J60" i="168"/>
  <c r="J58" i="168"/>
  <c r="J52" i="168"/>
  <c r="J96" i="168"/>
  <c r="J94" i="168"/>
  <c r="J91" i="168"/>
  <c r="J87" i="168"/>
  <c r="J84" i="168"/>
  <c r="J82" i="168"/>
  <c r="J80" i="168"/>
  <c r="J74" i="168"/>
  <c r="J72" i="168"/>
  <c r="J69" i="168"/>
  <c r="J61" i="168"/>
  <c r="J57" i="168"/>
  <c r="J59" i="168"/>
  <c r="H55" i="168"/>
  <c r="H95" i="168"/>
  <c r="H89" i="168"/>
  <c r="H83" i="168"/>
  <c r="H79" i="168"/>
  <c r="H71" i="168"/>
  <c r="H60" i="168"/>
  <c r="H53" i="168"/>
  <c r="H96" i="168"/>
  <c r="H91" i="168"/>
  <c r="H84" i="168"/>
  <c r="H80" i="168"/>
  <c r="H72" i="168"/>
  <c r="H61" i="168"/>
  <c r="H93" i="168"/>
  <c r="H85" i="168"/>
  <c r="H81" i="168"/>
  <c r="H73" i="168"/>
  <c r="H62" i="168"/>
  <c r="H57" i="168"/>
  <c r="H97" i="168"/>
  <c r="H94" i="168"/>
  <c r="H87" i="168"/>
  <c r="H82" i="168"/>
  <c r="H74" i="168"/>
  <c r="H69" i="168"/>
  <c r="H58" i="168"/>
  <c r="H52" i="168"/>
  <c r="H59" i="168"/>
  <c r="F97" i="168"/>
  <c r="F96" i="168"/>
  <c r="F95" i="168"/>
  <c r="F94" i="168"/>
  <c r="F93" i="168"/>
  <c r="F91" i="168"/>
  <c r="F89" i="168"/>
  <c r="F87" i="168"/>
  <c r="F85" i="168"/>
  <c r="F84" i="168"/>
  <c r="F83" i="168"/>
  <c r="F82" i="168"/>
  <c r="F81" i="168"/>
  <c r="F80" i="168"/>
  <c r="F79" i="168"/>
  <c r="F74" i="168"/>
  <c r="F73" i="168"/>
  <c r="F72" i="168"/>
  <c r="F71" i="168"/>
  <c r="F69" i="168"/>
  <c r="F62" i="168"/>
  <c r="F61" i="168"/>
  <c r="F60" i="168"/>
  <c r="F53" i="168"/>
  <c r="F52" i="168"/>
  <c r="F55" i="168"/>
  <c r="F58" i="168"/>
  <c r="F57" i="168"/>
  <c r="F59" i="168"/>
  <c r="D55" i="168"/>
  <c r="D93" i="168"/>
  <c r="D85" i="168"/>
  <c r="D81" i="168"/>
  <c r="D73" i="168"/>
  <c r="D62" i="168"/>
  <c r="D53" i="168"/>
  <c r="D97" i="168"/>
  <c r="D69" i="168"/>
  <c r="D96" i="168"/>
  <c r="D91" i="168"/>
  <c r="D84" i="168"/>
  <c r="D80" i="168"/>
  <c r="D72" i="168"/>
  <c r="D61" i="168"/>
  <c r="D52" i="168"/>
  <c r="D87" i="168"/>
  <c r="D82" i="168"/>
  <c r="D95" i="168"/>
  <c r="D89" i="168"/>
  <c r="D83" i="168"/>
  <c r="D79" i="168"/>
  <c r="D71" i="168"/>
  <c r="D60" i="168"/>
  <c r="D58" i="168"/>
  <c r="D94" i="168"/>
  <c r="D74" i="168"/>
  <c r="D57" i="168"/>
  <c r="D59" i="168"/>
  <c r="T55" i="169"/>
  <c r="T93" i="169"/>
  <c r="T85" i="169"/>
  <c r="T81" i="169"/>
  <c r="T73" i="169"/>
  <c r="T62" i="169"/>
  <c r="T53" i="169"/>
  <c r="T96" i="169"/>
  <c r="T91" i="169"/>
  <c r="T84" i="169"/>
  <c r="T80" i="169"/>
  <c r="T72" i="169"/>
  <c r="T61" i="169"/>
  <c r="T52" i="169"/>
  <c r="T95" i="169"/>
  <c r="T89" i="169"/>
  <c r="T83" i="169"/>
  <c r="T79" i="169"/>
  <c r="T71" i="169"/>
  <c r="T60" i="169"/>
  <c r="T58" i="169"/>
  <c r="T94" i="169"/>
  <c r="T87" i="169"/>
  <c r="T82" i="169"/>
  <c r="T74" i="169"/>
  <c r="T69" i="169"/>
  <c r="T57" i="169"/>
  <c r="T59" i="169"/>
  <c r="T97" i="169"/>
  <c r="R96" i="169"/>
  <c r="R94" i="169"/>
  <c r="R91" i="169"/>
  <c r="R87" i="169"/>
  <c r="R84" i="169"/>
  <c r="R82" i="169"/>
  <c r="R80" i="169"/>
  <c r="R74" i="169"/>
  <c r="R72" i="169"/>
  <c r="R69" i="169"/>
  <c r="R61" i="169"/>
  <c r="R58" i="169"/>
  <c r="R53" i="169"/>
  <c r="R55" i="169"/>
  <c r="R95" i="169"/>
  <c r="R93" i="169"/>
  <c r="R89" i="169"/>
  <c r="R85" i="169"/>
  <c r="R83" i="169"/>
  <c r="R81" i="169"/>
  <c r="R79" i="169"/>
  <c r="R73" i="169"/>
  <c r="R71" i="169"/>
  <c r="R62" i="169"/>
  <c r="R60" i="169"/>
  <c r="R57" i="169"/>
  <c r="R52" i="169"/>
  <c r="R59" i="169"/>
  <c r="R97" i="169"/>
  <c r="P94" i="169"/>
  <c r="P87" i="169"/>
  <c r="P82" i="169"/>
  <c r="P74" i="169"/>
  <c r="P69" i="169"/>
  <c r="P52" i="169"/>
  <c r="P93" i="169"/>
  <c r="P73" i="169"/>
  <c r="P95" i="169"/>
  <c r="P89" i="169"/>
  <c r="P83" i="169"/>
  <c r="P79" i="169"/>
  <c r="P71" i="169"/>
  <c r="P60" i="169"/>
  <c r="P57" i="169"/>
  <c r="P53" i="169"/>
  <c r="P85" i="169"/>
  <c r="P62" i="169"/>
  <c r="P55" i="169"/>
  <c r="P96" i="169"/>
  <c r="P91" i="169"/>
  <c r="P84" i="169"/>
  <c r="P80" i="169"/>
  <c r="P72" i="169"/>
  <c r="P61" i="169"/>
  <c r="P58" i="169"/>
  <c r="P81" i="169"/>
  <c r="P59" i="169"/>
  <c r="P97" i="169"/>
  <c r="N58" i="169"/>
  <c r="N57" i="169"/>
  <c r="N55" i="169"/>
  <c r="N96" i="169"/>
  <c r="N95" i="169"/>
  <c r="N94" i="169"/>
  <c r="N93" i="169"/>
  <c r="N91" i="169"/>
  <c r="N89" i="169"/>
  <c r="N87" i="169"/>
  <c r="N85" i="169"/>
  <c r="N84" i="169"/>
  <c r="N83" i="169"/>
  <c r="N82" i="169"/>
  <c r="N81" i="169"/>
  <c r="N80" i="169"/>
  <c r="N79" i="169"/>
  <c r="N74" i="169"/>
  <c r="N73" i="169"/>
  <c r="N72" i="169"/>
  <c r="N71" i="169"/>
  <c r="N69" i="169"/>
  <c r="N62" i="169"/>
  <c r="N61" i="169"/>
  <c r="N60" i="169"/>
  <c r="N53" i="169"/>
  <c r="N52" i="169"/>
  <c r="N59" i="169"/>
  <c r="N97" i="169"/>
  <c r="L55" i="169"/>
  <c r="L96" i="169"/>
  <c r="L91" i="169"/>
  <c r="L84" i="169"/>
  <c r="L80" i="169"/>
  <c r="L72" i="169"/>
  <c r="L61" i="169"/>
  <c r="L57" i="169"/>
  <c r="L95" i="169"/>
  <c r="L89" i="169"/>
  <c r="L83" i="169"/>
  <c r="L79" i="169"/>
  <c r="L71" i="169"/>
  <c r="L60" i="169"/>
  <c r="L94" i="169"/>
  <c r="L87" i="169"/>
  <c r="L82" i="169"/>
  <c r="L74" i="169"/>
  <c r="L69" i="169"/>
  <c r="L53" i="169"/>
  <c r="L93" i="169"/>
  <c r="L85" i="169"/>
  <c r="L81" i="169"/>
  <c r="L73" i="169"/>
  <c r="L62" i="169"/>
  <c r="L58" i="169"/>
  <c r="L52" i="169"/>
  <c r="L59" i="169"/>
  <c r="L97" i="169"/>
  <c r="J52" i="169"/>
  <c r="J91" i="169"/>
  <c r="J84" i="169"/>
  <c r="J74" i="169"/>
  <c r="J61" i="169"/>
  <c r="J55" i="169"/>
  <c r="J95" i="169"/>
  <c r="J93" i="169"/>
  <c r="J89" i="169"/>
  <c r="J85" i="169"/>
  <c r="J83" i="169"/>
  <c r="J81" i="169"/>
  <c r="J79" i="169"/>
  <c r="J73" i="169"/>
  <c r="J71" i="169"/>
  <c r="J62" i="169"/>
  <c r="J60" i="169"/>
  <c r="J58" i="169"/>
  <c r="J94" i="169"/>
  <c r="J82" i="169"/>
  <c r="J72" i="169"/>
  <c r="J53" i="169"/>
  <c r="J96" i="169"/>
  <c r="J87" i="169"/>
  <c r="J80" i="169"/>
  <c r="J69" i="169"/>
  <c r="J57" i="169"/>
  <c r="J59" i="169"/>
  <c r="J97" i="169"/>
  <c r="H95" i="169"/>
  <c r="H89" i="169"/>
  <c r="H83" i="169"/>
  <c r="H79" i="169"/>
  <c r="H71" i="169"/>
  <c r="H60" i="169"/>
  <c r="H82" i="169"/>
  <c r="H96" i="169"/>
  <c r="H91" i="169"/>
  <c r="H84" i="169"/>
  <c r="H80" i="169"/>
  <c r="H72" i="169"/>
  <c r="H61" i="169"/>
  <c r="H52" i="169"/>
  <c r="H94" i="169"/>
  <c r="H69" i="169"/>
  <c r="H58" i="169"/>
  <c r="H55" i="169"/>
  <c r="H93" i="169"/>
  <c r="H85" i="169"/>
  <c r="H81" i="169"/>
  <c r="H73" i="169"/>
  <c r="H62" i="169"/>
  <c r="H57" i="169"/>
  <c r="H53" i="169"/>
  <c r="H87" i="169"/>
  <c r="H74" i="169"/>
  <c r="H97" i="169"/>
  <c r="H59" i="169"/>
  <c r="F96" i="169"/>
  <c r="F95" i="169"/>
  <c r="F94" i="169"/>
  <c r="F93" i="169"/>
  <c r="F91" i="169"/>
  <c r="F89" i="169"/>
  <c r="F87" i="169"/>
  <c r="F85" i="169"/>
  <c r="F84" i="169"/>
  <c r="F83" i="169"/>
  <c r="F82" i="169"/>
  <c r="F81" i="169"/>
  <c r="F80" i="169"/>
  <c r="F79" i="169"/>
  <c r="F74" i="169"/>
  <c r="F73" i="169"/>
  <c r="F72" i="169"/>
  <c r="F71" i="169"/>
  <c r="F69" i="169"/>
  <c r="F62" i="169"/>
  <c r="F61" i="169"/>
  <c r="F60" i="169"/>
  <c r="F58" i="169"/>
  <c r="F57" i="169"/>
  <c r="F55" i="169"/>
  <c r="F97" i="169"/>
  <c r="F53" i="169"/>
  <c r="F52" i="169"/>
  <c r="F59" i="169"/>
  <c r="D55" i="169"/>
  <c r="D96" i="169"/>
  <c r="D91" i="169"/>
  <c r="D84" i="169"/>
  <c r="D80" i="169"/>
  <c r="D72" i="169"/>
  <c r="D61" i="169"/>
  <c r="D53" i="169"/>
  <c r="D95" i="169"/>
  <c r="D89" i="169"/>
  <c r="D83" i="169"/>
  <c r="D79" i="169"/>
  <c r="D71" i="169"/>
  <c r="D60" i="169"/>
  <c r="D58" i="169"/>
  <c r="D52" i="169"/>
  <c r="D97" i="169"/>
  <c r="D94" i="169"/>
  <c r="D87" i="169"/>
  <c r="D82" i="169"/>
  <c r="D74" i="169"/>
  <c r="D69" i="169"/>
  <c r="D57" i="169"/>
  <c r="D93" i="169"/>
  <c r="D85" i="169"/>
  <c r="D81" i="169"/>
  <c r="D73" i="169"/>
  <c r="D62" i="169"/>
  <c r="D59" i="169"/>
  <c r="T55" i="172"/>
  <c r="T95" i="172"/>
  <c r="T89" i="172"/>
  <c r="T83" i="172"/>
  <c r="T79" i="172"/>
  <c r="T71" i="172"/>
  <c r="T60" i="172"/>
  <c r="T57" i="172"/>
  <c r="T84" i="172"/>
  <c r="T61" i="172"/>
  <c r="T52" i="172"/>
  <c r="T94" i="172"/>
  <c r="T87" i="172"/>
  <c r="T82" i="172"/>
  <c r="T74" i="172"/>
  <c r="T69" i="172"/>
  <c r="T91" i="172"/>
  <c r="T80" i="172"/>
  <c r="T58" i="172"/>
  <c r="T93" i="172"/>
  <c r="T85" i="172"/>
  <c r="T81" i="172"/>
  <c r="T73" i="172"/>
  <c r="T62" i="172"/>
  <c r="T53" i="172"/>
  <c r="T96" i="172"/>
  <c r="T72" i="172"/>
  <c r="T97" i="172"/>
  <c r="T59" i="172"/>
  <c r="R58" i="172"/>
  <c r="R52" i="172"/>
  <c r="R95" i="172"/>
  <c r="R83" i="172"/>
  <c r="R79" i="172"/>
  <c r="R55" i="172"/>
  <c r="R96" i="172"/>
  <c r="R94" i="172"/>
  <c r="R91" i="172"/>
  <c r="R87" i="172"/>
  <c r="R84" i="172"/>
  <c r="R82" i="172"/>
  <c r="R80" i="172"/>
  <c r="R74" i="172"/>
  <c r="R72" i="172"/>
  <c r="R69" i="172"/>
  <c r="R61" i="172"/>
  <c r="R89" i="172"/>
  <c r="R85" i="172"/>
  <c r="R71" i="172"/>
  <c r="R60" i="172"/>
  <c r="R57" i="172"/>
  <c r="R53" i="172"/>
  <c r="R93" i="172"/>
  <c r="R81" i="172"/>
  <c r="R73" i="172"/>
  <c r="R62" i="172"/>
  <c r="R97" i="172"/>
  <c r="R59" i="172"/>
  <c r="P93" i="172"/>
  <c r="P85" i="172"/>
  <c r="P81" i="172"/>
  <c r="P73" i="172"/>
  <c r="P62" i="172"/>
  <c r="P57" i="172"/>
  <c r="P91" i="172"/>
  <c r="P72" i="172"/>
  <c r="P94" i="172"/>
  <c r="P87" i="172"/>
  <c r="P82" i="172"/>
  <c r="P74" i="172"/>
  <c r="P69" i="172"/>
  <c r="P58" i="172"/>
  <c r="P52" i="172"/>
  <c r="P84" i="172"/>
  <c r="P80" i="172"/>
  <c r="P55" i="172"/>
  <c r="P95" i="172"/>
  <c r="P89" i="172"/>
  <c r="P83" i="172"/>
  <c r="P79" i="172"/>
  <c r="P71" i="172"/>
  <c r="P60" i="172"/>
  <c r="P53" i="172"/>
  <c r="P96" i="172"/>
  <c r="P61" i="172"/>
  <c r="P97" i="172"/>
  <c r="P59" i="172"/>
  <c r="N96" i="172"/>
  <c r="N95" i="172"/>
  <c r="N94" i="172"/>
  <c r="N93" i="172"/>
  <c r="N91" i="172"/>
  <c r="N89" i="172"/>
  <c r="N87" i="172"/>
  <c r="N85" i="172"/>
  <c r="N84" i="172"/>
  <c r="N83" i="172"/>
  <c r="N82" i="172"/>
  <c r="N81" i="172"/>
  <c r="N80" i="172"/>
  <c r="N79" i="172"/>
  <c r="N74" i="172"/>
  <c r="N73" i="172"/>
  <c r="N72" i="172"/>
  <c r="N71" i="172"/>
  <c r="N69" i="172"/>
  <c r="N62" i="172"/>
  <c r="N61" i="172"/>
  <c r="N60" i="172"/>
  <c r="N53" i="172"/>
  <c r="N52" i="172"/>
  <c r="N58" i="172"/>
  <c r="N57" i="172"/>
  <c r="N55" i="172"/>
  <c r="N97" i="172"/>
  <c r="N59" i="172"/>
  <c r="L55" i="172"/>
  <c r="L95" i="172"/>
  <c r="L89" i="172"/>
  <c r="L83" i="172"/>
  <c r="L79" i="172"/>
  <c r="L71" i="172"/>
  <c r="L60" i="172"/>
  <c r="L57" i="172"/>
  <c r="L85" i="172"/>
  <c r="L81" i="172"/>
  <c r="L96" i="172"/>
  <c r="L84" i="172"/>
  <c r="L72" i="172"/>
  <c r="L61" i="172"/>
  <c r="L94" i="172"/>
  <c r="L87" i="172"/>
  <c r="L82" i="172"/>
  <c r="L74" i="172"/>
  <c r="L69" i="172"/>
  <c r="L53" i="172"/>
  <c r="L93" i="172"/>
  <c r="L73" i="172"/>
  <c r="L62" i="172"/>
  <c r="L52" i="172"/>
  <c r="L91" i="172"/>
  <c r="L80" i="172"/>
  <c r="L58" i="172"/>
  <c r="L97" i="172"/>
  <c r="L59" i="172"/>
  <c r="J58" i="172"/>
  <c r="J53" i="172"/>
  <c r="J84" i="172"/>
  <c r="J82" i="172"/>
  <c r="J80" i="172"/>
  <c r="J74" i="172"/>
  <c r="J72" i="172"/>
  <c r="J69" i="172"/>
  <c r="J61" i="172"/>
  <c r="J55" i="172"/>
  <c r="J96" i="172"/>
  <c r="J94" i="172"/>
  <c r="J91" i="172"/>
  <c r="J87" i="172"/>
  <c r="J57" i="172"/>
  <c r="J52" i="172"/>
  <c r="J95" i="172"/>
  <c r="J93" i="172"/>
  <c r="J89" i="172"/>
  <c r="J85" i="172"/>
  <c r="J83" i="172"/>
  <c r="J81" i="172"/>
  <c r="J79" i="172"/>
  <c r="J73" i="172"/>
  <c r="J71" i="172"/>
  <c r="J62" i="172"/>
  <c r="J60" i="172"/>
  <c r="J97" i="172"/>
  <c r="J59" i="172"/>
  <c r="H93" i="172"/>
  <c r="H85" i="172"/>
  <c r="H81" i="172"/>
  <c r="H73" i="172"/>
  <c r="H62" i="172"/>
  <c r="H57" i="172"/>
  <c r="H84" i="172"/>
  <c r="H61" i="172"/>
  <c r="H94" i="172"/>
  <c r="H87" i="172"/>
  <c r="H82" i="172"/>
  <c r="H74" i="172"/>
  <c r="H69" i="172"/>
  <c r="H58" i="172"/>
  <c r="H91" i="172"/>
  <c r="H72" i="172"/>
  <c r="H53" i="172"/>
  <c r="H55" i="172"/>
  <c r="H95" i="172"/>
  <c r="H89" i="172"/>
  <c r="H83" i="172"/>
  <c r="H79" i="172"/>
  <c r="H71" i="172"/>
  <c r="H60" i="172"/>
  <c r="H52" i="172"/>
  <c r="H96" i="172"/>
  <c r="H80" i="172"/>
  <c r="H97" i="172"/>
  <c r="H59" i="172"/>
  <c r="F57" i="172"/>
  <c r="F52" i="172"/>
  <c r="F96" i="172"/>
  <c r="F95" i="172"/>
  <c r="F94" i="172"/>
  <c r="F93" i="172"/>
  <c r="F91" i="172"/>
  <c r="F89" i="172"/>
  <c r="F87" i="172"/>
  <c r="F85" i="172"/>
  <c r="F84" i="172"/>
  <c r="F83" i="172"/>
  <c r="F82" i="172"/>
  <c r="F81" i="172"/>
  <c r="F80" i="172"/>
  <c r="F79" i="172"/>
  <c r="F74" i="172"/>
  <c r="F73" i="172"/>
  <c r="F72" i="172"/>
  <c r="F71" i="172"/>
  <c r="F69" i="172"/>
  <c r="F62" i="172"/>
  <c r="F61" i="172"/>
  <c r="F60" i="172"/>
  <c r="F55" i="172"/>
  <c r="F58" i="172"/>
  <c r="F53" i="172"/>
  <c r="F97" i="172"/>
  <c r="F59" i="172"/>
  <c r="T55" i="175"/>
  <c r="T96" i="175"/>
  <c r="T91" i="175"/>
  <c r="T84" i="175"/>
  <c r="T80" i="175"/>
  <c r="T72" i="175"/>
  <c r="T61" i="175"/>
  <c r="T58" i="175"/>
  <c r="T52" i="175"/>
  <c r="T81" i="175"/>
  <c r="T95" i="175"/>
  <c r="T89" i="175"/>
  <c r="T83" i="175"/>
  <c r="T79" i="175"/>
  <c r="T71" i="175"/>
  <c r="T60" i="175"/>
  <c r="T57" i="175"/>
  <c r="T85" i="175"/>
  <c r="T62" i="175"/>
  <c r="T97" i="175"/>
  <c r="T94" i="175"/>
  <c r="T87" i="175"/>
  <c r="T82" i="175"/>
  <c r="T74" i="175"/>
  <c r="T69" i="175"/>
  <c r="T93" i="175"/>
  <c r="T73" i="175"/>
  <c r="T53" i="175"/>
  <c r="T59" i="175"/>
  <c r="R96" i="175"/>
  <c r="R84" i="175"/>
  <c r="R80" i="175"/>
  <c r="R72" i="175"/>
  <c r="R58" i="175"/>
  <c r="R52" i="175"/>
  <c r="R55" i="175"/>
  <c r="R97" i="175"/>
  <c r="R95" i="175"/>
  <c r="R93" i="175"/>
  <c r="R89" i="175"/>
  <c r="R85" i="175"/>
  <c r="R83" i="175"/>
  <c r="R81" i="175"/>
  <c r="R79" i="175"/>
  <c r="R73" i="175"/>
  <c r="R71" i="175"/>
  <c r="R62" i="175"/>
  <c r="R60" i="175"/>
  <c r="R57" i="175"/>
  <c r="R53" i="175"/>
  <c r="R91" i="175"/>
  <c r="R87" i="175"/>
  <c r="R82" i="175"/>
  <c r="R74" i="175"/>
  <c r="R69" i="175"/>
  <c r="R61" i="175"/>
  <c r="R94" i="175"/>
  <c r="R59" i="175"/>
  <c r="P97" i="175"/>
  <c r="P94" i="175"/>
  <c r="P87" i="175"/>
  <c r="P82" i="175"/>
  <c r="P74" i="175"/>
  <c r="P69" i="175"/>
  <c r="P57" i="175"/>
  <c r="P95" i="175"/>
  <c r="P89" i="175"/>
  <c r="P83" i="175"/>
  <c r="P79" i="175"/>
  <c r="P71" i="175"/>
  <c r="P60" i="175"/>
  <c r="P58" i="175"/>
  <c r="P52" i="175"/>
  <c r="P55" i="175"/>
  <c r="P96" i="175"/>
  <c r="P91" i="175"/>
  <c r="P84" i="175"/>
  <c r="P80" i="175"/>
  <c r="P72" i="175"/>
  <c r="P61" i="175"/>
  <c r="P53" i="175"/>
  <c r="P93" i="175"/>
  <c r="P85" i="175"/>
  <c r="P81" i="175"/>
  <c r="P73" i="175"/>
  <c r="P62" i="175"/>
  <c r="P59" i="175"/>
  <c r="N58" i="175"/>
  <c r="N57" i="175"/>
  <c r="N53" i="175"/>
  <c r="N52" i="175"/>
  <c r="N97" i="175"/>
  <c r="N96" i="175"/>
  <c r="N95" i="175"/>
  <c r="N94" i="175"/>
  <c r="N93" i="175"/>
  <c r="N91" i="175"/>
  <c r="N89" i="175"/>
  <c r="N87" i="175"/>
  <c r="N85" i="175"/>
  <c r="N84" i="175"/>
  <c r="N83" i="175"/>
  <c r="N82" i="175"/>
  <c r="N81" i="175"/>
  <c r="N80" i="175"/>
  <c r="N79" i="175"/>
  <c r="N74" i="175"/>
  <c r="N73" i="175"/>
  <c r="N72" i="175"/>
  <c r="N71" i="175"/>
  <c r="N69" i="175"/>
  <c r="N62" i="175"/>
  <c r="N61" i="175"/>
  <c r="N60" i="175"/>
  <c r="N55" i="175"/>
  <c r="N59" i="175"/>
  <c r="L55" i="175"/>
  <c r="L96" i="175"/>
  <c r="L91" i="175"/>
  <c r="L84" i="175"/>
  <c r="L80" i="175"/>
  <c r="L72" i="175"/>
  <c r="L61" i="175"/>
  <c r="L93" i="175"/>
  <c r="L57" i="175"/>
  <c r="L95" i="175"/>
  <c r="L89" i="175"/>
  <c r="L83" i="175"/>
  <c r="L79" i="175"/>
  <c r="L71" i="175"/>
  <c r="L60" i="175"/>
  <c r="L53" i="175"/>
  <c r="L85" i="175"/>
  <c r="L62" i="175"/>
  <c r="L97" i="175"/>
  <c r="L94" i="175"/>
  <c r="L87" i="175"/>
  <c r="L82" i="175"/>
  <c r="L74" i="175"/>
  <c r="L69" i="175"/>
  <c r="L58" i="175"/>
  <c r="L52" i="175"/>
  <c r="L81" i="175"/>
  <c r="L73" i="175"/>
  <c r="L59" i="175"/>
  <c r="J58" i="175"/>
  <c r="J52" i="175"/>
  <c r="J96" i="175"/>
  <c r="J91" i="175"/>
  <c r="J82" i="175"/>
  <c r="J80" i="175"/>
  <c r="J72" i="175"/>
  <c r="J61" i="175"/>
  <c r="J55" i="175"/>
  <c r="J97" i="175"/>
  <c r="J95" i="175"/>
  <c r="J93" i="175"/>
  <c r="J89" i="175"/>
  <c r="J85" i="175"/>
  <c r="J83" i="175"/>
  <c r="J81" i="175"/>
  <c r="J79" i="175"/>
  <c r="J73" i="175"/>
  <c r="J71" i="175"/>
  <c r="J62" i="175"/>
  <c r="J60" i="175"/>
  <c r="J57" i="175"/>
  <c r="J53" i="175"/>
  <c r="J94" i="175"/>
  <c r="J87" i="175"/>
  <c r="J84" i="175"/>
  <c r="J74" i="175"/>
  <c r="J69" i="175"/>
  <c r="J59" i="175"/>
  <c r="H97" i="175"/>
  <c r="H94" i="175"/>
  <c r="H87" i="175"/>
  <c r="H82" i="175"/>
  <c r="H74" i="175"/>
  <c r="H69" i="175"/>
  <c r="H73" i="175"/>
  <c r="H53" i="175"/>
  <c r="H95" i="175"/>
  <c r="H89" i="175"/>
  <c r="H83" i="175"/>
  <c r="H79" i="175"/>
  <c r="H71" i="175"/>
  <c r="H60" i="175"/>
  <c r="H57" i="175"/>
  <c r="H93" i="175"/>
  <c r="H81" i="175"/>
  <c r="H55" i="175"/>
  <c r="H96" i="175"/>
  <c r="H91" i="175"/>
  <c r="H84" i="175"/>
  <c r="H80" i="175"/>
  <c r="H72" i="175"/>
  <c r="H61" i="175"/>
  <c r="H58" i="175"/>
  <c r="H52" i="175"/>
  <c r="H85" i="175"/>
  <c r="H62" i="175"/>
  <c r="H59" i="175"/>
  <c r="F58" i="175"/>
  <c r="F57" i="175"/>
  <c r="F53" i="175"/>
  <c r="F52" i="175"/>
  <c r="F96" i="175"/>
  <c r="F95" i="175"/>
  <c r="F94" i="175"/>
  <c r="F93" i="175"/>
  <c r="F91" i="175"/>
  <c r="F89" i="175"/>
  <c r="F87" i="175"/>
  <c r="F85" i="175"/>
  <c r="F84" i="175"/>
  <c r="F83" i="175"/>
  <c r="F82" i="175"/>
  <c r="F81" i="175"/>
  <c r="F80" i="175"/>
  <c r="F79" i="175"/>
  <c r="F74" i="175"/>
  <c r="F73" i="175"/>
  <c r="F72" i="175"/>
  <c r="F71" i="175"/>
  <c r="F69" i="175"/>
  <c r="F62" i="175"/>
  <c r="F61" i="175"/>
  <c r="F60" i="175"/>
  <c r="F55" i="175"/>
  <c r="F97" i="175"/>
  <c r="F59" i="175"/>
  <c r="D55" i="175"/>
  <c r="D96" i="175"/>
  <c r="D91" i="175"/>
  <c r="D84" i="175"/>
  <c r="D80" i="175"/>
  <c r="D72" i="175"/>
  <c r="D61" i="175"/>
  <c r="D81" i="175"/>
  <c r="D73" i="175"/>
  <c r="D95" i="175"/>
  <c r="D89" i="175"/>
  <c r="D83" i="175"/>
  <c r="D79" i="175"/>
  <c r="D71" i="175"/>
  <c r="D60" i="175"/>
  <c r="D53" i="175"/>
  <c r="D85" i="175"/>
  <c r="D57" i="175"/>
  <c r="D97" i="175"/>
  <c r="D94" i="175"/>
  <c r="D87" i="175"/>
  <c r="D82" i="175"/>
  <c r="D74" i="175"/>
  <c r="D69" i="175"/>
  <c r="D58" i="175"/>
  <c r="D52" i="175"/>
  <c r="D93" i="175"/>
  <c r="D62" i="175"/>
  <c r="D59" i="175"/>
  <c r="U21" i="198"/>
  <c r="U23" i="118"/>
  <c r="U23" i="198"/>
  <c r="Q21" i="198"/>
  <c r="Q23" i="118"/>
  <c r="Q23" i="198"/>
  <c r="O21" i="198"/>
  <c r="O23" i="118"/>
  <c r="O23" i="198"/>
  <c r="M21" i="198"/>
  <c r="M23" i="118"/>
  <c r="M23" i="198"/>
  <c r="I21" i="198"/>
  <c r="I23" i="118"/>
  <c r="I23" i="198"/>
  <c r="G21" i="198"/>
  <c r="G23" i="118"/>
  <c r="G23" i="198"/>
  <c r="E21" i="198"/>
  <c r="E23" i="118"/>
  <c r="E23" i="198"/>
  <c r="C21" i="198"/>
  <c r="C23" i="118"/>
  <c r="C23" i="198"/>
  <c r="T27" i="194"/>
  <c r="K28" i="195"/>
  <c r="L37" i="195"/>
  <c r="S28" i="195"/>
  <c r="T37" i="195"/>
  <c r="D20" i="194"/>
  <c r="T21" i="194"/>
  <c r="N19" i="194"/>
  <c r="N42" i="194"/>
  <c r="N24" i="194"/>
  <c r="T96" i="194"/>
  <c r="T91" i="194"/>
  <c r="T84" i="194"/>
  <c r="T80" i="194"/>
  <c r="T72" i="194"/>
  <c r="T61" i="194"/>
  <c r="T52" i="194"/>
  <c r="T94" i="194"/>
  <c r="T95" i="194"/>
  <c r="T89" i="194"/>
  <c r="T83" i="194"/>
  <c r="T79" i="194"/>
  <c r="T71" i="194"/>
  <c r="T60" i="194"/>
  <c r="T58" i="194"/>
  <c r="T87" i="194"/>
  <c r="T82" i="194"/>
  <c r="T62" i="194"/>
  <c r="T85" i="194"/>
  <c r="T73" i="194"/>
  <c r="T81" i="194"/>
  <c r="T69" i="194"/>
  <c r="T93" i="194"/>
  <c r="T74" i="194"/>
  <c r="T57" i="194"/>
  <c r="T53" i="194"/>
  <c r="T97" i="194"/>
  <c r="T59" i="194"/>
  <c r="D37" i="194"/>
  <c r="D19" i="194"/>
  <c r="T20" i="194"/>
  <c r="T23" i="194"/>
  <c r="T24" i="194"/>
  <c r="F95" i="194"/>
  <c r="F89" i="194"/>
  <c r="F83" i="194"/>
  <c r="F79" i="194"/>
  <c r="F71" i="194"/>
  <c r="F60" i="194"/>
  <c r="F58" i="194"/>
  <c r="F93" i="194"/>
  <c r="F94" i="194"/>
  <c r="F87" i="194"/>
  <c r="F82" i="194"/>
  <c r="F74" i="194"/>
  <c r="F69" i="194"/>
  <c r="F57" i="194"/>
  <c r="F85" i="194"/>
  <c r="F81" i="194"/>
  <c r="F96" i="194"/>
  <c r="F80" i="194"/>
  <c r="F61" i="194"/>
  <c r="F84" i="194"/>
  <c r="F72" i="194"/>
  <c r="F62" i="194"/>
  <c r="F52" i="194"/>
  <c r="F91" i="194"/>
  <c r="F73" i="194"/>
  <c r="F53" i="194"/>
  <c r="F97" i="194"/>
  <c r="F59" i="194"/>
  <c r="N97" i="194"/>
  <c r="N95" i="194"/>
  <c r="N89" i="194"/>
  <c r="N83" i="194"/>
  <c r="N79" i="194"/>
  <c r="N71" i="194"/>
  <c r="N60" i="194"/>
  <c r="N58" i="194"/>
  <c r="N94" i="194"/>
  <c r="N87" i="194"/>
  <c r="N82" i="194"/>
  <c r="N74" i="194"/>
  <c r="N69" i="194"/>
  <c r="N57" i="194"/>
  <c r="N93" i="194"/>
  <c r="N85" i="194"/>
  <c r="N81" i="194"/>
  <c r="N91" i="194"/>
  <c r="N72" i="194"/>
  <c r="N53" i="194"/>
  <c r="N80" i="194"/>
  <c r="N96" i="194"/>
  <c r="N73" i="194"/>
  <c r="N84" i="194"/>
  <c r="N62" i="194"/>
  <c r="N52" i="194"/>
  <c r="N61" i="194"/>
  <c r="N59" i="194"/>
  <c r="T28" i="194"/>
  <c r="T38" i="194"/>
  <c r="J23" i="194"/>
  <c r="J93" i="194"/>
  <c r="J85" i="194"/>
  <c r="J81" i="194"/>
  <c r="J73" i="194"/>
  <c r="J62" i="194"/>
  <c r="J53" i="194"/>
  <c r="J89" i="194"/>
  <c r="J96" i="194"/>
  <c r="J91" i="194"/>
  <c r="J84" i="194"/>
  <c r="J80" i="194"/>
  <c r="J72" i="194"/>
  <c r="J61" i="194"/>
  <c r="J52" i="194"/>
  <c r="J95" i="194"/>
  <c r="J83" i="194"/>
  <c r="J94" i="194"/>
  <c r="J74" i="194"/>
  <c r="J58" i="194"/>
  <c r="J97" i="194"/>
  <c r="J69" i="194"/>
  <c r="J79" i="194"/>
  <c r="J60" i="194"/>
  <c r="J87" i="194"/>
  <c r="J71" i="194"/>
  <c r="J57" i="194"/>
  <c r="J82" i="194"/>
  <c r="J59" i="194"/>
  <c r="R93" i="194"/>
  <c r="R85" i="194"/>
  <c r="R81" i="194"/>
  <c r="R73" i="194"/>
  <c r="R62" i="194"/>
  <c r="R53" i="194"/>
  <c r="R83" i="194"/>
  <c r="R97" i="194"/>
  <c r="R96" i="194"/>
  <c r="R91" i="194"/>
  <c r="R84" i="194"/>
  <c r="R80" i="194"/>
  <c r="R72" i="194"/>
  <c r="R61" i="194"/>
  <c r="R52" i="194"/>
  <c r="R95" i="194"/>
  <c r="R89" i="194"/>
  <c r="R87" i="194"/>
  <c r="R69" i="194"/>
  <c r="R94" i="194"/>
  <c r="R71" i="194"/>
  <c r="R57" i="194"/>
  <c r="R82" i="194"/>
  <c r="R79" i="194"/>
  <c r="R60" i="194"/>
  <c r="R74" i="194"/>
  <c r="R58" i="194"/>
  <c r="R59" i="194"/>
  <c r="D41" i="194"/>
  <c r="D96" i="194"/>
  <c r="D91" i="194"/>
  <c r="D84" i="194"/>
  <c r="D80" i="194"/>
  <c r="D72" i="194"/>
  <c r="D61" i="194"/>
  <c r="D52" i="194"/>
  <c r="D82" i="194"/>
  <c r="D95" i="194"/>
  <c r="D89" i="194"/>
  <c r="D83" i="194"/>
  <c r="D79" i="194"/>
  <c r="D71" i="194"/>
  <c r="D60" i="194"/>
  <c r="D58" i="194"/>
  <c r="D94" i="194"/>
  <c r="D87" i="194"/>
  <c r="D85" i="194"/>
  <c r="D62" i="194"/>
  <c r="D59" i="194"/>
  <c r="D73" i="194"/>
  <c r="D57" i="194"/>
  <c r="D93" i="194"/>
  <c r="D69" i="194"/>
  <c r="D53" i="194"/>
  <c r="D81" i="194"/>
  <c r="D74" i="194"/>
  <c r="D97" i="194"/>
  <c r="C31" i="194"/>
  <c r="C33" i="194"/>
  <c r="L96" i="194"/>
  <c r="L91" i="194"/>
  <c r="L84" i="194"/>
  <c r="L80" i="194"/>
  <c r="L72" i="194"/>
  <c r="L61" i="194"/>
  <c r="L52" i="194"/>
  <c r="L95" i="194"/>
  <c r="L89" i="194"/>
  <c r="L83" i="194"/>
  <c r="L79" i="194"/>
  <c r="L71" i="194"/>
  <c r="L60" i="194"/>
  <c r="L58" i="194"/>
  <c r="L94" i="194"/>
  <c r="L87" i="194"/>
  <c r="L82" i="194"/>
  <c r="L81" i="194"/>
  <c r="L73" i="194"/>
  <c r="L57" i="194"/>
  <c r="L62" i="194"/>
  <c r="L85" i="194"/>
  <c r="L74" i="194"/>
  <c r="L69" i="194"/>
  <c r="L53" i="194"/>
  <c r="L93" i="194"/>
  <c r="L97" i="194"/>
  <c r="L59" i="194"/>
  <c r="D21" i="194"/>
  <c r="D24" i="194"/>
  <c r="D25" i="194"/>
  <c r="T26" i="194"/>
  <c r="H94" i="194"/>
  <c r="H87" i="194"/>
  <c r="H82" i="194"/>
  <c r="H74" i="194"/>
  <c r="H69" i="194"/>
  <c r="H57" i="194"/>
  <c r="H96" i="194"/>
  <c r="H91" i="194"/>
  <c r="H93" i="194"/>
  <c r="H85" i="194"/>
  <c r="H81" i="194"/>
  <c r="H73" i="194"/>
  <c r="H62" i="194"/>
  <c r="H53" i="194"/>
  <c r="H84" i="194"/>
  <c r="H83" i="194"/>
  <c r="H79" i="194"/>
  <c r="H60" i="194"/>
  <c r="H95" i="194"/>
  <c r="H89" i="194"/>
  <c r="H80" i="194"/>
  <c r="H61" i="194"/>
  <c r="H72" i="194"/>
  <c r="H58" i="194"/>
  <c r="H71" i="194"/>
  <c r="H52" i="194"/>
  <c r="H97" i="194"/>
  <c r="H59" i="194"/>
  <c r="P43" i="194"/>
  <c r="P94" i="194"/>
  <c r="P87" i="194"/>
  <c r="P82" i="194"/>
  <c r="P74" i="194"/>
  <c r="P69" i="194"/>
  <c r="P57" i="194"/>
  <c r="P80" i="194"/>
  <c r="P93" i="194"/>
  <c r="P85" i="194"/>
  <c r="P81" i="194"/>
  <c r="P73" i="194"/>
  <c r="P62" i="194"/>
  <c r="P53" i="194"/>
  <c r="P96" i="194"/>
  <c r="P91" i="194"/>
  <c r="P84" i="194"/>
  <c r="P71" i="194"/>
  <c r="P52" i="194"/>
  <c r="P89" i="194"/>
  <c r="P79" i="194"/>
  <c r="P60" i="194"/>
  <c r="P83" i="194"/>
  <c r="P72" i="194"/>
  <c r="P58" i="194"/>
  <c r="P95" i="194"/>
  <c r="P61" i="194"/>
  <c r="P97" i="194"/>
  <c r="P59" i="194"/>
  <c r="T41" i="194"/>
  <c r="F96" i="193"/>
  <c r="F91" i="193"/>
  <c r="F84" i="193"/>
  <c r="F80" i="193"/>
  <c r="F72" i="193"/>
  <c r="F61" i="193"/>
  <c r="F52" i="193"/>
  <c r="F93" i="193"/>
  <c r="F85" i="193"/>
  <c r="F81" i="193"/>
  <c r="F73" i="193"/>
  <c r="F62" i="193"/>
  <c r="F95" i="193"/>
  <c r="F89" i="193"/>
  <c r="F83" i="193"/>
  <c r="F79" i="193"/>
  <c r="F71" i="193"/>
  <c r="F60" i="193"/>
  <c r="F58" i="193"/>
  <c r="F94" i="193"/>
  <c r="F87" i="193"/>
  <c r="F82" i="193"/>
  <c r="F74" i="193"/>
  <c r="F69" i="193"/>
  <c r="F57" i="193"/>
  <c r="F53" i="193"/>
  <c r="F97" i="193"/>
  <c r="F59" i="193"/>
  <c r="H95" i="193"/>
  <c r="H89" i="193"/>
  <c r="H83" i="193"/>
  <c r="H79" i="193"/>
  <c r="H71" i="193"/>
  <c r="H60" i="193"/>
  <c r="H58" i="193"/>
  <c r="H94" i="193"/>
  <c r="H87" i="193"/>
  <c r="H82" i="193"/>
  <c r="H74" i="193"/>
  <c r="H69" i="193"/>
  <c r="H57" i="193"/>
  <c r="H84" i="193"/>
  <c r="H80" i="193"/>
  <c r="H61" i="193"/>
  <c r="H93" i="193"/>
  <c r="H85" i="193"/>
  <c r="H81" i="193"/>
  <c r="H73" i="193"/>
  <c r="H62" i="193"/>
  <c r="H53" i="193"/>
  <c r="H96" i="193"/>
  <c r="H91" i="193"/>
  <c r="H72" i="193"/>
  <c r="H52" i="193"/>
  <c r="H97" i="193"/>
  <c r="H59" i="193"/>
  <c r="P95" i="193"/>
  <c r="P89" i="193"/>
  <c r="P83" i="193"/>
  <c r="P79" i="193"/>
  <c r="P71" i="193"/>
  <c r="P60" i="193"/>
  <c r="P58" i="193"/>
  <c r="P96" i="193"/>
  <c r="P94" i="193"/>
  <c r="P87" i="193"/>
  <c r="P82" i="193"/>
  <c r="P74" i="193"/>
  <c r="P69" i="193"/>
  <c r="P57" i="193"/>
  <c r="P91" i="193"/>
  <c r="P72" i="193"/>
  <c r="P93" i="193"/>
  <c r="P85" i="193"/>
  <c r="P81" i="193"/>
  <c r="P73" i="193"/>
  <c r="P62" i="193"/>
  <c r="P53" i="193"/>
  <c r="P84" i="193"/>
  <c r="P80" i="193"/>
  <c r="P61" i="193"/>
  <c r="P52" i="193"/>
  <c r="P97" i="193"/>
  <c r="P59" i="193"/>
  <c r="J94" i="193"/>
  <c r="J87" i="193"/>
  <c r="J82" i="193"/>
  <c r="J74" i="193"/>
  <c r="J69" i="193"/>
  <c r="J57" i="193"/>
  <c r="J93" i="193"/>
  <c r="J85" i="193"/>
  <c r="J81" i="193"/>
  <c r="J73" i="193"/>
  <c r="J62" i="193"/>
  <c r="J53" i="193"/>
  <c r="J95" i="193"/>
  <c r="J89" i="193"/>
  <c r="J71" i="193"/>
  <c r="J96" i="193"/>
  <c r="J91" i="193"/>
  <c r="J84" i="193"/>
  <c r="J80" i="193"/>
  <c r="J72" i="193"/>
  <c r="J61" i="193"/>
  <c r="J52" i="193"/>
  <c r="J83" i="193"/>
  <c r="J79" i="193"/>
  <c r="J60" i="193"/>
  <c r="J58" i="193"/>
  <c r="J97" i="193"/>
  <c r="J59" i="193"/>
  <c r="R94" i="193"/>
  <c r="R87" i="193"/>
  <c r="R82" i="193"/>
  <c r="R74" i="193"/>
  <c r="R69" i="193"/>
  <c r="R57" i="193"/>
  <c r="R95" i="193"/>
  <c r="R89" i="193"/>
  <c r="R83" i="193"/>
  <c r="R79" i="193"/>
  <c r="R71" i="193"/>
  <c r="R60" i="193"/>
  <c r="R58" i="193"/>
  <c r="R93" i="193"/>
  <c r="R85" i="193"/>
  <c r="R81" i="193"/>
  <c r="R73" i="193"/>
  <c r="R62" i="193"/>
  <c r="R53" i="193"/>
  <c r="R96" i="193"/>
  <c r="R91" i="193"/>
  <c r="R84" i="193"/>
  <c r="R80" i="193"/>
  <c r="R72" i="193"/>
  <c r="R61" i="193"/>
  <c r="R52" i="193"/>
  <c r="R97" i="193"/>
  <c r="R59" i="193"/>
  <c r="V44" i="193"/>
  <c r="J46" i="193"/>
  <c r="N96" i="193"/>
  <c r="N91" i="193"/>
  <c r="N84" i="193"/>
  <c r="N80" i="193"/>
  <c r="N72" i="193"/>
  <c r="N61" i="193"/>
  <c r="N52" i="193"/>
  <c r="N53" i="193"/>
  <c r="N95" i="193"/>
  <c r="N89" i="193"/>
  <c r="N83" i="193"/>
  <c r="N79" i="193"/>
  <c r="N71" i="193"/>
  <c r="N60" i="193"/>
  <c r="N58" i="193"/>
  <c r="N85" i="193"/>
  <c r="N62" i="193"/>
  <c r="N94" i="193"/>
  <c r="N87" i="193"/>
  <c r="N82" i="193"/>
  <c r="N74" i="193"/>
  <c r="N69" i="193"/>
  <c r="N57" i="193"/>
  <c r="N93" i="193"/>
  <c r="N81" i="193"/>
  <c r="N73" i="193"/>
  <c r="N97" i="193"/>
  <c r="N59" i="193"/>
  <c r="D93" i="193"/>
  <c r="D85" i="193"/>
  <c r="D81" i="193"/>
  <c r="D73" i="193"/>
  <c r="D62" i="193"/>
  <c r="D53" i="193"/>
  <c r="D96" i="193"/>
  <c r="D91" i="193"/>
  <c r="D84" i="193"/>
  <c r="D80" i="193"/>
  <c r="D72" i="193"/>
  <c r="D61" i="193"/>
  <c r="D52" i="193"/>
  <c r="D94" i="193"/>
  <c r="D82" i="193"/>
  <c r="D95" i="193"/>
  <c r="D89" i="193"/>
  <c r="D83" i="193"/>
  <c r="D79" i="193"/>
  <c r="D71" i="193"/>
  <c r="D60" i="193"/>
  <c r="D58" i="193"/>
  <c r="D87" i="193"/>
  <c r="D74" i="193"/>
  <c r="D69" i="193"/>
  <c r="D57" i="193"/>
  <c r="D59" i="193"/>
  <c r="D97" i="193"/>
  <c r="C31" i="193"/>
  <c r="D31" i="193"/>
  <c r="E31" i="193"/>
  <c r="L93" i="193"/>
  <c r="L85" i="193"/>
  <c r="L81" i="193"/>
  <c r="L73" i="193"/>
  <c r="L62" i="193"/>
  <c r="L53" i="193"/>
  <c r="L97" i="193"/>
  <c r="L94" i="193"/>
  <c r="L87" i="193"/>
  <c r="L82" i="193"/>
  <c r="L74" i="193"/>
  <c r="L69" i="193"/>
  <c r="L96" i="193"/>
  <c r="L91" i="193"/>
  <c r="L84" i="193"/>
  <c r="L80" i="193"/>
  <c r="L72" i="193"/>
  <c r="L61" i="193"/>
  <c r="L52" i="193"/>
  <c r="L57" i="193"/>
  <c r="L95" i="193"/>
  <c r="L89" i="193"/>
  <c r="L83" i="193"/>
  <c r="L79" i="193"/>
  <c r="L71" i="193"/>
  <c r="L60" i="193"/>
  <c r="L58" i="193"/>
  <c r="L59" i="193"/>
  <c r="T93" i="193"/>
  <c r="T85" i="193"/>
  <c r="T81" i="193"/>
  <c r="T73" i="193"/>
  <c r="T62" i="193"/>
  <c r="T53" i="193"/>
  <c r="T57" i="193"/>
  <c r="T96" i="193"/>
  <c r="T91" i="193"/>
  <c r="T84" i="193"/>
  <c r="T80" i="193"/>
  <c r="T72" i="193"/>
  <c r="T61" i="193"/>
  <c r="T52" i="193"/>
  <c r="T74" i="193"/>
  <c r="T95" i="193"/>
  <c r="T89" i="193"/>
  <c r="T83" i="193"/>
  <c r="T79" i="193"/>
  <c r="T71" i="193"/>
  <c r="T60" i="193"/>
  <c r="T58" i="193"/>
  <c r="T94" i="193"/>
  <c r="T87" i="193"/>
  <c r="T82" i="193"/>
  <c r="T69" i="193"/>
  <c r="T97" i="193"/>
  <c r="T59" i="193"/>
  <c r="L46" i="193"/>
  <c r="I25" i="198"/>
  <c r="Q25" i="198"/>
  <c r="I28" i="195"/>
  <c r="Q28" i="195"/>
  <c r="R32" i="195"/>
  <c r="O27" i="198"/>
  <c r="I27" i="198"/>
  <c r="Q27" i="198"/>
  <c r="K27" i="198"/>
  <c r="S27" i="198"/>
  <c r="G27" i="198"/>
  <c r="C27" i="198"/>
  <c r="E27" i="198"/>
  <c r="M27" i="198"/>
  <c r="U27" i="198"/>
  <c r="E38" i="198"/>
  <c r="E42" i="198"/>
  <c r="C44" i="198"/>
  <c r="S46" i="195"/>
  <c r="M46" i="195"/>
  <c r="U46" i="195"/>
  <c r="K46" i="195"/>
  <c r="I36" i="198"/>
  <c r="Q36" i="198"/>
  <c r="G37" i="198"/>
  <c r="O37" i="198"/>
  <c r="M38" i="198"/>
  <c r="U38" i="198"/>
  <c r="K39" i="198"/>
  <c r="S39" i="198"/>
  <c r="I40" i="198"/>
  <c r="Q40" i="198"/>
  <c r="G41" i="198"/>
  <c r="O41" i="198"/>
  <c r="M42" i="198"/>
  <c r="U42" i="198"/>
  <c r="K43" i="198"/>
  <c r="S43" i="198"/>
  <c r="I44" i="198"/>
  <c r="Q44" i="198"/>
  <c r="G45" i="198"/>
  <c r="O45" i="198"/>
  <c r="G46" i="195"/>
  <c r="H46" i="195"/>
  <c r="O46" i="195"/>
  <c r="E43" i="198"/>
  <c r="E46" i="195"/>
  <c r="C40" i="198"/>
  <c r="C39" i="198"/>
  <c r="C36" i="198"/>
  <c r="C46" i="195"/>
  <c r="D46" i="195"/>
  <c r="J25" i="159"/>
  <c r="J97" i="159"/>
  <c r="J59" i="159"/>
  <c r="R97" i="159"/>
  <c r="R59" i="159"/>
  <c r="L97" i="159"/>
  <c r="L59" i="159"/>
  <c r="T97" i="159"/>
  <c r="T59" i="159"/>
  <c r="F97" i="159"/>
  <c r="F59" i="159"/>
  <c r="N97" i="159"/>
  <c r="N59" i="159"/>
  <c r="V59" i="159"/>
  <c r="H97" i="159"/>
  <c r="H59" i="159"/>
  <c r="P25" i="159"/>
  <c r="P97" i="159"/>
  <c r="P59" i="159"/>
  <c r="C33" i="159"/>
  <c r="D33" i="159"/>
  <c r="D97" i="159"/>
  <c r="D59" i="159"/>
  <c r="G112" i="194"/>
  <c r="G116" i="194"/>
  <c r="H116" i="194"/>
  <c r="P28" i="194"/>
  <c r="P25" i="194"/>
  <c r="P26" i="194"/>
  <c r="M112" i="194"/>
  <c r="N112" i="194"/>
  <c r="S112" i="194"/>
  <c r="T32" i="194"/>
  <c r="T36" i="194"/>
  <c r="P41" i="194"/>
  <c r="P19" i="194"/>
  <c r="V59" i="194"/>
  <c r="V81" i="194"/>
  <c r="V85" i="194"/>
  <c r="V84" i="194"/>
  <c r="V83" i="194"/>
  <c r="U112" i="194"/>
  <c r="U116" i="194"/>
  <c r="V116" i="194"/>
  <c r="P44" i="194"/>
  <c r="Q111" i="195"/>
  <c r="L32" i="194"/>
  <c r="K112" i="194"/>
  <c r="L112" i="194"/>
  <c r="Q112" i="194"/>
  <c r="Q116" i="194"/>
  <c r="R116" i="194"/>
  <c r="P36" i="194"/>
  <c r="T39" i="194"/>
  <c r="P42" i="194"/>
  <c r="T44" i="194"/>
  <c r="S116" i="194"/>
  <c r="T116" i="194"/>
  <c r="E112" i="194"/>
  <c r="F26" i="194"/>
  <c r="C112" i="194"/>
  <c r="C116" i="194"/>
  <c r="D116" i="194"/>
  <c r="D36" i="194"/>
  <c r="D44" i="194"/>
  <c r="D45" i="194"/>
  <c r="H113" i="193"/>
  <c r="G61" i="195"/>
  <c r="H61" i="195"/>
  <c r="G69" i="195"/>
  <c r="G73" i="195"/>
  <c r="H73" i="195"/>
  <c r="G85" i="195"/>
  <c r="G89" i="195"/>
  <c r="H89" i="195"/>
  <c r="G93" i="195"/>
  <c r="G72" i="195"/>
  <c r="H72" i="195"/>
  <c r="G83" i="195"/>
  <c r="G94" i="195"/>
  <c r="G57" i="195"/>
  <c r="G79" i="195"/>
  <c r="H79" i="195"/>
  <c r="G84" i="195"/>
  <c r="G95" i="195"/>
  <c r="H95" i="195"/>
  <c r="G53" i="195"/>
  <c r="G80" i="195"/>
  <c r="H80" i="195"/>
  <c r="G91" i="195"/>
  <c r="G96" i="195"/>
  <c r="H96" i="195"/>
  <c r="G60" i="195"/>
  <c r="G82" i="195"/>
  <c r="H82" i="195"/>
  <c r="G87" i="195"/>
  <c r="H20" i="193"/>
  <c r="H25" i="193"/>
  <c r="O58" i="195"/>
  <c r="O79" i="195"/>
  <c r="P79" i="195"/>
  <c r="O91" i="195"/>
  <c r="O95" i="195"/>
  <c r="O53" i="195"/>
  <c r="O57" i="195"/>
  <c r="P57" i="195"/>
  <c r="O74" i="195"/>
  <c r="O82" i="195"/>
  <c r="O60" i="195"/>
  <c r="O84" i="195"/>
  <c r="P84" i="195"/>
  <c r="O61" i="195"/>
  <c r="O69" i="195"/>
  <c r="O72" i="195"/>
  <c r="O89" i="195"/>
  <c r="P89" i="195"/>
  <c r="O80" i="195"/>
  <c r="O96" i="195"/>
  <c r="O81" i="195"/>
  <c r="P27" i="193"/>
  <c r="P23" i="193"/>
  <c r="M53" i="195"/>
  <c r="M57" i="195"/>
  <c r="M74" i="195"/>
  <c r="M94" i="195"/>
  <c r="M69" i="195"/>
  <c r="M73" i="195"/>
  <c r="M85" i="195"/>
  <c r="M89" i="195"/>
  <c r="M60" i="195"/>
  <c r="M84" i="195"/>
  <c r="M71" i="195"/>
  <c r="M83" i="195"/>
  <c r="M95" i="195"/>
  <c r="M58" i="195"/>
  <c r="M96" i="195"/>
  <c r="M79" i="195"/>
  <c r="M91" i="195"/>
  <c r="M72" i="195"/>
  <c r="V59" i="193"/>
  <c r="U53" i="195"/>
  <c r="U57" i="195"/>
  <c r="U74" i="195"/>
  <c r="U94" i="195"/>
  <c r="U61" i="195"/>
  <c r="U69" i="195"/>
  <c r="U73" i="195"/>
  <c r="U85" i="195"/>
  <c r="U89" i="195"/>
  <c r="U93" i="195"/>
  <c r="U95" i="195"/>
  <c r="U60" i="195"/>
  <c r="U71" i="195"/>
  <c r="U87" i="195"/>
  <c r="U72" i="195"/>
  <c r="U58" i="195"/>
  <c r="U91" i="195"/>
  <c r="U80" i="195"/>
  <c r="V24" i="193"/>
  <c r="V36" i="193"/>
  <c r="K61" i="195"/>
  <c r="K69" i="195"/>
  <c r="K73" i="195"/>
  <c r="K81" i="195"/>
  <c r="K85" i="195"/>
  <c r="K89" i="195"/>
  <c r="K93" i="195"/>
  <c r="K60" i="195"/>
  <c r="K72" i="195"/>
  <c r="K84" i="195"/>
  <c r="K58" i="195"/>
  <c r="K83" i="195"/>
  <c r="K91" i="195"/>
  <c r="K79" i="195"/>
  <c r="K71" i="195"/>
  <c r="K82" i="195"/>
  <c r="K53" i="195"/>
  <c r="K95" i="195"/>
  <c r="T24" i="193"/>
  <c r="S61" i="195"/>
  <c r="S69" i="195"/>
  <c r="S81" i="195"/>
  <c r="S85" i="195"/>
  <c r="S93" i="195"/>
  <c r="S80" i="195"/>
  <c r="S84" i="195"/>
  <c r="S96" i="195"/>
  <c r="S83" i="195"/>
  <c r="S53" i="195"/>
  <c r="S94" i="195"/>
  <c r="S71" i="195"/>
  <c r="S57" i="195"/>
  <c r="S79" i="195"/>
  <c r="S95" i="195"/>
  <c r="S82" i="195"/>
  <c r="P46" i="193"/>
  <c r="M25" i="198"/>
  <c r="U25" i="198"/>
  <c r="M28" i="195"/>
  <c r="N40" i="195"/>
  <c r="U28" i="195"/>
  <c r="V46" i="195"/>
  <c r="L26" i="193"/>
  <c r="J45" i="193"/>
  <c r="I60" i="195"/>
  <c r="I58" i="195"/>
  <c r="I79" i="195"/>
  <c r="I91" i="195"/>
  <c r="I95" i="195"/>
  <c r="I57" i="195"/>
  <c r="I82" i="195"/>
  <c r="I61" i="195"/>
  <c r="I81" i="195"/>
  <c r="I93" i="195"/>
  <c r="I73" i="195"/>
  <c r="I85" i="195"/>
  <c r="I53" i="195"/>
  <c r="I96" i="195"/>
  <c r="I89" i="195"/>
  <c r="Q60" i="195"/>
  <c r="Q72" i="195"/>
  <c r="Q80" i="195"/>
  <c r="Q84" i="195"/>
  <c r="R84" i="195"/>
  <c r="Q96" i="195"/>
  <c r="Q58" i="195"/>
  <c r="Q71" i="195"/>
  <c r="Q79" i="195"/>
  <c r="Q87" i="195"/>
  <c r="Q91" i="195"/>
  <c r="Q95" i="195"/>
  <c r="Q57" i="195"/>
  <c r="R57" i="195"/>
  <c r="Q74" i="195"/>
  <c r="Q82" i="195"/>
  <c r="Q69" i="195"/>
  <c r="Q85" i="195"/>
  <c r="R85" i="195"/>
  <c r="Q93" i="195"/>
  <c r="Q53" i="195"/>
  <c r="Q89" i="195"/>
  <c r="E60" i="195"/>
  <c r="E84" i="195"/>
  <c r="E53" i="195"/>
  <c r="E94" i="195"/>
  <c r="E58" i="195"/>
  <c r="E95" i="195"/>
  <c r="E73" i="195"/>
  <c r="E81" i="195"/>
  <c r="E89" i="195"/>
  <c r="E57" i="195"/>
  <c r="E74" i="195"/>
  <c r="E79" i="195"/>
  <c r="E83" i="195"/>
  <c r="E91" i="195"/>
  <c r="E25" i="198"/>
  <c r="E28" i="195"/>
  <c r="F32" i="195"/>
  <c r="D46" i="193"/>
  <c r="C72" i="195"/>
  <c r="D72" i="195"/>
  <c r="C80" i="195"/>
  <c r="D80" i="195"/>
  <c r="C96" i="195"/>
  <c r="D96" i="195"/>
  <c r="C57" i="195"/>
  <c r="D57" i="195"/>
  <c r="C74" i="195"/>
  <c r="D74" i="195"/>
  <c r="C58" i="195"/>
  <c r="D58" i="195"/>
  <c r="C95" i="195"/>
  <c r="C73" i="195"/>
  <c r="D73" i="195"/>
  <c r="C81" i="195"/>
  <c r="D81" i="195"/>
  <c r="C89" i="195"/>
  <c r="D89" i="195"/>
  <c r="C53" i="195"/>
  <c r="D53" i="195"/>
  <c r="C94" i="195"/>
  <c r="D94" i="195"/>
  <c r="C71" i="195"/>
  <c r="D71" i="195"/>
  <c r="C83" i="195"/>
  <c r="D83" i="195"/>
  <c r="C91" i="195"/>
  <c r="C25" i="198"/>
  <c r="D21" i="193"/>
  <c r="D26" i="193"/>
  <c r="C33" i="175"/>
  <c r="D33" i="175"/>
  <c r="C33" i="174"/>
  <c r="F28" i="173"/>
  <c r="V25" i="173"/>
  <c r="V59" i="173"/>
  <c r="P26" i="173"/>
  <c r="R25" i="174"/>
  <c r="L21" i="175"/>
  <c r="T21" i="175"/>
  <c r="L19" i="174"/>
  <c r="V55" i="175"/>
  <c r="V59" i="175"/>
  <c r="L23" i="173"/>
  <c r="N20" i="174"/>
  <c r="V19" i="174"/>
  <c r="V59" i="174"/>
  <c r="T26" i="172"/>
  <c r="F26" i="172"/>
  <c r="N21" i="172"/>
  <c r="V55" i="172"/>
  <c r="V59" i="172"/>
  <c r="L20" i="172"/>
  <c r="C33" i="170"/>
  <c r="V55" i="168"/>
  <c r="V59" i="168"/>
  <c r="P21" i="168"/>
  <c r="J27" i="168"/>
  <c r="R20" i="168"/>
  <c r="F21" i="169"/>
  <c r="V55" i="169"/>
  <c r="V59" i="169"/>
  <c r="J26" i="169"/>
  <c r="R19" i="169"/>
  <c r="T26" i="169"/>
  <c r="C33" i="169"/>
  <c r="C33" i="168"/>
  <c r="C33" i="167"/>
  <c r="D55" i="163"/>
  <c r="D97" i="163"/>
  <c r="D59" i="163"/>
  <c r="K111" i="195"/>
  <c r="S111" i="195"/>
  <c r="M111" i="195"/>
  <c r="I111" i="195"/>
  <c r="G111" i="195"/>
  <c r="H111" i="195"/>
  <c r="E111" i="195"/>
  <c r="C111" i="195"/>
  <c r="D111" i="195"/>
  <c r="E20" i="171"/>
  <c r="G20" i="171"/>
  <c r="I20" i="171"/>
  <c r="K20" i="171"/>
  <c r="M20" i="171"/>
  <c r="O20" i="171"/>
  <c r="Q20" i="171"/>
  <c r="S20" i="171"/>
  <c r="U20" i="171"/>
  <c r="E19" i="171"/>
  <c r="E31" i="171"/>
  <c r="E33" i="171"/>
  <c r="C20" i="171"/>
  <c r="C19" i="171"/>
  <c r="C28" i="171"/>
  <c r="D67" i="171"/>
  <c r="C31" i="171"/>
  <c r="E31" i="177"/>
  <c r="E33" i="177"/>
  <c r="C31" i="177"/>
  <c r="C20" i="177"/>
  <c r="E20" i="160"/>
  <c r="E31" i="160"/>
  <c r="E33" i="160"/>
  <c r="C20" i="160"/>
  <c r="C19" i="160"/>
  <c r="C28" i="160"/>
  <c r="D19" i="160"/>
  <c r="C31" i="160"/>
  <c r="C31" i="162"/>
  <c r="C33" i="162"/>
  <c r="C20" i="162"/>
  <c r="C19" i="162"/>
  <c r="E20" i="162"/>
  <c r="E19" i="162"/>
  <c r="E31" i="162"/>
  <c r="E33" i="162"/>
  <c r="T19" i="169"/>
  <c r="T21" i="169"/>
  <c r="J25" i="165"/>
  <c r="P20" i="161"/>
  <c r="E19" i="178"/>
  <c r="E31" i="178"/>
  <c r="E33" i="178"/>
  <c r="S33" i="15"/>
  <c r="K33" i="15"/>
  <c r="M33" i="15"/>
  <c r="R20" i="161"/>
  <c r="R20" i="174"/>
  <c r="R21" i="174"/>
  <c r="R20" i="169"/>
  <c r="P21" i="173"/>
  <c r="J19" i="169"/>
  <c r="R21" i="169"/>
  <c r="R26" i="161"/>
  <c r="L20" i="175"/>
  <c r="J25" i="169"/>
  <c r="J21" i="169"/>
  <c r="P20" i="170"/>
  <c r="R25" i="165"/>
  <c r="T26" i="161"/>
  <c r="T19" i="172"/>
  <c r="T19" i="161"/>
  <c r="T19" i="175"/>
  <c r="V19" i="161"/>
  <c r="V21" i="161"/>
  <c r="V21" i="170"/>
  <c r="V25" i="161"/>
  <c r="T27" i="175"/>
  <c r="R25" i="161"/>
  <c r="R27" i="161"/>
  <c r="N33" i="172"/>
  <c r="L19" i="175"/>
  <c r="L25" i="173"/>
  <c r="J27" i="163"/>
  <c r="J27" i="159"/>
  <c r="J19" i="163"/>
  <c r="J25" i="168"/>
  <c r="J26" i="168"/>
  <c r="H19" i="167"/>
  <c r="L19" i="164"/>
  <c r="P25" i="168"/>
  <c r="L27" i="173"/>
  <c r="N21" i="174"/>
  <c r="T19" i="164"/>
  <c r="P33" i="167"/>
  <c r="H24" i="161"/>
  <c r="H21" i="167"/>
  <c r="D25" i="173"/>
  <c r="C33" i="173"/>
  <c r="D33" i="173"/>
  <c r="D19" i="163"/>
  <c r="C33" i="163"/>
  <c r="D33" i="163"/>
  <c r="D19" i="158"/>
  <c r="C33" i="158"/>
  <c r="D33" i="158"/>
  <c r="D24" i="161"/>
  <c r="C33" i="161"/>
  <c r="D33" i="161"/>
  <c r="D21" i="175"/>
  <c r="D19" i="161"/>
  <c r="D21" i="161"/>
  <c r="D21" i="173"/>
  <c r="D32" i="168"/>
  <c r="D21" i="169"/>
  <c r="C111" i="169"/>
  <c r="D111" i="169"/>
  <c r="D31" i="159"/>
  <c r="D58" i="159"/>
  <c r="C112" i="159"/>
  <c r="D112" i="159"/>
  <c r="D74" i="159"/>
  <c r="D82" i="159"/>
  <c r="D94" i="159"/>
  <c r="D60" i="159"/>
  <c r="D71" i="159"/>
  <c r="D81" i="159"/>
  <c r="D87" i="159"/>
  <c r="D53" i="159"/>
  <c r="D61" i="159"/>
  <c r="D83" i="159"/>
  <c r="D89" i="159"/>
  <c r="D96" i="159"/>
  <c r="C111" i="159"/>
  <c r="D111" i="159"/>
  <c r="D69" i="159"/>
  <c r="D79" i="159"/>
  <c r="D72" i="159"/>
  <c r="D80" i="159"/>
  <c r="D91" i="159"/>
  <c r="D52" i="159"/>
  <c r="D73" i="159"/>
  <c r="D84" i="159"/>
  <c r="D93" i="159"/>
  <c r="D85" i="159"/>
  <c r="D57" i="159"/>
  <c r="D95" i="159"/>
  <c r="D19" i="165"/>
  <c r="C111" i="165"/>
  <c r="D111" i="165"/>
  <c r="D26" i="168"/>
  <c r="D115" i="164"/>
  <c r="C112" i="164"/>
  <c r="D112" i="164"/>
  <c r="C111" i="167"/>
  <c r="D111" i="167"/>
  <c r="C112" i="167"/>
  <c r="D112" i="167"/>
  <c r="D25" i="168"/>
  <c r="C111" i="171"/>
  <c r="C112" i="174"/>
  <c r="D112" i="174"/>
  <c r="C111" i="174"/>
  <c r="D111" i="174"/>
  <c r="D28" i="175"/>
  <c r="C111" i="175"/>
  <c r="C112" i="175"/>
  <c r="D112" i="175"/>
  <c r="D58" i="161"/>
  <c r="D74" i="161"/>
  <c r="D82" i="161"/>
  <c r="D94" i="161"/>
  <c r="D57" i="161"/>
  <c r="D73" i="161"/>
  <c r="D79" i="161"/>
  <c r="D84" i="161"/>
  <c r="D89" i="161"/>
  <c r="D95" i="161"/>
  <c r="D71" i="161"/>
  <c r="D85" i="161"/>
  <c r="D60" i="161"/>
  <c r="D69" i="161"/>
  <c r="D80" i="161"/>
  <c r="D53" i="161"/>
  <c r="D61" i="161"/>
  <c r="D72" i="161"/>
  <c r="D81" i="161"/>
  <c r="D91" i="161"/>
  <c r="D83" i="161"/>
  <c r="D93" i="161"/>
  <c r="D87" i="161"/>
  <c r="C111" i="161"/>
  <c r="D111" i="161"/>
  <c r="D96" i="161"/>
  <c r="D52" i="161"/>
  <c r="D24" i="158"/>
  <c r="D58" i="158"/>
  <c r="C112" i="158"/>
  <c r="D112" i="158"/>
  <c r="D74" i="158"/>
  <c r="D82" i="158"/>
  <c r="D94" i="158"/>
  <c r="D53" i="158"/>
  <c r="C111" i="158"/>
  <c r="D69" i="158"/>
  <c r="D80" i="158"/>
  <c r="D85" i="158"/>
  <c r="D96" i="158"/>
  <c r="D71" i="158"/>
  <c r="D84" i="158"/>
  <c r="D73" i="158"/>
  <c r="D83" i="158"/>
  <c r="D93" i="158"/>
  <c r="D52" i="158"/>
  <c r="D57" i="158"/>
  <c r="D87" i="158"/>
  <c r="D95" i="158"/>
  <c r="D60" i="158"/>
  <c r="D79" i="158"/>
  <c r="D89" i="158"/>
  <c r="D61" i="158"/>
  <c r="D72" i="158"/>
  <c r="D81" i="158"/>
  <c r="D58" i="163"/>
  <c r="D60" i="163"/>
  <c r="D71" i="163"/>
  <c r="D79" i="163"/>
  <c r="D83" i="163"/>
  <c r="D87" i="163"/>
  <c r="D91" i="163"/>
  <c r="D95" i="163"/>
  <c r="C111" i="163"/>
  <c r="D111" i="163"/>
  <c r="D73" i="163"/>
  <c r="D84" i="163"/>
  <c r="D89" i="163"/>
  <c r="D94" i="163"/>
  <c r="D61" i="163"/>
  <c r="D69" i="163"/>
  <c r="D85" i="163"/>
  <c r="D53" i="163"/>
  <c r="D72" i="163"/>
  <c r="D80" i="163"/>
  <c r="D93" i="163"/>
  <c r="D52" i="163"/>
  <c r="D74" i="163"/>
  <c r="D81" i="163"/>
  <c r="D96" i="163"/>
  <c r="D57" i="163"/>
  <c r="D82" i="163"/>
  <c r="D20" i="168"/>
  <c r="C112" i="173"/>
  <c r="D112" i="173"/>
  <c r="D23" i="161"/>
  <c r="D23" i="170"/>
  <c r="V53" i="169"/>
  <c r="V57" i="169"/>
  <c r="V61" i="169"/>
  <c r="V69" i="169"/>
  <c r="V73" i="169"/>
  <c r="V81" i="169"/>
  <c r="V85" i="169"/>
  <c r="V89" i="169"/>
  <c r="V93" i="169"/>
  <c r="V97" i="169"/>
  <c r="V83" i="169"/>
  <c r="V94" i="169"/>
  <c r="V58" i="169"/>
  <c r="V74" i="169"/>
  <c r="V79" i="169"/>
  <c r="V84" i="169"/>
  <c r="V95" i="169"/>
  <c r="V96" i="169"/>
  <c r="V87" i="169"/>
  <c r="V52" i="169"/>
  <c r="U111" i="169"/>
  <c r="V111" i="169"/>
  <c r="V80" i="169"/>
  <c r="V91" i="169"/>
  <c r="V82" i="169"/>
  <c r="V60" i="169"/>
  <c r="V71" i="169"/>
  <c r="V53" i="173"/>
  <c r="V61" i="173"/>
  <c r="V69" i="173"/>
  <c r="V81" i="173"/>
  <c r="V85" i="173"/>
  <c r="V93" i="173"/>
  <c r="V97" i="173"/>
  <c r="U112" i="173"/>
  <c r="V112" i="173"/>
  <c r="V72" i="173"/>
  <c r="V83" i="173"/>
  <c r="V94" i="173"/>
  <c r="V58" i="173"/>
  <c r="V74" i="173"/>
  <c r="V79" i="173"/>
  <c r="V84" i="173"/>
  <c r="U111" i="173"/>
  <c r="V80" i="173"/>
  <c r="V91" i="173"/>
  <c r="V71" i="173"/>
  <c r="V82" i="173"/>
  <c r="V96" i="173"/>
  <c r="V87" i="173"/>
  <c r="V55" i="173"/>
  <c r="V24" i="168"/>
  <c r="V53" i="168"/>
  <c r="V61" i="168"/>
  <c r="V69" i="168"/>
  <c r="V81" i="168"/>
  <c r="V85" i="168"/>
  <c r="V89" i="168"/>
  <c r="V93" i="168"/>
  <c r="V97" i="168"/>
  <c r="V60" i="168"/>
  <c r="V71" i="168"/>
  <c r="V82" i="168"/>
  <c r="V87" i="168"/>
  <c r="U112" i="168"/>
  <c r="V112" i="168"/>
  <c r="V72" i="168"/>
  <c r="V83" i="168"/>
  <c r="V94" i="168"/>
  <c r="V74" i="168"/>
  <c r="V84" i="168"/>
  <c r="V95" i="168"/>
  <c r="V52" i="168"/>
  <c r="V96" i="168"/>
  <c r="V58" i="168"/>
  <c r="V79" i="168"/>
  <c r="V91" i="168"/>
  <c r="V80" i="168"/>
  <c r="V24" i="172"/>
  <c r="V53" i="172"/>
  <c r="V57" i="172"/>
  <c r="V69" i="172"/>
  <c r="V73" i="172"/>
  <c r="V81" i="172"/>
  <c r="V85" i="172"/>
  <c r="V89" i="172"/>
  <c r="V97" i="172"/>
  <c r="V71" i="172"/>
  <c r="V87" i="172"/>
  <c r="V72" i="172"/>
  <c r="V83" i="172"/>
  <c r="V58" i="172"/>
  <c r="V79" i="172"/>
  <c r="V52" i="172"/>
  <c r="U111" i="172"/>
  <c r="V111" i="172"/>
  <c r="V80" i="172"/>
  <c r="V91" i="172"/>
  <c r="V74" i="172"/>
  <c r="V84" i="172"/>
  <c r="V95" i="172"/>
  <c r="V96" i="172"/>
  <c r="V113" i="175"/>
  <c r="V53" i="175"/>
  <c r="V57" i="175"/>
  <c r="V61" i="175"/>
  <c r="V69" i="175"/>
  <c r="V74" i="175"/>
  <c r="V82" i="175"/>
  <c r="V94" i="175"/>
  <c r="V60" i="175"/>
  <c r="V71" i="175"/>
  <c r="V79" i="175"/>
  <c r="V83" i="175"/>
  <c r="V87" i="175"/>
  <c r="V91" i="175"/>
  <c r="V95" i="175"/>
  <c r="V72" i="175"/>
  <c r="V80" i="175"/>
  <c r="V96" i="175"/>
  <c r="V73" i="175"/>
  <c r="V81" i="175"/>
  <c r="V89" i="175"/>
  <c r="V97" i="175"/>
  <c r="V84" i="175"/>
  <c r="V58" i="175"/>
  <c r="V85" i="175"/>
  <c r="V93" i="175"/>
  <c r="V71" i="158"/>
  <c r="V79" i="158"/>
  <c r="V83" i="158"/>
  <c r="V87" i="158"/>
  <c r="V95" i="158"/>
  <c r="V84" i="158"/>
  <c r="V89" i="158"/>
  <c r="V94" i="158"/>
  <c r="V53" i="158"/>
  <c r="V58" i="158"/>
  <c r="V74" i="158"/>
  <c r="V80" i="158"/>
  <c r="V85" i="158"/>
  <c r="V96" i="158"/>
  <c r="V60" i="158"/>
  <c r="V81" i="158"/>
  <c r="V61" i="158"/>
  <c r="V72" i="158"/>
  <c r="V82" i="158"/>
  <c r="V93" i="158"/>
  <c r="V97" i="158"/>
  <c r="V52" i="158"/>
  <c r="V25" i="168"/>
  <c r="V24" i="159"/>
  <c r="U111" i="159"/>
  <c r="V79" i="159"/>
  <c r="V83" i="159"/>
  <c r="V91" i="159"/>
  <c r="V95" i="159"/>
  <c r="V53" i="159"/>
  <c r="V58" i="159"/>
  <c r="V69" i="159"/>
  <c r="V74" i="159"/>
  <c r="V80" i="159"/>
  <c r="V85" i="159"/>
  <c r="V97" i="159"/>
  <c r="V61" i="159"/>
  <c r="V72" i="159"/>
  <c r="V82" i="159"/>
  <c r="V93" i="159"/>
  <c r="U112" i="159"/>
  <c r="V112" i="159"/>
  <c r="V73" i="159"/>
  <c r="V94" i="159"/>
  <c r="V89" i="159"/>
  <c r="V57" i="159"/>
  <c r="V53" i="164"/>
  <c r="V57" i="164"/>
  <c r="V61" i="164"/>
  <c r="V69" i="164"/>
  <c r="V73" i="164"/>
  <c r="V85" i="164"/>
  <c r="V89" i="164"/>
  <c r="V93" i="164"/>
  <c r="U111" i="164"/>
  <c r="V111" i="164"/>
  <c r="V91" i="164"/>
  <c r="V96" i="164"/>
  <c r="V58" i="164"/>
  <c r="V72" i="164"/>
  <c r="V79" i="164"/>
  <c r="V94" i="164"/>
  <c r="V60" i="164"/>
  <c r="V74" i="164"/>
  <c r="V82" i="164"/>
  <c r="U112" i="164"/>
  <c r="V112" i="164"/>
  <c r="V44" i="161"/>
  <c r="U111" i="161"/>
  <c r="V111" i="161"/>
  <c r="V71" i="161"/>
  <c r="V79" i="161"/>
  <c r="V83" i="161"/>
  <c r="V87" i="161"/>
  <c r="V91" i="161"/>
  <c r="V95" i="161"/>
  <c r="V61" i="161"/>
  <c r="V72" i="161"/>
  <c r="V82" i="161"/>
  <c r="V93" i="161"/>
  <c r="V57" i="161"/>
  <c r="V84" i="161"/>
  <c r="V89" i="161"/>
  <c r="V94" i="161"/>
  <c r="V53" i="161"/>
  <c r="V74" i="161"/>
  <c r="V85" i="161"/>
  <c r="V96" i="161"/>
  <c r="V97" i="161"/>
  <c r="V69" i="161"/>
  <c r="V80" i="161"/>
  <c r="V81" i="161"/>
  <c r="V58" i="161"/>
  <c r="V60" i="161"/>
  <c r="V24" i="163"/>
  <c r="V79" i="163"/>
  <c r="V85" i="163"/>
  <c r="V89" i="163"/>
  <c r="V93" i="163"/>
  <c r="V57" i="163"/>
  <c r="V72" i="163"/>
  <c r="V84" i="163"/>
  <c r="V53" i="163"/>
  <c r="U112" i="163"/>
  <c r="V112" i="163"/>
  <c r="V82" i="163"/>
  <c r="V96" i="163"/>
  <c r="V74" i="163"/>
  <c r="V83" i="163"/>
  <c r="V91" i="163"/>
  <c r="V58" i="163"/>
  <c r="V52" i="163"/>
  <c r="V61" i="163"/>
  <c r="V80" i="163"/>
  <c r="V94" i="163"/>
  <c r="V69" i="163"/>
  <c r="V53" i="165"/>
  <c r="V57" i="165"/>
  <c r="V61" i="165"/>
  <c r="V60" i="165"/>
  <c r="V69" i="165"/>
  <c r="V81" i="165"/>
  <c r="V89" i="165"/>
  <c r="V93" i="165"/>
  <c r="V97" i="165"/>
  <c r="V74" i="165"/>
  <c r="V79" i="165"/>
  <c r="V84" i="165"/>
  <c r="V95" i="165"/>
  <c r="V58" i="165"/>
  <c r="V80" i="165"/>
  <c r="V91" i="165"/>
  <c r="V96" i="165"/>
  <c r="U111" i="165"/>
  <c r="V111" i="165"/>
  <c r="V71" i="165"/>
  <c r="V82" i="165"/>
  <c r="U112" i="165"/>
  <c r="V112" i="165"/>
  <c r="V72" i="165"/>
  <c r="V83" i="165"/>
  <c r="V94" i="165"/>
  <c r="V87" i="165"/>
  <c r="V52" i="165"/>
  <c r="V53" i="167"/>
  <c r="V57" i="167"/>
  <c r="V69" i="167"/>
  <c r="V73" i="167"/>
  <c r="V81" i="167"/>
  <c r="V85" i="167"/>
  <c r="V89" i="167"/>
  <c r="V97" i="167"/>
  <c r="U111" i="167"/>
  <c r="V111" i="167"/>
  <c r="V91" i="167"/>
  <c r="V96" i="167"/>
  <c r="V60" i="167"/>
  <c r="V82" i="167"/>
  <c r="V83" i="167"/>
  <c r="V94" i="167"/>
  <c r="V74" i="167"/>
  <c r="V84" i="167"/>
  <c r="V95" i="167"/>
  <c r="V58" i="167"/>
  <c r="V52" i="167"/>
  <c r="V79" i="167"/>
  <c r="V26" i="168"/>
  <c r="V44" i="170"/>
  <c r="V53" i="170"/>
  <c r="V57" i="170"/>
  <c r="V61" i="170"/>
  <c r="V69" i="170"/>
  <c r="V73" i="170"/>
  <c r="V85" i="170"/>
  <c r="V89" i="170"/>
  <c r="V93" i="170"/>
  <c r="V58" i="170"/>
  <c r="V74" i="170"/>
  <c r="V79" i="170"/>
  <c r="V84" i="170"/>
  <c r="V95" i="170"/>
  <c r="U111" i="170"/>
  <c r="V111" i="170"/>
  <c r="V91" i="170"/>
  <c r="V96" i="170"/>
  <c r="V60" i="170"/>
  <c r="V82" i="170"/>
  <c r="V94" i="170"/>
  <c r="V83" i="170"/>
  <c r="V36" i="174"/>
  <c r="V53" i="174"/>
  <c r="V57" i="174"/>
  <c r="V61" i="174"/>
  <c r="V69" i="174"/>
  <c r="V73" i="174"/>
  <c r="V81" i="174"/>
  <c r="V85" i="174"/>
  <c r="V93" i="174"/>
  <c r="V97" i="174"/>
  <c r="V58" i="174"/>
  <c r="V74" i="174"/>
  <c r="V79" i="174"/>
  <c r="V84" i="174"/>
  <c r="V95" i="174"/>
  <c r="V80" i="174"/>
  <c r="V91" i="174"/>
  <c r="V96" i="174"/>
  <c r="V71" i="174"/>
  <c r="V82" i="174"/>
  <c r="V72" i="174"/>
  <c r="V83" i="174"/>
  <c r="V55" i="174"/>
  <c r="V87" i="174"/>
  <c r="V52" i="174"/>
  <c r="V24" i="161"/>
  <c r="S111" i="167"/>
  <c r="T111" i="167"/>
  <c r="T32" i="168"/>
  <c r="T21" i="165"/>
  <c r="S112" i="165"/>
  <c r="T112" i="165"/>
  <c r="S111" i="165"/>
  <c r="S116" i="165"/>
  <c r="T116" i="165"/>
  <c r="T114" i="172"/>
  <c r="T32" i="175"/>
  <c r="S112" i="175"/>
  <c r="T112" i="175"/>
  <c r="T23" i="165"/>
  <c r="T24" i="158"/>
  <c r="T57" i="158"/>
  <c r="T69" i="158"/>
  <c r="T73" i="158"/>
  <c r="T85" i="158"/>
  <c r="T89" i="158"/>
  <c r="S111" i="158"/>
  <c r="T91" i="158"/>
  <c r="T96" i="158"/>
  <c r="T71" i="158"/>
  <c r="T83" i="158"/>
  <c r="T60" i="158"/>
  <c r="T72" i="158"/>
  <c r="S112" i="158"/>
  <c r="T52" i="158"/>
  <c r="T95" i="158"/>
  <c r="T26" i="159"/>
  <c r="T61" i="159"/>
  <c r="T81" i="159"/>
  <c r="T93" i="159"/>
  <c r="T60" i="159"/>
  <c r="T82" i="159"/>
  <c r="T87" i="159"/>
  <c r="S112" i="159"/>
  <c r="T112" i="159"/>
  <c r="T83" i="159"/>
  <c r="S111" i="159"/>
  <c r="T111" i="159"/>
  <c r="T79" i="159"/>
  <c r="T72" i="159"/>
  <c r="T84" i="159"/>
  <c r="T95" i="159"/>
  <c r="T74" i="159"/>
  <c r="T52" i="159"/>
  <c r="T80" i="159"/>
  <c r="T53" i="163"/>
  <c r="T61" i="163"/>
  <c r="T69" i="163"/>
  <c r="T60" i="163"/>
  <c r="T71" i="163"/>
  <c r="T81" i="163"/>
  <c r="T89" i="163"/>
  <c r="S111" i="163"/>
  <c r="T111" i="163"/>
  <c r="T74" i="163"/>
  <c r="T96" i="163"/>
  <c r="S112" i="163"/>
  <c r="T112" i="163"/>
  <c r="T79" i="163"/>
  <c r="T94" i="163"/>
  <c r="T58" i="163"/>
  <c r="T83" i="163"/>
  <c r="T95" i="163"/>
  <c r="T21" i="168"/>
  <c r="T25" i="168"/>
  <c r="T24" i="169"/>
  <c r="T20" i="175"/>
  <c r="T25" i="175"/>
  <c r="T113" i="161"/>
  <c r="T53" i="161"/>
  <c r="T57" i="161"/>
  <c r="T61" i="161"/>
  <c r="T69" i="161"/>
  <c r="T81" i="161"/>
  <c r="T85" i="161"/>
  <c r="T93" i="161"/>
  <c r="T74" i="161"/>
  <c r="T84" i="161"/>
  <c r="T95" i="161"/>
  <c r="T71" i="161"/>
  <c r="T80" i="161"/>
  <c r="T82" i="161"/>
  <c r="T52" i="161"/>
  <c r="T83" i="161"/>
  <c r="T96" i="161"/>
  <c r="T87" i="161"/>
  <c r="T91" i="161"/>
  <c r="T26" i="163"/>
  <c r="T115" i="164"/>
  <c r="S111" i="164"/>
  <c r="S112" i="164"/>
  <c r="T112" i="164"/>
  <c r="T20" i="165"/>
  <c r="T24" i="170"/>
  <c r="S111" i="170"/>
  <c r="T111" i="170"/>
  <c r="T25" i="172"/>
  <c r="S112" i="173"/>
  <c r="T26" i="175"/>
  <c r="R23" i="159"/>
  <c r="R53" i="159"/>
  <c r="R57" i="159"/>
  <c r="R61" i="159"/>
  <c r="R69" i="159"/>
  <c r="R81" i="159"/>
  <c r="R85" i="159"/>
  <c r="R89" i="159"/>
  <c r="R93" i="159"/>
  <c r="R72" i="159"/>
  <c r="R83" i="159"/>
  <c r="R94" i="159"/>
  <c r="R58" i="159"/>
  <c r="R71" i="159"/>
  <c r="R79" i="159"/>
  <c r="R95" i="159"/>
  <c r="Q111" i="159"/>
  <c r="R87" i="159"/>
  <c r="R96" i="159"/>
  <c r="R60" i="159"/>
  <c r="R80" i="159"/>
  <c r="R74" i="159"/>
  <c r="R52" i="159"/>
  <c r="R82" i="159"/>
  <c r="R91" i="159"/>
  <c r="R57" i="158"/>
  <c r="R61" i="158"/>
  <c r="R73" i="158"/>
  <c r="R81" i="158"/>
  <c r="R93" i="158"/>
  <c r="R60" i="158"/>
  <c r="R82" i="158"/>
  <c r="R87" i="158"/>
  <c r="Q111" i="158"/>
  <c r="R111" i="158"/>
  <c r="R74" i="158"/>
  <c r="R80" i="158"/>
  <c r="Q112" i="158"/>
  <c r="R112" i="158"/>
  <c r="R72" i="158"/>
  <c r="R83" i="158"/>
  <c r="R91" i="158"/>
  <c r="R52" i="158"/>
  <c r="R84" i="158"/>
  <c r="R94" i="158"/>
  <c r="R58" i="158"/>
  <c r="R96" i="158"/>
  <c r="Q112" i="165"/>
  <c r="R112" i="165"/>
  <c r="Q111" i="165"/>
  <c r="Q111" i="170"/>
  <c r="R115" i="173"/>
  <c r="Q112" i="173"/>
  <c r="R112" i="173"/>
  <c r="Q111" i="173"/>
  <c r="R32" i="174"/>
  <c r="Q111" i="175"/>
  <c r="R111" i="175"/>
  <c r="R24" i="174"/>
  <c r="R23" i="163"/>
  <c r="R53" i="163"/>
  <c r="R69" i="163"/>
  <c r="R82" i="163"/>
  <c r="R94" i="163"/>
  <c r="R93" i="163"/>
  <c r="R58" i="163"/>
  <c r="R91" i="163"/>
  <c r="Q111" i="163"/>
  <c r="R111" i="163"/>
  <c r="R79" i="163"/>
  <c r="R85" i="163"/>
  <c r="R60" i="163"/>
  <c r="R71" i="163"/>
  <c r="R95" i="163"/>
  <c r="R96" i="163"/>
  <c r="R81" i="163"/>
  <c r="R52" i="163"/>
  <c r="R45" i="161"/>
  <c r="R53" i="161"/>
  <c r="R61" i="161"/>
  <c r="R69" i="161"/>
  <c r="R73" i="161"/>
  <c r="R81" i="161"/>
  <c r="R85" i="161"/>
  <c r="R89" i="161"/>
  <c r="R93" i="161"/>
  <c r="Q111" i="161"/>
  <c r="R80" i="161"/>
  <c r="R91" i="161"/>
  <c r="R96" i="161"/>
  <c r="R74" i="161"/>
  <c r="R82" i="161"/>
  <c r="R95" i="161"/>
  <c r="R84" i="161"/>
  <c r="R94" i="161"/>
  <c r="R52" i="161"/>
  <c r="R58" i="161"/>
  <c r="R87" i="161"/>
  <c r="Q112" i="161"/>
  <c r="R112" i="161"/>
  <c r="R71" i="161"/>
  <c r="R79" i="161"/>
  <c r="R72" i="161"/>
  <c r="Q112" i="167"/>
  <c r="R112" i="167"/>
  <c r="Q111" i="167"/>
  <c r="R111" i="167"/>
  <c r="R23" i="168"/>
  <c r="Q112" i="168"/>
  <c r="R112" i="168"/>
  <c r="Q111" i="168"/>
  <c r="R25" i="163"/>
  <c r="R19" i="167"/>
  <c r="R25" i="172"/>
  <c r="P26" i="165"/>
  <c r="O111" i="165"/>
  <c r="P111" i="165"/>
  <c r="O112" i="165"/>
  <c r="P112" i="165"/>
  <c r="P58" i="161"/>
  <c r="P74" i="161"/>
  <c r="P82" i="161"/>
  <c r="P60" i="161"/>
  <c r="P71" i="161"/>
  <c r="P81" i="161"/>
  <c r="P87" i="161"/>
  <c r="P53" i="161"/>
  <c r="P61" i="161"/>
  <c r="P83" i="161"/>
  <c r="P89" i="161"/>
  <c r="P96" i="161"/>
  <c r="P57" i="161"/>
  <c r="P85" i="161"/>
  <c r="P95" i="161"/>
  <c r="O111" i="161"/>
  <c r="P69" i="161"/>
  <c r="P72" i="161"/>
  <c r="P80" i="161"/>
  <c r="P91" i="161"/>
  <c r="P73" i="161"/>
  <c r="P93" i="161"/>
  <c r="O111" i="167"/>
  <c r="P111" i="167"/>
  <c r="O112" i="167"/>
  <c r="P112" i="167"/>
  <c r="P23" i="168"/>
  <c r="O111" i="168"/>
  <c r="P111" i="168"/>
  <c r="O112" i="168"/>
  <c r="P112" i="168"/>
  <c r="P114" i="170"/>
  <c r="O111" i="170"/>
  <c r="O112" i="170"/>
  <c r="P112" i="170"/>
  <c r="O112" i="174"/>
  <c r="P112" i="174"/>
  <c r="P46" i="164"/>
  <c r="O112" i="164"/>
  <c r="P112" i="164"/>
  <c r="P27" i="158"/>
  <c r="P58" i="158"/>
  <c r="P74" i="158"/>
  <c r="P82" i="158"/>
  <c r="P61" i="158"/>
  <c r="P72" i="158"/>
  <c r="P83" i="158"/>
  <c r="P93" i="158"/>
  <c r="P53" i="158"/>
  <c r="P60" i="158"/>
  <c r="P89" i="158"/>
  <c r="P96" i="158"/>
  <c r="P71" i="158"/>
  <c r="P80" i="158"/>
  <c r="P91" i="158"/>
  <c r="P52" i="158"/>
  <c r="P73" i="158"/>
  <c r="P85" i="158"/>
  <c r="P95" i="158"/>
  <c r="O111" i="158"/>
  <c r="P69" i="158"/>
  <c r="O112" i="175"/>
  <c r="P112" i="175"/>
  <c r="P58" i="159"/>
  <c r="O112" i="159"/>
  <c r="P112" i="159"/>
  <c r="P74" i="159"/>
  <c r="P82" i="159"/>
  <c r="P94" i="159"/>
  <c r="P57" i="159"/>
  <c r="P73" i="159"/>
  <c r="P79" i="159"/>
  <c r="P89" i="159"/>
  <c r="P95" i="159"/>
  <c r="O111" i="159"/>
  <c r="P72" i="159"/>
  <c r="P80" i="159"/>
  <c r="P93" i="159"/>
  <c r="P85" i="159"/>
  <c r="P96" i="159"/>
  <c r="P60" i="159"/>
  <c r="P69" i="159"/>
  <c r="P52" i="159"/>
  <c r="P53" i="159"/>
  <c r="P71" i="159"/>
  <c r="P81" i="159"/>
  <c r="P91" i="159"/>
  <c r="P83" i="159"/>
  <c r="P58" i="163"/>
  <c r="O112" i="163"/>
  <c r="P112" i="163"/>
  <c r="P74" i="163"/>
  <c r="P57" i="163"/>
  <c r="P79" i="163"/>
  <c r="P87" i="163"/>
  <c r="P95" i="163"/>
  <c r="P89" i="163"/>
  <c r="O111" i="163"/>
  <c r="P85" i="163"/>
  <c r="P53" i="163"/>
  <c r="P20" i="164"/>
  <c r="P25" i="169"/>
  <c r="O111" i="169"/>
  <c r="P111" i="169"/>
  <c r="O112" i="169"/>
  <c r="P112" i="169"/>
  <c r="O111" i="173"/>
  <c r="P111" i="173"/>
  <c r="O112" i="173"/>
  <c r="P112" i="173"/>
  <c r="N24" i="168"/>
  <c r="M112" i="168"/>
  <c r="N112" i="168"/>
  <c r="M111" i="168"/>
  <c r="N111" i="168"/>
  <c r="M112" i="169"/>
  <c r="N112" i="169"/>
  <c r="N42" i="161"/>
  <c r="M111" i="161"/>
  <c r="N111" i="161"/>
  <c r="N79" i="161"/>
  <c r="N83" i="161"/>
  <c r="N91" i="161"/>
  <c r="N95" i="161"/>
  <c r="N60" i="161"/>
  <c r="N72" i="161"/>
  <c r="N80" i="161"/>
  <c r="N57" i="161"/>
  <c r="N81" i="161"/>
  <c r="N89" i="161"/>
  <c r="N74" i="161"/>
  <c r="N82" i="161"/>
  <c r="N61" i="161"/>
  <c r="M112" i="161"/>
  <c r="N112" i="161"/>
  <c r="N94" i="161"/>
  <c r="N85" i="161"/>
  <c r="M111" i="164"/>
  <c r="N111" i="164"/>
  <c r="M111" i="158"/>
  <c r="N111" i="158"/>
  <c r="N79" i="158"/>
  <c r="N83" i="158"/>
  <c r="N91" i="158"/>
  <c r="N60" i="158"/>
  <c r="N72" i="158"/>
  <c r="N80" i="158"/>
  <c r="N96" i="158"/>
  <c r="N53" i="158"/>
  <c r="N61" i="158"/>
  <c r="N85" i="158"/>
  <c r="N93" i="158"/>
  <c r="M112" i="158"/>
  <c r="N112" i="158"/>
  <c r="N94" i="158"/>
  <c r="N57" i="158"/>
  <c r="N73" i="158"/>
  <c r="N89" i="158"/>
  <c r="N58" i="158"/>
  <c r="N81" i="158"/>
  <c r="N52" i="158"/>
  <c r="N82" i="158"/>
  <c r="N28" i="161"/>
  <c r="N20" i="163"/>
  <c r="M111" i="165"/>
  <c r="N111" i="165"/>
  <c r="N21" i="168"/>
  <c r="N44" i="170"/>
  <c r="M112" i="170"/>
  <c r="N112" i="170"/>
  <c r="M111" i="170"/>
  <c r="N24" i="172"/>
  <c r="N24" i="163"/>
  <c r="N55" i="163"/>
  <c r="N71" i="163"/>
  <c r="N79" i="163"/>
  <c r="N60" i="163"/>
  <c r="N80" i="163"/>
  <c r="N57" i="163"/>
  <c r="N73" i="163"/>
  <c r="N81" i="163"/>
  <c r="N85" i="163"/>
  <c r="N93" i="163"/>
  <c r="N74" i="163"/>
  <c r="N82" i="163"/>
  <c r="N94" i="163"/>
  <c r="N53" i="163"/>
  <c r="N69" i="163"/>
  <c r="N83" i="163"/>
  <c r="N84" i="163"/>
  <c r="N95" i="163"/>
  <c r="N96" i="163"/>
  <c r="N52" i="163"/>
  <c r="N61" i="163"/>
  <c r="M112" i="163"/>
  <c r="M112" i="173"/>
  <c r="N112" i="173"/>
  <c r="M111" i="173"/>
  <c r="M111" i="175"/>
  <c r="N111" i="175"/>
  <c r="N24" i="159"/>
  <c r="M111" i="159"/>
  <c r="N111" i="159"/>
  <c r="N71" i="159"/>
  <c r="N87" i="159"/>
  <c r="N95" i="159"/>
  <c r="N72" i="159"/>
  <c r="N84" i="159"/>
  <c r="N96" i="159"/>
  <c r="N57" i="159"/>
  <c r="N73" i="159"/>
  <c r="N81" i="159"/>
  <c r="N82" i="159"/>
  <c r="N69" i="159"/>
  <c r="N85" i="159"/>
  <c r="N94" i="159"/>
  <c r="N19" i="161"/>
  <c r="N19" i="163"/>
  <c r="N26" i="164"/>
  <c r="M112" i="167"/>
  <c r="M111" i="167"/>
  <c r="N111" i="167"/>
  <c r="N25" i="168"/>
  <c r="N36" i="174"/>
  <c r="M111" i="174"/>
  <c r="N111" i="174"/>
  <c r="L24" i="159"/>
  <c r="K111" i="159"/>
  <c r="L71" i="159"/>
  <c r="L79" i="159"/>
  <c r="L83" i="159"/>
  <c r="L87" i="159"/>
  <c r="L91" i="159"/>
  <c r="L69" i="159"/>
  <c r="L80" i="159"/>
  <c r="L85" i="159"/>
  <c r="L96" i="159"/>
  <c r="L60" i="159"/>
  <c r="L73" i="159"/>
  <c r="L81" i="159"/>
  <c r="L94" i="159"/>
  <c r="L52" i="159"/>
  <c r="L61" i="159"/>
  <c r="L89" i="159"/>
  <c r="K112" i="159"/>
  <c r="L112" i="159"/>
  <c r="L72" i="159"/>
  <c r="L82" i="159"/>
  <c r="L93" i="159"/>
  <c r="L84" i="159"/>
  <c r="K111" i="161"/>
  <c r="L111" i="161"/>
  <c r="L71" i="161"/>
  <c r="L83" i="161"/>
  <c r="L87" i="161"/>
  <c r="L95" i="161"/>
  <c r="L61" i="161"/>
  <c r="L72" i="161"/>
  <c r="L82" i="161"/>
  <c r="L93" i="161"/>
  <c r="K112" i="161"/>
  <c r="L112" i="161"/>
  <c r="L84" i="161"/>
  <c r="L58" i="161"/>
  <c r="L96" i="161"/>
  <c r="L60" i="161"/>
  <c r="L89" i="161"/>
  <c r="L73" i="161"/>
  <c r="L81" i="161"/>
  <c r="L57" i="161"/>
  <c r="L74" i="161"/>
  <c r="L85" i="161"/>
  <c r="L52" i="161"/>
  <c r="L24" i="169"/>
  <c r="K111" i="169"/>
  <c r="L111" i="169"/>
  <c r="K112" i="169"/>
  <c r="L112" i="169"/>
  <c r="K112" i="172"/>
  <c r="L112" i="172"/>
  <c r="L21" i="158"/>
  <c r="L24" i="170"/>
  <c r="K111" i="170"/>
  <c r="K112" i="170"/>
  <c r="L26" i="172"/>
  <c r="L28" i="172"/>
  <c r="L21" i="173"/>
  <c r="L19" i="172"/>
  <c r="L25" i="172"/>
  <c r="L19" i="173"/>
  <c r="L26" i="173"/>
  <c r="K112" i="175"/>
  <c r="L112" i="175"/>
  <c r="K111" i="175"/>
  <c r="L111" i="175"/>
  <c r="L24" i="158"/>
  <c r="K111" i="158"/>
  <c r="L111" i="158"/>
  <c r="L71" i="158"/>
  <c r="L83" i="158"/>
  <c r="L87" i="158"/>
  <c r="K112" i="158"/>
  <c r="L112" i="158"/>
  <c r="L73" i="158"/>
  <c r="L89" i="158"/>
  <c r="L94" i="158"/>
  <c r="L61" i="158"/>
  <c r="L69" i="158"/>
  <c r="L72" i="158"/>
  <c r="L85" i="158"/>
  <c r="L93" i="158"/>
  <c r="L60" i="158"/>
  <c r="L52" i="158"/>
  <c r="L26" i="168"/>
  <c r="K112" i="168"/>
  <c r="L112" i="168"/>
  <c r="K111" i="168"/>
  <c r="L111" i="168"/>
  <c r="K112" i="174"/>
  <c r="L112" i="174"/>
  <c r="K111" i="174"/>
  <c r="L111" i="174"/>
  <c r="L39" i="172"/>
  <c r="K112" i="173"/>
  <c r="L112" i="173"/>
  <c r="K111" i="173"/>
  <c r="L23" i="172"/>
  <c r="K111" i="163"/>
  <c r="L111" i="163"/>
  <c r="L53" i="163"/>
  <c r="L74" i="163"/>
  <c r="L84" i="163"/>
  <c r="L72" i="163"/>
  <c r="L85" i="163"/>
  <c r="L95" i="163"/>
  <c r="L60" i="163"/>
  <c r="L52" i="163"/>
  <c r="L87" i="163"/>
  <c r="L82" i="163"/>
  <c r="L83" i="163"/>
  <c r="L113" i="164"/>
  <c r="K111" i="164"/>
  <c r="K112" i="164"/>
  <c r="L27" i="165"/>
  <c r="K111" i="165"/>
  <c r="L111" i="165"/>
  <c r="K112" i="165"/>
  <c r="L112" i="165"/>
  <c r="K112" i="167"/>
  <c r="L112" i="167"/>
  <c r="K111" i="167"/>
  <c r="L27" i="172"/>
  <c r="L20" i="173"/>
  <c r="L21" i="174"/>
  <c r="L26" i="175"/>
  <c r="L23" i="174"/>
  <c r="J23" i="163"/>
  <c r="J53" i="163"/>
  <c r="J57" i="163"/>
  <c r="J61" i="163"/>
  <c r="J73" i="163"/>
  <c r="I112" i="163"/>
  <c r="J112" i="163"/>
  <c r="J72" i="163"/>
  <c r="J94" i="163"/>
  <c r="J58" i="163"/>
  <c r="J84" i="163"/>
  <c r="J91" i="163"/>
  <c r="I111" i="163"/>
  <c r="J111" i="163"/>
  <c r="J79" i="163"/>
  <c r="J60" i="163"/>
  <c r="J80" i="163"/>
  <c r="J87" i="163"/>
  <c r="J95" i="163"/>
  <c r="J89" i="163"/>
  <c r="J81" i="163"/>
  <c r="J21" i="163"/>
  <c r="J25" i="163"/>
  <c r="J20" i="163"/>
  <c r="J43" i="161"/>
  <c r="J53" i="161"/>
  <c r="J57" i="161"/>
  <c r="J61" i="161"/>
  <c r="J69" i="161"/>
  <c r="J73" i="161"/>
  <c r="J85" i="161"/>
  <c r="J89" i="161"/>
  <c r="J93" i="161"/>
  <c r="I111" i="161"/>
  <c r="J111" i="161"/>
  <c r="J80" i="161"/>
  <c r="J91" i="161"/>
  <c r="J74" i="161"/>
  <c r="J82" i="161"/>
  <c r="J95" i="161"/>
  <c r="J84" i="161"/>
  <c r="J94" i="161"/>
  <c r="J52" i="161"/>
  <c r="J58" i="161"/>
  <c r="J87" i="161"/>
  <c r="I112" i="161"/>
  <c r="J112" i="161"/>
  <c r="J71" i="161"/>
  <c r="J79" i="161"/>
  <c r="J72" i="161"/>
  <c r="J24" i="161"/>
  <c r="J23" i="173"/>
  <c r="I112" i="173"/>
  <c r="I111" i="173"/>
  <c r="J111" i="173"/>
  <c r="J21" i="170"/>
  <c r="J26" i="173"/>
  <c r="J23" i="159"/>
  <c r="J53" i="159"/>
  <c r="J57" i="159"/>
  <c r="J69" i="159"/>
  <c r="J81" i="159"/>
  <c r="J85" i="159"/>
  <c r="J89" i="159"/>
  <c r="J93" i="159"/>
  <c r="I112" i="159"/>
  <c r="J112" i="159"/>
  <c r="J72" i="159"/>
  <c r="J94" i="159"/>
  <c r="J58" i="159"/>
  <c r="J71" i="159"/>
  <c r="J84" i="159"/>
  <c r="I111" i="159"/>
  <c r="J111" i="159"/>
  <c r="J96" i="159"/>
  <c r="J60" i="159"/>
  <c r="I112" i="167"/>
  <c r="J112" i="167"/>
  <c r="I111" i="167"/>
  <c r="I112" i="169"/>
  <c r="J112" i="169"/>
  <c r="I111" i="169"/>
  <c r="J111" i="169"/>
  <c r="J23" i="172"/>
  <c r="I112" i="172"/>
  <c r="J112" i="172"/>
  <c r="J32" i="174"/>
  <c r="I111" i="174"/>
  <c r="J111" i="174"/>
  <c r="I112" i="174"/>
  <c r="J19" i="173"/>
  <c r="J45" i="170"/>
  <c r="I112" i="170"/>
  <c r="J112" i="170"/>
  <c r="I111" i="170"/>
  <c r="J53" i="158"/>
  <c r="J69" i="158"/>
  <c r="J81" i="158"/>
  <c r="J85" i="158"/>
  <c r="J60" i="158"/>
  <c r="J71" i="158"/>
  <c r="J82" i="158"/>
  <c r="J87" i="158"/>
  <c r="I111" i="158"/>
  <c r="J95" i="158"/>
  <c r="I112" i="158"/>
  <c r="J112" i="158"/>
  <c r="J79" i="158"/>
  <c r="J91" i="158"/>
  <c r="J58" i="158"/>
  <c r="I112" i="164"/>
  <c r="J112" i="164"/>
  <c r="I111" i="164"/>
  <c r="I112" i="165"/>
  <c r="I111" i="165"/>
  <c r="J111" i="165"/>
  <c r="J28" i="168"/>
  <c r="I112" i="168"/>
  <c r="J112" i="168"/>
  <c r="I111" i="168"/>
  <c r="J111" i="168"/>
  <c r="J19" i="170"/>
  <c r="I111" i="175"/>
  <c r="J111" i="175"/>
  <c r="I112" i="175"/>
  <c r="J112" i="175"/>
  <c r="H58" i="163"/>
  <c r="G112" i="163"/>
  <c r="H112" i="163"/>
  <c r="H74" i="163"/>
  <c r="H57" i="163"/>
  <c r="H73" i="163"/>
  <c r="H83" i="163"/>
  <c r="H87" i="163"/>
  <c r="H91" i="163"/>
  <c r="H95" i="163"/>
  <c r="H71" i="163"/>
  <c r="H84" i="163"/>
  <c r="H89" i="163"/>
  <c r="H94" i="163"/>
  <c r="H60" i="163"/>
  <c r="H69" i="163"/>
  <c r="H80" i="163"/>
  <c r="H93" i="163"/>
  <c r="H82" i="163"/>
  <c r="H55" i="163"/>
  <c r="H81" i="163"/>
  <c r="H53" i="163"/>
  <c r="H96" i="163"/>
  <c r="H72" i="163"/>
  <c r="H61" i="163"/>
  <c r="G111" i="169"/>
  <c r="H111" i="169"/>
  <c r="H58" i="158"/>
  <c r="G112" i="158"/>
  <c r="H74" i="158"/>
  <c r="H82" i="158"/>
  <c r="H94" i="158"/>
  <c r="H72" i="158"/>
  <c r="H93" i="158"/>
  <c r="H53" i="158"/>
  <c r="H60" i="158"/>
  <c r="H81" i="158"/>
  <c r="H89" i="158"/>
  <c r="H96" i="158"/>
  <c r="H71" i="158"/>
  <c r="H80" i="158"/>
  <c r="H91" i="158"/>
  <c r="H52" i="158"/>
  <c r="H73" i="158"/>
  <c r="H84" i="158"/>
  <c r="G111" i="158"/>
  <c r="H79" i="158"/>
  <c r="H87" i="158"/>
  <c r="H57" i="158"/>
  <c r="H85" i="158"/>
  <c r="H69" i="158"/>
  <c r="H95" i="158"/>
  <c r="G112" i="161"/>
  <c r="H112" i="161"/>
  <c r="H74" i="161"/>
  <c r="H82" i="161"/>
  <c r="H94" i="161"/>
  <c r="H60" i="161"/>
  <c r="H71" i="161"/>
  <c r="H81" i="161"/>
  <c r="H87" i="161"/>
  <c r="H53" i="161"/>
  <c r="H61" i="161"/>
  <c r="H83" i="161"/>
  <c r="H89" i="161"/>
  <c r="H96" i="161"/>
  <c r="H57" i="161"/>
  <c r="H85" i="161"/>
  <c r="H95" i="161"/>
  <c r="H79" i="161"/>
  <c r="H73" i="161"/>
  <c r="H93" i="161"/>
  <c r="H84" i="161"/>
  <c r="H80" i="161"/>
  <c r="H72" i="161"/>
  <c r="H91" i="161"/>
  <c r="H52" i="161"/>
  <c r="H25" i="163"/>
  <c r="H27" i="165"/>
  <c r="G111" i="165"/>
  <c r="H111" i="165"/>
  <c r="G112" i="165"/>
  <c r="H112" i="165"/>
  <c r="H31" i="168"/>
  <c r="G112" i="168"/>
  <c r="H112" i="168"/>
  <c r="H25" i="161"/>
  <c r="H26" i="168"/>
  <c r="G112" i="170"/>
  <c r="H112" i="170"/>
  <c r="H20" i="169"/>
  <c r="G112" i="174"/>
  <c r="H112" i="174"/>
  <c r="H31" i="175"/>
  <c r="G112" i="175"/>
  <c r="H112" i="175"/>
  <c r="G111" i="175"/>
  <c r="H111" i="175"/>
  <c r="H27" i="161"/>
  <c r="H114" i="164"/>
  <c r="G112" i="164"/>
  <c r="H112" i="164"/>
  <c r="G111" i="167"/>
  <c r="H111" i="167"/>
  <c r="G112" i="172"/>
  <c r="H112" i="172"/>
  <c r="H27" i="174"/>
  <c r="H58" i="159"/>
  <c r="G112" i="159"/>
  <c r="H112" i="159"/>
  <c r="H74" i="159"/>
  <c r="H94" i="159"/>
  <c r="H57" i="159"/>
  <c r="H73" i="159"/>
  <c r="H79" i="159"/>
  <c r="H84" i="159"/>
  <c r="H89" i="159"/>
  <c r="H95" i="159"/>
  <c r="H72" i="159"/>
  <c r="H80" i="159"/>
  <c r="H87" i="159"/>
  <c r="H93" i="159"/>
  <c r="H85" i="159"/>
  <c r="H96" i="159"/>
  <c r="H60" i="159"/>
  <c r="H69" i="159"/>
  <c r="H83" i="159"/>
  <c r="H61" i="159"/>
  <c r="H91" i="159"/>
  <c r="H81" i="159"/>
  <c r="H52" i="159"/>
  <c r="H71" i="159"/>
  <c r="H53" i="159"/>
  <c r="H20" i="167"/>
  <c r="H27" i="167"/>
  <c r="H19" i="168"/>
  <c r="H25" i="168"/>
  <c r="H113" i="173"/>
  <c r="F19" i="163"/>
  <c r="F25" i="165"/>
  <c r="F25" i="161"/>
  <c r="F19" i="161"/>
  <c r="F25" i="163"/>
  <c r="F19" i="169"/>
  <c r="F20" i="161"/>
  <c r="F21" i="164"/>
  <c r="U111" i="195"/>
  <c r="O111" i="195"/>
  <c r="E116" i="194"/>
  <c r="F116" i="194"/>
  <c r="F26" i="163"/>
  <c r="F20" i="163"/>
  <c r="F19" i="172"/>
  <c r="F21" i="172"/>
  <c r="E112" i="167"/>
  <c r="F112" i="167"/>
  <c r="F36" i="174"/>
  <c r="E112" i="174"/>
  <c r="F112" i="174"/>
  <c r="E111" i="174"/>
  <c r="F111" i="174"/>
  <c r="F27" i="167"/>
  <c r="F20" i="173"/>
  <c r="F21" i="174"/>
  <c r="F27" i="174"/>
  <c r="F23" i="174"/>
  <c r="F24" i="159"/>
  <c r="F53" i="159"/>
  <c r="F57" i="159"/>
  <c r="F61" i="159"/>
  <c r="F69" i="159"/>
  <c r="F73" i="159"/>
  <c r="F81" i="159"/>
  <c r="F85" i="159"/>
  <c r="F89" i="159"/>
  <c r="F93" i="159"/>
  <c r="E112" i="159"/>
  <c r="F72" i="159"/>
  <c r="F83" i="159"/>
  <c r="F94" i="159"/>
  <c r="F58" i="159"/>
  <c r="F74" i="159"/>
  <c r="F79" i="159"/>
  <c r="F84" i="159"/>
  <c r="F95" i="159"/>
  <c r="E111" i="159"/>
  <c r="F111" i="159"/>
  <c r="F80" i="159"/>
  <c r="F91" i="159"/>
  <c r="F60" i="159"/>
  <c r="F71" i="159"/>
  <c r="F82" i="159"/>
  <c r="F87" i="159"/>
  <c r="F96" i="159"/>
  <c r="F52" i="159"/>
  <c r="F53" i="161"/>
  <c r="F57" i="161"/>
  <c r="F61" i="161"/>
  <c r="F69" i="161"/>
  <c r="F73" i="161"/>
  <c r="F81" i="161"/>
  <c r="F85" i="161"/>
  <c r="F89" i="161"/>
  <c r="F93" i="161"/>
  <c r="E111" i="161"/>
  <c r="F111" i="161"/>
  <c r="F80" i="161"/>
  <c r="F91" i="161"/>
  <c r="F96" i="161"/>
  <c r="F60" i="161"/>
  <c r="F71" i="161"/>
  <c r="F82" i="161"/>
  <c r="F87" i="161"/>
  <c r="E112" i="161"/>
  <c r="F112" i="161"/>
  <c r="F72" i="161"/>
  <c r="F83" i="161"/>
  <c r="F94" i="161"/>
  <c r="F74" i="161"/>
  <c r="F84" i="161"/>
  <c r="F95" i="161"/>
  <c r="F52" i="161"/>
  <c r="F79" i="161"/>
  <c r="F58" i="161"/>
  <c r="E112" i="164"/>
  <c r="F112" i="164"/>
  <c r="E111" i="164"/>
  <c r="F111" i="164"/>
  <c r="E112" i="169"/>
  <c r="F112" i="169"/>
  <c r="E111" i="169"/>
  <c r="E116" i="169"/>
  <c r="F116" i="169"/>
  <c r="E112" i="172"/>
  <c r="F112" i="172"/>
  <c r="F19" i="174"/>
  <c r="F20" i="174"/>
  <c r="F24" i="161"/>
  <c r="F53" i="158"/>
  <c r="F57" i="158"/>
  <c r="F61" i="158"/>
  <c r="F69" i="158"/>
  <c r="F73" i="158"/>
  <c r="F81" i="158"/>
  <c r="F85" i="158"/>
  <c r="F89" i="158"/>
  <c r="F93" i="158"/>
  <c r="F60" i="158"/>
  <c r="F71" i="158"/>
  <c r="F82" i="158"/>
  <c r="F87" i="158"/>
  <c r="E112" i="158"/>
  <c r="F112" i="158"/>
  <c r="F72" i="158"/>
  <c r="F83" i="158"/>
  <c r="F94" i="158"/>
  <c r="F58" i="158"/>
  <c r="F79" i="158"/>
  <c r="E111" i="158"/>
  <c r="F80" i="158"/>
  <c r="F91" i="158"/>
  <c r="F74" i="158"/>
  <c r="F95" i="158"/>
  <c r="F96" i="158"/>
  <c r="F84" i="158"/>
  <c r="F52" i="158"/>
  <c r="F24" i="168"/>
  <c r="E112" i="173"/>
  <c r="F112" i="173"/>
  <c r="E111" i="173"/>
  <c r="F111" i="173"/>
  <c r="F27" i="173"/>
  <c r="F25" i="174"/>
  <c r="F24" i="163"/>
  <c r="F53" i="163"/>
  <c r="F57" i="163"/>
  <c r="F61" i="163"/>
  <c r="F69" i="163"/>
  <c r="F73" i="163"/>
  <c r="E112" i="163"/>
  <c r="F112" i="163"/>
  <c r="F72" i="163"/>
  <c r="F82" i="163"/>
  <c r="F94" i="163"/>
  <c r="F58" i="163"/>
  <c r="F74" i="163"/>
  <c r="F79" i="163"/>
  <c r="F83" i="163"/>
  <c r="F87" i="163"/>
  <c r="F91" i="163"/>
  <c r="F95" i="163"/>
  <c r="F84" i="163"/>
  <c r="F55" i="163"/>
  <c r="F85" i="163"/>
  <c r="F93" i="163"/>
  <c r="F71" i="163"/>
  <c r="F89" i="163"/>
  <c r="E111" i="163"/>
  <c r="F96" i="163"/>
  <c r="F52" i="163"/>
  <c r="F60" i="163"/>
  <c r="F80" i="163"/>
  <c r="F81" i="163"/>
  <c r="E112" i="165"/>
  <c r="E111" i="165"/>
  <c r="F111" i="165"/>
  <c r="F44" i="170"/>
  <c r="E112" i="170"/>
  <c r="F112" i="170"/>
  <c r="E111" i="170"/>
  <c r="F25" i="173"/>
  <c r="F26" i="174"/>
  <c r="E112" i="175"/>
  <c r="F112" i="175"/>
  <c r="E111" i="175"/>
  <c r="F111" i="175"/>
  <c r="P20" i="175"/>
  <c r="P21" i="175"/>
  <c r="P19" i="175"/>
  <c r="P26" i="175"/>
  <c r="P27" i="175"/>
  <c r="P25" i="175"/>
  <c r="L25" i="175"/>
  <c r="L27" i="175"/>
  <c r="H19" i="175"/>
  <c r="H20" i="175"/>
  <c r="H21" i="175"/>
  <c r="H25" i="175"/>
  <c r="H26" i="175"/>
  <c r="H27" i="175"/>
  <c r="D19" i="175"/>
  <c r="D26" i="175"/>
  <c r="D20" i="175"/>
  <c r="D27" i="175"/>
  <c r="D25" i="175"/>
  <c r="V27" i="174"/>
  <c r="R27" i="174"/>
  <c r="P25" i="174"/>
  <c r="P20" i="174"/>
  <c r="P24" i="174"/>
  <c r="L24" i="174"/>
  <c r="L26" i="174"/>
  <c r="D19" i="174"/>
  <c r="D21" i="174"/>
  <c r="D23" i="174"/>
  <c r="V20" i="173"/>
  <c r="T20" i="173"/>
  <c r="T19" i="173"/>
  <c r="T21" i="173"/>
  <c r="T25" i="173"/>
  <c r="T27" i="173"/>
  <c r="T23" i="173"/>
  <c r="T26" i="173"/>
  <c r="R26" i="173"/>
  <c r="P24" i="173"/>
  <c r="H25" i="173"/>
  <c r="H24" i="173"/>
  <c r="H19" i="173"/>
  <c r="H27" i="173"/>
  <c r="D23" i="173"/>
  <c r="D19" i="173"/>
  <c r="D26" i="173"/>
  <c r="D20" i="173"/>
  <c r="V19" i="172"/>
  <c r="T21" i="172"/>
  <c r="T27" i="172"/>
  <c r="T23" i="172"/>
  <c r="T20" i="172"/>
  <c r="R46" i="172"/>
  <c r="R20" i="172"/>
  <c r="R27" i="172"/>
  <c r="N19" i="172"/>
  <c r="N26" i="172"/>
  <c r="L43" i="172"/>
  <c r="L21" i="172"/>
  <c r="H20" i="172"/>
  <c r="H21" i="172"/>
  <c r="H25" i="172"/>
  <c r="H24" i="172"/>
  <c r="H26" i="172"/>
  <c r="H27" i="172"/>
  <c r="H19" i="172"/>
  <c r="T23" i="170"/>
  <c r="R24" i="170"/>
  <c r="R21" i="170"/>
  <c r="R25" i="170"/>
  <c r="R20" i="170"/>
  <c r="R27" i="170"/>
  <c r="P24" i="170"/>
  <c r="L23" i="170"/>
  <c r="J27" i="170"/>
  <c r="J24" i="170"/>
  <c r="H24" i="170"/>
  <c r="F19" i="170"/>
  <c r="F21" i="170"/>
  <c r="V26" i="169"/>
  <c r="V20" i="169"/>
  <c r="V25" i="169"/>
  <c r="V27" i="169"/>
  <c r="V19" i="169"/>
  <c r="V21" i="169"/>
  <c r="R26" i="169"/>
  <c r="P19" i="169"/>
  <c r="P20" i="169"/>
  <c r="N27" i="169"/>
  <c r="N25" i="169"/>
  <c r="L26" i="169"/>
  <c r="J20" i="169"/>
  <c r="J28" i="169"/>
  <c r="H25" i="169"/>
  <c r="H27" i="169"/>
  <c r="F20" i="169"/>
  <c r="T26" i="168"/>
  <c r="T27" i="168"/>
  <c r="T19" i="168"/>
  <c r="T20" i="168"/>
  <c r="T23" i="168"/>
  <c r="R25" i="168"/>
  <c r="P19" i="168"/>
  <c r="P26" i="168"/>
  <c r="P27" i="168"/>
  <c r="P24" i="168"/>
  <c r="L23" i="168"/>
  <c r="J19" i="168"/>
  <c r="J20" i="168"/>
  <c r="J21" i="168"/>
  <c r="H20" i="168"/>
  <c r="H27" i="168"/>
  <c r="H24" i="168"/>
  <c r="H21" i="168"/>
  <c r="F20" i="168"/>
  <c r="F19" i="168"/>
  <c r="D19" i="168"/>
  <c r="D28" i="168"/>
  <c r="D21" i="168"/>
  <c r="D27" i="168"/>
  <c r="D23" i="168"/>
  <c r="V25" i="167"/>
  <c r="V20" i="167"/>
  <c r="R21" i="167"/>
  <c r="R26" i="167"/>
  <c r="R20" i="167"/>
  <c r="R25" i="167"/>
  <c r="P19" i="167"/>
  <c r="P20" i="167"/>
  <c r="P21" i="167"/>
  <c r="P24" i="167"/>
  <c r="P25" i="167"/>
  <c r="P26" i="167"/>
  <c r="P27" i="167"/>
  <c r="N25" i="167"/>
  <c r="N20" i="167"/>
  <c r="J25" i="167"/>
  <c r="J21" i="167"/>
  <c r="J26" i="167"/>
  <c r="H24" i="167"/>
  <c r="H25" i="167"/>
  <c r="H33" i="167"/>
  <c r="F20" i="167"/>
  <c r="V20" i="165"/>
  <c r="V25" i="165"/>
  <c r="R20" i="165"/>
  <c r="R21" i="165"/>
  <c r="R26" i="165"/>
  <c r="N27" i="165"/>
  <c r="N20" i="165"/>
  <c r="L20" i="165"/>
  <c r="L23" i="165"/>
  <c r="J26" i="165"/>
  <c r="F20" i="165"/>
  <c r="D23" i="165"/>
  <c r="D25" i="165"/>
  <c r="D20" i="165"/>
  <c r="T26" i="164"/>
  <c r="T21" i="164"/>
  <c r="R25" i="164"/>
  <c r="R38" i="164"/>
  <c r="R21" i="164"/>
  <c r="R26" i="164"/>
  <c r="N20" i="164"/>
  <c r="N25" i="164"/>
  <c r="N28" i="164"/>
  <c r="N21" i="164"/>
  <c r="N27" i="164"/>
  <c r="L26" i="164"/>
  <c r="L23" i="164"/>
  <c r="H20" i="164"/>
  <c r="H27" i="164"/>
  <c r="H24" i="164"/>
  <c r="H25" i="164"/>
  <c r="D23" i="164"/>
  <c r="D21" i="164"/>
  <c r="D19" i="164"/>
  <c r="V27" i="163"/>
  <c r="V25" i="163"/>
  <c r="T21" i="163"/>
  <c r="R21" i="163"/>
  <c r="P20" i="163"/>
  <c r="P27" i="163"/>
  <c r="P25" i="163"/>
  <c r="D26" i="163"/>
  <c r="V20" i="161"/>
  <c r="V26" i="161"/>
  <c r="V23" i="161"/>
  <c r="T21" i="161"/>
  <c r="T23" i="161"/>
  <c r="R23" i="161"/>
  <c r="R21" i="161"/>
  <c r="R24" i="161"/>
  <c r="P25" i="161"/>
  <c r="P24" i="161"/>
  <c r="P23" i="161"/>
  <c r="N21" i="161"/>
  <c r="N24" i="161"/>
  <c r="N23" i="161"/>
  <c r="L19" i="161"/>
  <c r="L21" i="161"/>
  <c r="L26" i="161"/>
  <c r="L24" i="161"/>
  <c r="L23" i="161"/>
  <c r="J28" i="161"/>
  <c r="J23" i="161"/>
  <c r="J19" i="161"/>
  <c r="J20" i="161"/>
  <c r="J26" i="161"/>
  <c r="J27" i="161"/>
  <c r="J21" i="161"/>
  <c r="J25" i="161"/>
  <c r="H23" i="161"/>
  <c r="F26" i="161"/>
  <c r="F23" i="161"/>
  <c r="F21" i="161"/>
  <c r="R20" i="159"/>
  <c r="P21" i="159"/>
  <c r="N21" i="159"/>
  <c r="N19" i="159"/>
  <c r="V20" i="158"/>
  <c r="L23" i="159"/>
  <c r="T20" i="159"/>
  <c r="T23" i="159"/>
  <c r="L21" i="159"/>
  <c r="T42" i="159"/>
  <c r="D23" i="159"/>
  <c r="F20" i="158"/>
  <c r="F43" i="158"/>
  <c r="D23" i="158"/>
  <c r="P24" i="158"/>
  <c r="F23" i="158"/>
  <c r="R24" i="158"/>
  <c r="D27" i="158"/>
  <c r="L23" i="158"/>
  <c r="F25" i="158"/>
  <c r="V27" i="158"/>
  <c r="T23" i="158"/>
  <c r="G46" i="192"/>
  <c r="O46" i="192"/>
  <c r="C46" i="192"/>
  <c r="K46" i="192"/>
  <c r="P46" i="195"/>
  <c r="H23" i="195"/>
  <c r="H27" i="195"/>
  <c r="H41" i="195"/>
  <c r="R44" i="195"/>
  <c r="H93" i="195"/>
  <c r="H87" i="195"/>
  <c r="H42" i="195"/>
  <c r="H38" i="195"/>
  <c r="H32" i="195"/>
  <c r="H26" i="195"/>
  <c r="H21" i="195"/>
  <c r="P24" i="195"/>
  <c r="H59" i="195"/>
  <c r="R28" i="195"/>
  <c r="H39" i="195"/>
  <c r="H43" i="195"/>
  <c r="R59" i="195"/>
  <c r="H115" i="195"/>
  <c r="H113" i="195"/>
  <c r="H114" i="195"/>
  <c r="D21" i="195"/>
  <c r="D26" i="195"/>
  <c r="D24" i="195"/>
  <c r="D25" i="195"/>
  <c r="D19" i="195"/>
  <c r="D32" i="195"/>
  <c r="D20" i="195"/>
  <c r="D23" i="195"/>
  <c r="D27" i="195"/>
  <c r="D37" i="195"/>
  <c r="D45" i="195"/>
  <c r="D39" i="195"/>
  <c r="D41" i="195"/>
  <c r="D43" i="195"/>
  <c r="T40" i="194"/>
  <c r="T45" i="194"/>
  <c r="T37" i="194"/>
  <c r="R37" i="194"/>
  <c r="R45" i="194"/>
  <c r="R27" i="194"/>
  <c r="R46" i="194"/>
  <c r="P27" i="194"/>
  <c r="P32" i="194"/>
  <c r="N26" i="194"/>
  <c r="N111" i="194"/>
  <c r="N21" i="194"/>
  <c r="N36" i="194"/>
  <c r="N40" i="194"/>
  <c r="L23" i="194"/>
  <c r="L46" i="194"/>
  <c r="J20" i="194"/>
  <c r="J115" i="194"/>
  <c r="J45" i="194"/>
  <c r="J27" i="194"/>
  <c r="J37" i="194"/>
  <c r="J39" i="194"/>
  <c r="H114" i="194"/>
  <c r="H26" i="194"/>
  <c r="H27" i="194"/>
  <c r="H46" i="194"/>
  <c r="H113" i="194"/>
  <c r="H19" i="194"/>
  <c r="H45" i="194"/>
  <c r="H25" i="194"/>
  <c r="H37" i="194"/>
  <c r="H38" i="194"/>
  <c r="D32" i="194"/>
  <c r="D33" i="194"/>
  <c r="D40" i="194"/>
  <c r="D28" i="194"/>
  <c r="D31" i="194"/>
  <c r="E31" i="194"/>
  <c r="E33" i="194"/>
  <c r="F33" i="194"/>
  <c r="D43" i="194"/>
  <c r="D46" i="194"/>
  <c r="D23" i="194"/>
  <c r="D27" i="194"/>
  <c r="D42" i="194"/>
  <c r="V20" i="193"/>
  <c r="V21" i="193"/>
  <c r="V23" i="193"/>
  <c r="V38" i="193"/>
  <c r="V40" i="193"/>
  <c r="V46" i="193"/>
  <c r="V58" i="193"/>
  <c r="V42" i="193"/>
  <c r="V60" i="193"/>
  <c r="T46" i="193"/>
  <c r="T21" i="193"/>
  <c r="R21" i="193"/>
  <c r="R27" i="193"/>
  <c r="R32" i="193"/>
  <c r="R37" i="193"/>
  <c r="R41" i="193"/>
  <c r="R45" i="193"/>
  <c r="R46" i="193"/>
  <c r="R23" i="193"/>
  <c r="R24" i="193"/>
  <c r="R19" i="193"/>
  <c r="R20" i="193"/>
  <c r="R25" i="193"/>
  <c r="R26" i="193"/>
  <c r="R39" i="193"/>
  <c r="R43" i="193"/>
  <c r="P20" i="193"/>
  <c r="P25" i="193"/>
  <c r="N20" i="193"/>
  <c r="N40" i="193"/>
  <c r="N19" i="193"/>
  <c r="N21" i="193"/>
  <c r="N26" i="193"/>
  <c r="N23" i="193"/>
  <c r="N25" i="193"/>
  <c r="N38" i="193"/>
  <c r="N24" i="193"/>
  <c r="N42" i="193"/>
  <c r="N36" i="193"/>
  <c r="N44" i="193"/>
  <c r="N46" i="193"/>
  <c r="J24" i="193"/>
  <c r="J27" i="193"/>
  <c r="J32" i="193"/>
  <c r="J20" i="193"/>
  <c r="J26" i="193"/>
  <c r="J37" i="193"/>
  <c r="J39" i="193"/>
  <c r="J41" i="193"/>
  <c r="J43" i="193"/>
  <c r="H46" i="193"/>
  <c r="F25" i="193"/>
  <c r="F23" i="193"/>
  <c r="F24" i="193"/>
  <c r="F36" i="193"/>
  <c r="F44" i="193"/>
  <c r="F42" i="193"/>
  <c r="F20" i="193"/>
  <c r="F21" i="193"/>
  <c r="F38" i="193"/>
  <c r="F26" i="193"/>
  <c r="F19" i="193"/>
  <c r="F40" i="193"/>
  <c r="F46" i="193"/>
  <c r="L32" i="175"/>
  <c r="D23" i="175"/>
  <c r="L23" i="175"/>
  <c r="T23" i="175"/>
  <c r="H24" i="175"/>
  <c r="P24" i="175"/>
  <c r="T33" i="175"/>
  <c r="F23" i="175"/>
  <c r="N23" i="175"/>
  <c r="V23" i="175"/>
  <c r="J24" i="175"/>
  <c r="R24" i="175"/>
  <c r="H23" i="175"/>
  <c r="P23" i="175"/>
  <c r="D24" i="175"/>
  <c r="L24" i="175"/>
  <c r="T24" i="175"/>
  <c r="J23" i="175"/>
  <c r="R23" i="175"/>
  <c r="F24" i="175"/>
  <c r="N24" i="175"/>
  <c r="V24" i="175"/>
  <c r="T23" i="174"/>
  <c r="J26" i="174"/>
  <c r="J27" i="174"/>
  <c r="N23" i="174"/>
  <c r="V23" i="174"/>
  <c r="J24" i="174"/>
  <c r="N19" i="174"/>
  <c r="H25" i="174"/>
  <c r="T26" i="174"/>
  <c r="N28" i="174"/>
  <c r="H20" i="174"/>
  <c r="J21" i="174"/>
  <c r="T21" i="174"/>
  <c r="J25" i="174"/>
  <c r="V25" i="174"/>
  <c r="V26" i="174"/>
  <c r="N27" i="174"/>
  <c r="H23" i="174"/>
  <c r="P23" i="174"/>
  <c r="D24" i="174"/>
  <c r="T24" i="174"/>
  <c r="H24" i="174"/>
  <c r="J28" i="174"/>
  <c r="J19" i="174"/>
  <c r="T19" i="174"/>
  <c r="J20" i="174"/>
  <c r="V20" i="174"/>
  <c r="V21" i="174"/>
  <c r="N25" i="174"/>
  <c r="D26" i="174"/>
  <c r="N26" i="174"/>
  <c r="P27" i="174"/>
  <c r="J23" i="174"/>
  <c r="R23" i="174"/>
  <c r="F24" i="174"/>
  <c r="N24" i="174"/>
  <c r="V24" i="174"/>
  <c r="N20" i="173"/>
  <c r="V27" i="173"/>
  <c r="F23" i="173"/>
  <c r="N23" i="173"/>
  <c r="V23" i="173"/>
  <c r="J24" i="173"/>
  <c r="R24" i="173"/>
  <c r="P20" i="173"/>
  <c r="H21" i="173"/>
  <c r="P25" i="173"/>
  <c r="H26" i="173"/>
  <c r="H23" i="173"/>
  <c r="P23" i="173"/>
  <c r="D24" i="173"/>
  <c r="L24" i="173"/>
  <c r="T24" i="173"/>
  <c r="P19" i="173"/>
  <c r="H20" i="173"/>
  <c r="P27" i="173"/>
  <c r="R23" i="173"/>
  <c r="F24" i="173"/>
  <c r="N24" i="173"/>
  <c r="V24" i="173"/>
  <c r="P24" i="172"/>
  <c r="D20" i="172"/>
  <c r="V21" i="172"/>
  <c r="V26" i="172"/>
  <c r="P27" i="172"/>
  <c r="D28" i="172"/>
  <c r="N31" i="172"/>
  <c r="H33" i="172"/>
  <c r="H36" i="172"/>
  <c r="H40" i="172"/>
  <c r="H44" i="172"/>
  <c r="L46" i="172"/>
  <c r="F23" i="172"/>
  <c r="N23" i="172"/>
  <c r="V23" i="172"/>
  <c r="J24" i="172"/>
  <c r="R24" i="172"/>
  <c r="D23" i="172"/>
  <c r="D19" i="172"/>
  <c r="D25" i="172"/>
  <c r="D27" i="172"/>
  <c r="D37" i="172"/>
  <c r="D41" i="172"/>
  <c r="D45" i="172"/>
  <c r="H23" i="172"/>
  <c r="P23" i="172"/>
  <c r="D24" i="172"/>
  <c r="L24" i="172"/>
  <c r="T24" i="172"/>
  <c r="V60" i="172"/>
  <c r="J20" i="172"/>
  <c r="D21" i="172"/>
  <c r="D26" i="172"/>
  <c r="T28" i="172"/>
  <c r="T37" i="172"/>
  <c r="T41" i="172"/>
  <c r="T45" i="172"/>
  <c r="R23" i="172"/>
  <c r="F24" i="172"/>
  <c r="F20" i="170"/>
  <c r="F23" i="170"/>
  <c r="N23" i="170"/>
  <c r="V23" i="170"/>
  <c r="N19" i="170"/>
  <c r="H20" i="170"/>
  <c r="N21" i="170"/>
  <c r="N26" i="170"/>
  <c r="H23" i="170"/>
  <c r="P23" i="170"/>
  <c r="D24" i="170"/>
  <c r="F26" i="170"/>
  <c r="V20" i="170"/>
  <c r="P25" i="170"/>
  <c r="V26" i="170"/>
  <c r="J23" i="170"/>
  <c r="R23" i="170"/>
  <c r="F24" i="170"/>
  <c r="N24" i="170"/>
  <c r="V24" i="170"/>
  <c r="D23" i="169"/>
  <c r="L23" i="169"/>
  <c r="T23" i="169"/>
  <c r="H24" i="169"/>
  <c r="P24" i="169"/>
  <c r="F23" i="169"/>
  <c r="N23" i="169"/>
  <c r="V23" i="169"/>
  <c r="J24" i="169"/>
  <c r="R24" i="169"/>
  <c r="L19" i="169"/>
  <c r="L21" i="169"/>
  <c r="D26" i="169"/>
  <c r="P27" i="169"/>
  <c r="H23" i="169"/>
  <c r="P23" i="169"/>
  <c r="D24" i="169"/>
  <c r="D19" i="169"/>
  <c r="N19" i="169"/>
  <c r="N20" i="169"/>
  <c r="N21" i="169"/>
  <c r="F25" i="169"/>
  <c r="N28" i="169"/>
  <c r="J23" i="169"/>
  <c r="R23" i="169"/>
  <c r="F24" i="169"/>
  <c r="N24" i="169"/>
  <c r="V24" i="169"/>
  <c r="F21" i="168"/>
  <c r="F25" i="168"/>
  <c r="N26" i="168"/>
  <c r="N27" i="168"/>
  <c r="V27" i="168"/>
  <c r="F23" i="168"/>
  <c r="N23" i="168"/>
  <c r="V23" i="168"/>
  <c r="J24" i="168"/>
  <c r="R24" i="168"/>
  <c r="V19" i="168"/>
  <c r="F26" i="168"/>
  <c r="F27" i="168"/>
  <c r="H23" i="168"/>
  <c r="D24" i="168"/>
  <c r="L24" i="168"/>
  <c r="T24" i="168"/>
  <c r="N19" i="168"/>
  <c r="N20" i="168"/>
  <c r="V20" i="168"/>
  <c r="V21" i="168"/>
  <c r="J23" i="168"/>
  <c r="D25" i="167"/>
  <c r="L25" i="167"/>
  <c r="T25" i="167"/>
  <c r="J33" i="167"/>
  <c r="R33" i="167"/>
  <c r="F23" i="167"/>
  <c r="N23" i="167"/>
  <c r="V23" i="167"/>
  <c r="J24" i="167"/>
  <c r="R24" i="167"/>
  <c r="D23" i="167"/>
  <c r="L23" i="167"/>
  <c r="T23" i="167"/>
  <c r="F25" i="167"/>
  <c r="N27" i="167"/>
  <c r="H23" i="167"/>
  <c r="P23" i="167"/>
  <c r="D24" i="167"/>
  <c r="L24" i="167"/>
  <c r="T24" i="167"/>
  <c r="D20" i="167"/>
  <c r="L20" i="167"/>
  <c r="T20" i="167"/>
  <c r="D27" i="167"/>
  <c r="J23" i="167"/>
  <c r="R23" i="167"/>
  <c r="F24" i="167"/>
  <c r="N24" i="167"/>
  <c r="V24" i="167"/>
  <c r="P24" i="165"/>
  <c r="H19" i="165"/>
  <c r="P21" i="165"/>
  <c r="H25" i="165"/>
  <c r="P25" i="165"/>
  <c r="H26" i="165"/>
  <c r="D27" i="165"/>
  <c r="P27" i="165"/>
  <c r="F23" i="165"/>
  <c r="N23" i="165"/>
  <c r="V23" i="165"/>
  <c r="J24" i="165"/>
  <c r="R24" i="165"/>
  <c r="H33" i="165"/>
  <c r="P33" i="165"/>
  <c r="H23" i="165"/>
  <c r="P23" i="165"/>
  <c r="D24" i="165"/>
  <c r="L24" i="165"/>
  <c r="T24" i="165"/>
  <c r="H24" i="165"/>
  <c r="P19" i="165"/>
  <c r="H20" i="165"/>
  <c r="P20" i="165"/>
  <c r="H21" i="165"/>
  <c r="J33" i="165"/>
  <c r="R33" i="165"/>
  <c r="J23" i="165"/>
  <c r="R23" i="165"/>
  <c r="F24" i="165"/>
  <c r="N24" i="165"/>
  <c r="V24" i="165"/>
  <c r="J21" i="164"/>
  <c r="J28" i="164"/>
  <c r="J33" i="164"/>
  <c r="J40" i="164"/>
  <c r="F23" i="164"/>
  <c r="N23" i="164"/>
  <c r="V23" i="164"/>
  <c r="J24" i="164"/>
  <c r="R24" i="164"/>
  <c r="J26" i="164"/>
  <c r="N43" i="164"/>
  <c r="H23" i="164"/>
  <c r="P23" i="164"/>
  <c r="D24" i="164"/>
  <c r="L24" i="164"/>
  <c r="T24" i="164"/>
  <c r="J20" i="164"/>
  <c r="J25" i="164"/>
  <c r="L46" i="164"/>
  <c r="J23" i="164"/>
  <c r="R23" i="164"/>
  <c r="F24" i="164"/>
  <c r="N24" i="164"/>
  <c r="V24" i="164"/>
  <c r="L33" i="163"/>
  <c r="V40" i="163"/>
  <c r="D23" i="163"/>
  <c r="L23" i="163"/>
  <c r="T23" i="163"/>
  <c r="H24" i="163"/>
  <c r="P24" i="163"/>
  <c r="N42" i="163"/>
  <c r="F23" i="163"/>
  <c r="N23" i="163"/>
  <c r="V23" i="163"/>
  <c r="J24" i="163"/>
  <c r="R24" i="163"/>
  <c r="P28" i="163"/>
  <c r="F31" i="163"/>
  <c r="F36" i="163"/>
  <c r="F44" i="163"/>
  <c r="J46" i="163"/>
  <c r="H23" i="163"/>
  <c r="P23" i="163"/>
  <c r="D24" i="163"/>
  <c r="L24" i="163"/>
  <c r="T24" i="163"/>
  <c r="N26" i="163"/>
  <c r="N27" i="163"/>
  <c r="L28" i="163"/>
  <c r="J39" i="163"/>
  <c r="R31" i="161"/>
  <c r="N33" i="161"/>
  <c r="T33" i="161"/>
  <c r="R36" i="161"/>
  <c r="J38" i="161"/>
  <c r="D40" i="161"/>
  <c r="P41" i="161"/>
  <c r="R43" i="161"/>
  <c r="L69" i="161"/>
  <c r="F32" i="161"/>
  <c r="J33" i="161"/>
  <c r="P33" i="161"/>
  <c r="F37" i="161"/>
  <c r="R38" i="161"/>
  <c r="F40" i="161"/>
  <c r="R41" i="161"/>
  <c r="N44" i="161"/>
  <c r="N46" i="161"/>
  <c r="F28" i="161"/>
  <c r="V28" i="161"/>
  <c r="N32" i="161"/>
  <c r="F33" i="161"/>
  <c r="L33" i="161"/>
  <c r="V33" i="161"/>
  <c r="N37" i="161"/>
  <c r="F39" i="161"/>
  <c r="N40" i="161"/>
  <c r="F42" i="161"/>
  <c r="J45" i="161"/>
  <c r="H46" i="161"/>
  <c r="R28" i="161"/>
  <c r="J31" i="161"/>
  <c r="V32" i="161"/>
  <c r="H33" i="161"/>
  <c r="R33" i="161"/>
  <c r="J36" i="161"/>
  <c r="V37" i="161"/>
  <c r="N39" i="161"/>
  <c r="D41" i="161"/>
  <c r="V42" i="161"/>
  <c r="P32" i="159"/>
  <c r="P39" i="159"/>
  <c r="H45" i="159"/>
  <c r="P24" i="159"/>
  <c r="P19" i="159"/>
  <c r="V21" i="159"/>
  <c r="D26" i="159"/>
  <c r="P27" i="159"/>
  <c r="P28" i="159"/>
  <c r="F31" i="159"/>
  <c r="P37" i="159"/>
  <c r="V40" i="159"/>
  <c r="V42" i="159"/>
  <c r="J45" i="159"/>
  <c r="H46" i="159"/>
  <c r="P46" i="159"/>
  <c r="P62" i="159"/>
  <c r="J115" i="159"/>
  <c r="F23" i="159"/>
  <c r="N23" i="159"/>
  <c r="V23" i="159"/>
  <c r="J24" i="159"/>
  <c r="R24" i="159"/>
  <c r="V36" i="159"/>
  <c r="V114" i="159"/>
  <c r="H24" i="159"/>
  <c r="V19" i="159"/>
  <c r="H25" i="159"/>
  <c r="F26" i="159"/>
  <c r="N38" i="159"/>
  <c r="H41" i="159"/>
  <c r="P43" i="159"/>
  <c r="J46" i="159"/>
  <c r="H113" i="159"/>
  <c r="H23" i="159"/>
  <c r="P23" i="159"/>
  <c r="D24" i="159"/>
  <c r="T24" i="159"/>
  <c r="H19" i="159"/>
  <c r="P20" i="159"/>
  <c r="V26" i="159"/>
  <c r="J32" i="159"/>
  <c r="N36" i="159"/>
  <c r="T38" i="159"/>
  <c r="P41" i="159"/>
  <c r="V44" i="159"/>
  <c r="J113" i="159"/>
  <c r="N33" i="158"/>
  <c r="N23" i="158"/>
  <c r="V23" i="158"/>
  <c r="J24" i="158"/>
  <c r="N41" i="158"/>
  <c r="H24" i="158"/>
  <c r="H20" i="158"/>
  <c r="H25" i="158"/>
  <c r="H27" i="158"/>
  <c r="J19" i="158"/>
  <c r="N20" i="158"/>
  <c r="J21" i="158"/>
  <c r="J26" i="158"/>
  <c r="N27" i="158"/>
  <c r="J28" i="158"/>
  <c r="F32" i="158"/>
  <c r="J38" i="158"/>
  <c r="J44" i="158"/>
  <c r="H23" i="158"/>
  <c r="P23" i="158"/>
  <c r="H19" i="158"/>
  <c r="H21" i="158"/>
  <c r="H26" i="158"/>
  <c r="V28" i="158"/>
  <c r="P19" i="158"/>
  <c r="P20" i="158"/>
  <c r="N25" i="158"/>
  <c r="P26" i="158"/>
  <c r="F28" i="158"/>
  <c r="V39" i="158"/>
  <c r="V45" i="158"/>
  <c r="J46" i="158"/>
  <c r="N71" i="158"/>
  <c r="J23" i="158"/>
  <c r="R23" i="158"/>
  <c r="F24" i="158"/>
  <c r="N24" i="158"/>
  <c r="V24" i="158"/>
  <c r="S46" i="192"/>
  <c r="E46" i="192"/>
  <c r="I46" i="192"/>
  <c r="M46" i="192"/>
  <c r="Q46" i="192"/>
  <c r="U46" i="192"/>
  <c r="N41" i="175"/>
  <c r="J46" i="175"/>
  <c r="J19" i="175"/>
  <c r="R19" i="175"/>
  <c r="F20" i="175"/>
  <c r="N20" i="175"/>
  <c r="V20" i="175"/>
  <c r="J21" i="175"/>
  <c r="R21" i="175"/>
  <c r="F25" i="175"/>
  <c r="N25" i="175"/>
  <c r="V25" i="175"/>
  <c r="J26" i="175"/>
  <c r="R26" i="175"/>
  <c r="F27" i="175"/>
  <c r="N27" i="175"/>
  <c r="V27" i="175"/>
  <c r="F28" i="175"/>
  <c r="J28" i="175"/>
  <c r="N28" i="175"/>
  <c r="R28" i="175"/>
  <c r="V28" i="175"/>
  <c r="N31" i="175"/>
  <c r="D32" i="175"/>
  <c r="N32" i="175"/>
  <c r="N33" i="175"/>
  <c r="F37" i="175"/>
  <c r="R38" i="175"/>
  <c r="J40" i="175"/>
  <c r="V41" i="175"/>
  <c r="N43" i="175"/>
  <c r="F45" i="175"/>
  <c r="R46" i="175"/>
  <c r="R114" i="175"/>
  <c r="J31" i="175"/>
  <c r="V32" i="175"/>
  <c r="R36" i="175"/>
  <c r="V39" i="175"/>
  <c r="R44" i="175"/>
  <c r="F31" i="175"/>
  <c r="P31" i="175"/>
  <c r="F32" i="175"/>
  <c r="R32" i="175"/>
  <c r="J33" i="175"/>
  <c r="P33" i="175"/>
  <c r="V33" i="175"/>
  <c r="N37" i="175"/>
  <c r="F39" i="175"/>
  <c r="R40" i="175"/>
  <c r="J42" i="175"/>
  <c r="V43" i="175"/>
  <c r="N45" i="175"/>
  <c r="H46" i="175"/>
  <c r="V31" i="175"/>
  <c r="F33" i="175"/>
  <c r="J38" i="175"/>
  <c r="F43" i="175"/>
  <c r="F113" i="175"/>
  <c r="F19" i="175"/>
  <c r="N19" i="175"/>
  <c r="V19" i="175"/>
  <c r="J20" i="175"/>
  <c r="R20" i="175"/>
  <c r="F21" i="175"/>
  <c r="N21" i="175"/>
  <c r="V21" i="175"/>
  <c r="J25" i="175"/>
  <c r="R25" i="175"/>
  <c r="F26" i="175"/>
  <c r="N26" i="175"/>
  <c r="V26" i="175"/>
  <c r="J27" i="175"/>
  <c r="R27" i="175"/>
  <c r="H28" i="175"/>
  <c r="L28" i="175"/>
  <c r="P28" i="175"/>
  <c r="T28" i="175"/>
  <c r="R31" i="175"/>
  <c r="J32" i="175"/>
  <c r="L33" i="175"/>
  <c r="R33" i="175"/>
  <c r="J36" i="175"/>
  <c r="V37" i="175"/>
  <c r="N39" i="175"/>
  <c r="F41" i="175"/>
  <c r="R42" i="175"/>
  <c r="J44" i="175"/>
  <c r="V45" i="175"/>
  <c r="P46" i="175"/>
  <c r="N31" i="174"/>
  <c r="N32" i="174"/>
  <c r="F33" i="174"/>
  <c r="L33" i="174"/>
  <c r="V33" i="174"/>
  <c r="V39" i="174"/>
  <c r="F43" i="174"/>
  <c r="F28" i="174"/>
  <c r="V28" i="174"/>
  <c r="R31" i="174"/>
  <c r="V32" i="174"/>
  <c r="H33" i="174"/>
  <c r="R33" i="174"/>
  <c r="N37" i="174"/>
  <c r="R40" i="174"/>
  <c r="R28" i="174"/>
  <c r="F31" i="174"/>
  <c r="V31" i="174"/>
  <c r="D33" i="174"/>
  <c r="N33" i="174"/>
  <c r="T33" i="174"/>
  <c r="J38" i="174"/>
  <c r="N41" i="174"/>
  <c r="J31" i="174"/>
  <c r="F32" i="174"/>
  <c r="J33" i="174"/>
  <c r="P33" i="174"/>
  <c r="F39" i="174"/>
  <c r="J42" i="174"/>
  <c r="V28" i="173"/>
  <c r="F32" i="173"/>
  <c r="V32" i="173"/>
  <c r="P33" i="173"/>
  <c r="H36" i="173"/>
  <c r="T37" i="173"/>
  <c r="D39" i="173"/>
  <c r="V39" i="173"/>
  <c r="L41" i="173"/>
  <c r="P42" i="173"/>
  <c r="T43" i="173"/>
  <c r="D45" i="173"/>
  <c r="F46" i="173"/>
  <c r="T46" i="173"/>
  <c r="F114" i="173"/>
  <c r="H31" i="173"/>
  <c r="L32" i="173"/>
  <c r="J33" i="173"/>
  <c r="R33" i="173"/>
  <c r="P36" i="173"/>
  <c r="H38" i="173"/>
  <c r="F39" i="173"/>
  <c r="H40" i="173"/>
  <c r="T41" i="173"/>
  <c r="D43" i="173"/>
  <c r="V43" i="173"/>
  <c r="L45" i="173"/>
  <c r="H46" i="173"/>
  <c r="N46" i="173"/>
  <c r="V46" i="173"/>
  <c r="T114" i="173"/>
  <c r="D27" i="173"/>
  <c r="P31" i="173"/>
  <c r="N32" i="173"/>
  <c r="F33" i="173"/>
  <c r="L33" i="173"/>
  <c r="T33" i="173"/>
  <c r="D37" i="173"/>
  <c r="J38" i="173"/>
  <c r="L39" i="173"/>
  <c r="P40" i="173"/>
  <c r="H42" i="173"/>
  <c r="F43" i="173"/>
  <c r="H44" i="173"/>
  <c r="T45" i="173"/>
  <c r="J46" i="173"/>
  <c r="P46" i="173"/>
  <c r="D32" i="173"/>
  <c r="T32" i="173"/>
  <c r="H33" i="173"/>
  <c r="N33" i="173"/>
  <c r="V33" i="173"/>
  <c r="L37" i="173"/>
  <c r="P38" i="173"/>
  <c r="T39" i="173"/>
  <c r="D41" i="173"/>
  <c r="J42" i="173"/>
  <c r="L43" i="173"/>
  <c r="P44" i="173"/>
  <c r="D46" i="173"/>
  <c r="L46" i="173"/>
  <c r="R46" i="173"/>
  <c r="P25" i="172"/>
  <c r="P26" i="172"/>
  <c r="P28" i="172"/>
  <c r="P31" i="172"/>
  <c r="L32" i="172"/>
  <c r="D33" i="172"/>
  <c r="J33" i="172"/>
  <c r="T33" i="172"/>
  <c r="N36" i="172"/>
  <c r="J37" i="172"/>
  <c r="F38" i="172"/>
  <c r="V38" i="172"/>
  <c r="R39" i="172"/>
  <c r="N40" i="172"/>
  <c r="J41" i="172"/>
  <c r="F42" i="172"/>
  <c r="V42" i="172"/>
  <c r="R43" i="172"/>
  <c r="N44" i="172"/>
  <c r="J45" i="172"/>
  <c r="H46" i="172"/>
  <c r="N46" i="172"/>
  <c r="H113" i="172"/>
  <c r="P38" i="172"/>
  <c r="P42" i="172"/>
  <c r="P20" i="172"/>
  <c r="P21" i="172"/>
  <c r="J27" i="172"/>
  <c r="F31" i="172"/>
  <c r="V31" i="172"/>
  <c r="R32" i="172"/>
  <c r="F33" i="172"/>
  <c r="P33" i="172"/>
  <c r="V33" i="172"/>
  <c r="P36" i="172"/>
  <c r="L37" i="172"/>
  <c r="H38" i="172"/>
  <c r="D39" i="172"/>
  <c r="T39" i="172"/>
  <c r="P40" i="172"/>
  <c r="L41" i="172"/>
  <c r="H42" i="172"/>
  <c r="D43" i="172"/>
  <c r="T43" i="172"/>
  <c r="P44" i="172"/>
  <c r="L45" i="172"/>
  <c r="D46" i="172"/>
  <c r="J46" i="172"/>
  <c r="T46" i="172"/>
  <c r="P113" i="172"/>
  <c r="J32" i="172"/>
  <c r="P19" i="172"/>
  <c r="J25" i="172"/>
  <c r="H28" i="172"/>
  <c r="H31" i="172"/>
  <c r="D32" i="172"/>
  <c r="T32" i="172"/>
  <c r="L33" i="172"/>
  <c r="R33" i="172"/>
  <c r="F36" i="172"/>
  <c r="V36" i="172"/>
  <c r="R37" i="172"/>
  <c r="N38" i="172"/>
  <c r="J39" i="172"/>
  <c r="F40" i="172"/>
  <c r="V40" i="172"/>
  <c r="R41" i="172"/>
  <c r="N42" i="172"/>
  <c r="J43" i="172"/>
  <c r="F44" i="172"/>
  <c r="V44" i="172"/>
  <c r="R45" i="172"/>
  <c r="F46" i="172"/>
  <c r="P46" i="172"/>
  <c r="V46" i="172"/>
  <c r="H27" i="170"/>
  <c r="H37" i="170"/>
  <c r="F46" i="170"/>
  <c r="N46" i="170"/>
  <c r="V46" i="170"/>
  <c r="J33" i="170"/>
  <c r="R33" i="170"/>
  <c r="P43" i="170"/>
  <c r="H46" i="170"/>
  <c r="P46" i="170"/>
  <c r="H45" i="170"/>
  <c r="J46" i="170"/>
  <c r="R46" i="170"/>
  <c r="F33" i="170"/>
  <c r="N33" i="170"/>
  <c r="V33" i="170"/>
  <c r="F32" i="169"/>
  <c r="J33" i="169"/>
  <c r="P33" i="169"/>
  <c r="F37" i="169"/>
  <c r="V39" i="169"/>
  <c r="V45" i="169"/>
  <c r="F28" i="169"/>
  <c r="V28" i="169"/>
  <c r="N32" i="169"/>
  <c r="F33" i="169"/>
  <c r="L33" i="169"/>
  <c r="V33" i="169"/>
  <c r="V37" i="169"/>
  <c r="F41" i="169"/>
  <c r="R46" i="169"/>
  <c r="F27" i="169"/>
  <c r="R28" i="169"/>
  <c r="J31" i="169"/>
  <c r="V32" i="169"/>
  <c r="H33" i="169"/>
  <c r="R33" i="169"/>
  <c r="J36" i="169"/>
  <c r="J38" i="169"/>
  <c r="R42" i="169"/>
  <c r="R31" i="169"/>
  <c r="D33" i="169"/>
  <c r="N33" i="169"/>
  <c r="T33" i="169"/>
  <c r="R36" i="169"/>
  <c r="N39" i="169"/>
  <c r="J44" i="169"/>
  <c r="H46" i="169"/>
  <c r="L20" i="168"/>
  <c r="L25" i="168"/>
  <c r="L27" i="168"/>
  <c r="R19" i="168"/>
  <c r="R21" i="168"/>
  <c r="R26" i="168"/>
  <c r="N28" i="168"/>
  <c r="L19" i="168"/>
  <c r="L21" i="168"/>
  <c r="D46" i="167"/>
  <c r="L46" i="167"/>
  <c r="T46" i="167"/>
  <c r="F46" i="167"/>
  <c r="N46" i="167"/>
  <c r="V46" i="167"/>
  <c r="D19" i="167"/>
  <c r="L19" i="167"/>
  <c r="T19" i="167"/>
  <c r="D21" i="167"/>
  <c r="L21" i="167"/>
  <c r="T21" i="167"/>
  <c r="D26" i="167"/>
  <c r="L26" i="167"/>
  <c r="T26" i="167"/>
  <c r="T27" i="167"/>
  <c r="D33" i="167"/>
  <c r="L33" i="167"/>
  <c r="T33" i="167"/>
  <c r="H46" i="167"/>
  <c r="P46" i="167"/>
  <c r="F19" i="167"/>
  <c r="N19" i="167"/>
  <c r="V19" i="167"/>
  <c r="F21" i="167"/>
  <c r="N21" i="167"/>
  <c r="V21" i="167"/>
  <c r="F26" i="167"/>
  <c r="N26" i="167"/>
  <c r="V26" i="167"/>
  <c r="L27" i="167"/>
  <c r="V27" i="167"/>
  <c r="F33" i="167"/>
  <c r="N33" i="167"/>
  <c r="V33" i="167"/>
  <c r="J46" i="167"/>
  <c r="R46" i="167"/>
  <c r="D46" i="165"/>
  <c r="F46" i="165"/>
  <c r="N46" i="165"/>
  <c r="V46" i="165"/>
  <c r="L46" i="165"/>
  <c r="L19" i="165"/>
  <c r="D21" i="165"/>
  <c r="D26" i="165"/>
  <c r="L26" i="165"/>
  <c r="T26" i="165"/>
  <c r="T27" i="165"/>
  <c r="D33" i="165"/>
  <c r="L33" i="165"/>
  <c r="T33" i="165"/>
  <c r="H46" i="165"/>
  <c r="P46" i="165"/>
  <c r="T46" i="165"/>
  <c r="T19" i="165"/>
  <c r="L21" i="165"/>
  <c r="F19" i="165"/>
  <c r="N19" i="165"/>
  <c r="V19" i="165"/>
  <c r="F21" i="165"/>
  <c r="N21" i="165"/>
  <c r="V21" i="165"/>
  <c r="F26" i="165"/>
  <c r="N26" i="165"/>
  <c r="V26" i="165"/>
  <c r="V27" i="165"/>
  <c r="F33" i="165"/>
  <c r="N33" i="165"/>
  <c r="V33" i="165"/>
  <c r="J46" i="165"/>
  <c r="R46" i="165"/>
  <c r="F37" i="164"/>
  <c r="F45" i="164"/>
  <c r="V115" i="164"/>
  <c r="F19" i="164"/>
  <c r="V25" i="164"/>
  <c r="V26" i="164"/>
  <c r="P27" i="164"/>
  <c r="F28" i="164"/>
  <c r="V28" i="164"/>
  <c r="N32" i="164"/>
  <c r="F33" i="164"/>
  <c r="L33" i="164"/>
  <c r="V33" i="164"/>
  <c r="N37" i="164"/>
  <c r="F39" i="164"/>
  <c r="R40" i="164"/>
  <c r="J42" i="164"/>
  <c r="V43" i="164"/>
  <c r="N45" i="164"/>
  <c r="F46" i="164"/>
  <c r="V46" i="164"/>
  <c r="N113" i="164"/>
  <c r="V20" i="164"/>
  <c r="V21" i="164"/>
  <c r="D26" i="164"/>
  <c r="F27" i="164"/>
  <c r="V27" i="164"/>
  <c r="R28" i="164"/>
  <c r="J31" i="164"/>
  <c r="V32" i="164"/>
  <c r="H33" i="164"/>
  <c r="R33" i="164"/>
  <c r="J36" i="164"/>
  <c r="V37" i="164"/>
  <c r="N39" i="164"/>
  <c r="F41" i="164"/>
  <c r="R42" i="164"/>
  <c r="J44" i="164"/>
  <c r="V45" i="164"/>
  <c r="H46" i="164"/>
  <c r="J114" i="164"/>
  <c r="F32" i="164"/>
  <c r="P33" i="164"/>
  <c r="V41" i="164"/>
  <c r="V19" i="164"/>
  <c r="F25" i="164"/>
  <c r="P25" i="164"/>
  <c r="F26" i="164"/>
  <c r="R31" i="164"/>
  <c r="D33" i="164"/>
  <c r="N33" i="164"/>
  <c r="T33" i="164"/>
  <c r="R36" i="164"/>
  <c r="J38" i="164"/>
  <c r="V39" i="164"/>
  <c r="N41" i="164"/>
  <c r="F43" i="164"/>
  <c r="R44" i="164"/>
  <c r="D46" i="164"/>
  <c r="R46" i="164"/>
  <c r="F115" i="164"/>
  <c r="R32" i="163"/>
  <c r="R37" i="163"/>
  <c r="R45" i="163"/>
  <c r="R46" i="163"/>
  <c r="R33" i="163"/>
  <c r="R19" i="163"/>
  <c r="H20" i="163"/>
  <c r="R20" i="163"/>
  <c r="H28" i="163"/>
  <c r="N31" i="163"/>
  <c r="H33" i="163"/>
  <c r="N33" i="163"/>
  <c r="N36" i="163"/>
  <c r="F38" i="163"/>
  <c r="R39" i="163"/>
  <c r="J41" i="163"/>
  <c r="V42" i="163"/>
  <c r="N44" i="163"/>
  <c r="D46" i="163"/>
  <c r="L46" i="163"/>
  <c r="T46" i="163"/>
  <c r="F27" i="163"/>
  <c r="D28" i="163"/>
  <c r="T28" i="163"/>
  <c r="V31" i="163"/>
  <c r="J33" i="163"/>
  <c r="T33" i="163"/>
  <c r="V36" i="163"/>
  <c r="N38" i="163"/>
  <c r="F40" i="163"/>
  <c r="R41" i="163"/>
  <c r="J43" i="163"/>
  <c r="V44" i="163"/>
  <c r="F46" i="163"/>
  <c r="N46" i="163"/>
  <c r="R26" i="163"/>
  <c r="H27" i="163"/>
  <c r="R27" i="163"/>
  <c r="J32" i="163"/>
  <c r="F33" i="163"/>
  <c r="P33" i="163"/>
  <c r="V33" i="163"/>
  <c r="J37" i="163"/>
  <c r="V38" i="163"/>
  <c r="N40" i="163"/>
  <c r="F42" i="163"/>
  <c r="R43" i="163"/>
  <c r="J45" i="163"/>
  <c r="H46" i="163"/>
  <c r="P46" i="163"/>
  <c r="J55" i="163"/>
  <c r="D20" i="160"/>
  <c r="R41" i="159"/>
  <c r="R43" i="159"/>
  <c r="D20" i="159"/>
  <c r="F33" i="159"/>
  <c r="R37" i="159"/>
  <c r="R39" i="159"/>
  <c r="D42" i="159"/>
  <c r="F44" i="159"/>
  <c r="F46" i="159"/>
  <c r="L46" i="159"/>
  <c r="R113" i="159"/>
  <c r="D19" i="159"/>
  <c r="J20" i="159"/>
  <c r="D21" i="159"/>
  <c r="N26" i="159"/>
  <c r="R32" i="159"/>
  <c r="H37" i="159"/>
  <c r="D38" i="159"/>
  <c r="V38" i="159"/>
  <c r="F40" i="159"/>
  <c r="J41" i="159"/>
  <c r="F42" i="159"/>
  <c r="J43" i="159"/>
  <c r="N44" i="159"/>
  <c r="P45" i="159"/>
  <c r="N46" i="159"/>
  <c r="N53" i="159"/>
  <c r="J74" i="159"/>
  <c r="J82" i="159"/>
  <c r="H114" i="159"/>
  <c r="D46" i="159"/>
  <c r="R46" i="159"/>
  <c r="F19" i="159"/>
  <c r="T19" i="159"/>
  <c r="F21" i="159"/>
  <c r="R25" i="159"/>
  <c r="R27" i="159"/>
  <c r="F36" i="159"/>
  <c r="J37" i="159"/>
  <c r="F38" i="159"/>
  <c r="J39" i="159"/>
  <c r="N40" i="159"/>
  <c r="N42" i="159"/>
  <c r="R45" i="159"/>
  <c r="N61" i="159"/>
  <c r="N79" i="159"/>
  <c r="N93" i="159"/>
  <c r="R21" i="158"/>
  <c r="L26" i="158"/>
  <c r="F27" i="158"/>
  <c r="R28" i="158"/>
  <c r="J31" i="158"/>
  <c r="H32" i="158"/>
  <c r="J33" i="158"/>
  <c r="F37" i="158"/>
  <c r="R38" i="158"/>
  <c r="J40" i="158"/>
  <c r="V41" i="158"/>
  <c r="J43" i="158"/>
  <c r="R44" i="158"/>
  <c r="J72" i="158"/>
  <c r="L20" i="158"/>
  <c r="N28" i="158"/>
  <c r="L31" i="158"/>
  <c r="N32" i="158"/>
  <c r="F33" i="158"/>
  <c r="V33" i="158"/>
  <c r="N37" i="158"/>
  <c r="F39" i="158"/>
  <c r="R40" i="158"/>
  <c r="J42" i="158"/>
  <c r="R43" i="158"/>
  <c r="V44" i="158"/>
  <c r="F46" i="158"/>
  <c r="N46" i="158"/>
  <c r="V46" i="158"/>
  <c r="L53" i="158"/>
  <c r="R36" i="158"/>
  <c r="R46" i="158"/>
  <c r="R19" i="158"/>
  <c r="R26" i="158"/>
  <c r="R31" i="158"/>
  <c r="V32" i="158"/>
  <c r="H33" i="158"/>
  <c r="R33" i="158"/>
  <c r="J36" i="158"/>
  <c r="V37" i="158"/>
  <c r="N39" i="158"/>
  <c r="F41" i="158"/>
  <c r="R42" i="158"/>
  <c r="H44" i="158"/>
  <c r="J45" i="158"/>
  <c r="J52" i="158"/>
  <c r="J57" i="158"/>
  <c r="J74" i="158"/>
  <c r="J84" i="158"/>
  <c r="R114" i="197"/>
  <c r="R103" i="197"/>
  <c r="R101" i="197"/>
  <c r="R99" i="197"/>
  <c r="R95" i="197"/>
  <c r="R93" i="197"/>
  <c r="R91" i="197"/>
  <c r="R89" i="197"/>
  <c r="R87" i="197"/>
  <c r="R115" i="197"/>
  <c r="R113" i="197"/>
  <c r="R104" i="197"/>
  <c r="R100" i="197"/>
  <c r="R98" i="197"/>
  <c r="R96" i="197"/>
  <c r="R94" i="197"/>
  <c r="R92" i="197"/>
  <c r="R90" i="197"/>
  <c r="R88" i="197"/>
  <c r="R86" i="197"/>
  <c r="R84" i="197"/>
  <c r="R82" i="197"/>
  <c r="R81" i="197"/>
  <c r="R79" i="197"/>
  <c r="R77" i="197"/>
  <c r="R75" i="197"/>
  <c r="R73" i="197"/>
  <c r="R71" i="197"/>
  <c r="R69" i="197"/>
  <c r="R67" i="197"/>
  <c r="R65" i="197"/>
  <c r="R63" i="197"/>
  <c r="R83" i="197"/>
  <c r="R78" i="197"/>
  <c r="R74" i="197"/>
  <c r="R70" i="197"/>
  <c r="R66" i="197"/>
  <c r="R61" i="197"/>
  <c r="R59" i="197"/>
  <c r="R57" i="197"/>
  <c r="R55" i="197"/>
  <c r="R53" i="197"/>
  <c r="R45" i="197"/>
  <c r="R43" i="197"/>
  <c r="R41" i="197"/>
  <c r="R39" i="197"/>
  <c r="R37" i="197"/>
  <c r="R32" i="197"/>
  <c r="R27" i="197"/>
  <c r="R25" i="197"/>
  <c r="R23" i="197"/>
  <c r="R20" i="197"/>
  <c r="R80" i="197"/>
  <c r="R64" i="197"/>
  <c r="R58" i="197"/>
  <c r="R46" i="197"/>
  <c r="R42" i="197"/>
  <c r="R38" i="197"/>
  <c r="R19" i="197"/>
  <c r="R76" i="197"/>
  <c r="R56" i="197"/>
  <c r="R33" i="197"/>
  <c r="R21" i="197"/>
  <c r="R72" i="197"/>
  <c r="R54" i="197"/>
  <c r="R44" i="197"/>
  <c r="R40" i="197"/>
  <c r="R36" i="197"/>
  <c r="R28" i="197"/>
  <c r="R24" i="197"/>
  <c r="R26" i="197"/>
  <c r="R60" i="197"/>
  <c r="R31" i="197"/>
  <c r="R68" i="197"/>
  <c r="F23" i="197"/>
  <c r="J26" i="197"/>
  <c r="V27" i="197"/>
  <c r="N115" i="197"/>
  <c r="N113" i="197"/>
  <c r="N104" i="197"/>
  <c r="N100" i="197"/>
  <c r="N98" i="197"/>
  <c r="N96" i="197"/>
  <c r="N94" i="197"/>
  <c r="N92" i="197"/>
  <c r="N90" i="197"/>
  <c r="N88" i="197"/>
  <c r="N86" i="197"/>
  <c r="N114" i="197"/>
  <c r="N103" i="197"/>
  <c r="N101" i="197"/>
  <c r="N99" i="197"/>
  <c r="N95" i="197"/>
  <c r="N93" i="197"/>
  <c r="N91" i="197"/>
  <c r="N89" i="197"/>
  <c r="N87" i="197"/>
  <c r="N83" i="197"/>
  <c r="N80" i="197"/>
  <c r="N78" i="197"/>
  <c r="N76" i="197"/>
  <c r="N74" i="197"/>
  <c r="N72" i="197"/>
  <c r="N70" i="197"/>
  <c r="N68" i="197"/>
  <c r="N66" i="197"/>
  <c r="N64" i="197"/>
  <c r="N84" i="197"/>
  <c r="N79" i="197"/>
  <c r="N75" i="197"/>
  <c r="N71" i="197"/>
  <c r="N67" i="197"/>
  <c r="N63" i="197"/>
  <c r="N60" i="197"/>
  <c r="N58" i="197"/>
  <c r="N56" i="197"/>
  <c r="N54" i="197"/>
  <c r="N44" i="197"/>
  <c r="N42" i="197"/>
  <c r="N40" i="197"/>
  <c r="N38" i="197"/>
  <c r="N36" i="197"/>
  <c r="N31" i="197"/>
  <c r="N26" i="197"/>
  <c r="N24" i="197"/>
  <c r="N21" i="197"/>
  <c r="N19" i="197"/>
  <c r="N37" i="197"/>
  <c r="J38" i="197"/>
  <c r="F39" i="197"/>
  <c r="V39" i="197"/>
  <c r="N41" i="197"/>
  <c r="J42" i="197"/>
  <c r="F43" i="197"/>
  <c r="V43" i="197"/>
  <c r="N45" i="197"/>
  <c r="J46" i="197"/>
  <c r="F53" i="197"/>
  <c r="J56" i="197"/>
  <c r="V57" i="197"/>
  <c r="N59" i="197"/>
  <c r="F61" i="197"/>
  <c r="F63" i="197"/>
  <c r="N69" i="197"/>
  <c r="V75" i="197"/>
  <c r="F79" i="197"/>
  <c r="N82" i="197"/>
  <c r="F20" i="197"/>
  <c r="V25" i="197"/>
  <c r="J114" i="197"/>
  <c r="J103" i="197"/>
  <c r="J101" i="197"/>
  <c r="J99" i="197"/>
  <c r="J95" i="197"/>
  <c r="J93" i="197"/>
  <c r="J91" i="197"/>
  <c r="J89" i="197"/>
  <c r="J87" i="197"/>
  <c r="J115" i="197"/>
  <c r="J113" i="197"/>
  <c r="J104" i="197"/>
  <c r="J100" i="197"/>
  <c r="J98" i="197"/>
  <c r="J96" i="197"/>
  <c r="J94" i="197"/>
  <c r="J92" i="197"/>
  <c r="J90" i="197"/>
  <c r="J88" i="197"/>
  <c r="J86" i="197"/>
  <c r="J84" i="197"/>
  <c r="J82" i="197"/>
  <c r="J83" i="197"/>
  <c r="J81" i="197"/>
  <c r="J79" i="197"/>
  <c r="J77" i="197"/>
  <c r="J75" i="197"/>
  <c r="J73" i="197"/>
  <c r="J71" i="197"/>
  <c r="J69" i="197"/>
  <c r="J67" i="197"/>
  <c r="J65" i="197"/>
  <c r="J63" i="197"/>
  <c r="J80" i="197"/>
  <c r="J76" i="197"/>
  <c r="J72" i="197"/>
  <c r="J68" i="197"/>
  <c r="J64" i="197"/>
  <c r="J61" i="197"/>
  <c r="J59" i="197"/>
  <c r="J57" i="197"/>
  <c r="J55" i="197"/>
  <c r="J53" i="197"/>
  <c r="J45" i="197"/>
  <c r="J43" i="197"/>
  <c r="J41" i="197"/>
  <c r="J39" i="197"/>
  <c r="J37" i="197"/>
  <c r="J32" i="197"/>
  <c r="J27" i="197"/>
  <c r="J25" i="197"/>
  <c r="J23" i="197"/>
  <c r="J20" i="197"/>
  <c r="J31" i="197"/>
  <c r="F32" i="197"/>
  <c r="V32" i="197"/>
  <c r="F46" i="197"/>
  <c r="V46" i="197"/>
  <c r="N53" i="197"/>
  <c r="F55" i="197"/>
  <c r="J58" i="197"/>
  <c r="V59" i="197"/>
  <c r="N61" i="197"/>
  <c r="V63" i="197"/>
  <c r="J70" i="197"/>
  <c r="N73" i="197"/>
  <c r="J111" i="197"/>
  <c r="F115" i="197"/>
  <c r="F113" i="197"/>
  <c r="F104" i="197"/>
  <c r="F100" i="197"/>
  <c r="F98" i="197"/>
  <c r="F96" i="197"/>
  <c r="F94" i="197"/>
  <c r="F92" i="197"/>
  <c r="F90" i="197"/>
  <c r="F88" i="197"/>
  <c r="F86" i="197"/>
  <c r="F114" i="197"/>
  <c r="F103" i="197"/>
  <c r="F101" i="197"/>
  <c r="F99" i="197"/>
  <c r="F95" i="197"/>
  <c r="F93" i="197"/>
  <c r="F91" i="197"/>
  <c r="F89" i="197"/>
  <c r="F87" i="197"/>
  <c r="F83" i="197"/>
  <c r="F80" i="197"/>
  <c r="F78" i="197"/>
  <c r="F76" i="197"/>
  <c r="F74" i="197"/>
  <c r="F72" i="197"/>
  <c r="F70" i="197"/>
  <c r="F68" i="197"/>
  <c r="F66" i="197"/>
  <c r="F64" i="197"/>
  <c r="F82" i="197"/>
  <c r="F84" i="197"/>
  <c r="F81" i="197"/>
  <c r="F77" i="197"/>
  <c r="F73" i="197"/>
  <c r="F69" i="197"/>
  <c r="F65" i="197"/>
  <c r="F60" i="197"/>
  <c r="F58" i="197"/>
  <c r="F56" i="197"/>
  <c r="F54" i="197"/>
  <c r="F44" i="197"/>
  <c r="F42" i="197"/>
  <c r="F40" i="197"/>
  <c r="F38" i="197"/>
  <c r="F36" i="197"/>
  <c r="F31" i="197"/>
  <c r="F26" i="197"/>
  <c r="F24" i="197"/>
  <c r="F21" i="197"/>
  <c r="F19" i="197"/>
  <c r="V115" i="197"/>
  <c r="V113" i="197"/>
  <c r="V104" i="197"/>
  <c r="V100" i="197"/>
  <c r="V98" i="197"/>
  <c r="V96" i="197"/>
  <c r="V94" i="197"/>
  <c r="V92" i="197"/>
  <c r="V90" i="197"/>
  <c r="V88" i="197"/>
  <c r="V86" i="197"/>
  <c r="V114" i="197"/>
  <c r="V103" i="197"/>
  <c r="V101" i="197"/>
  <c r="V99" i="197"/>
  <c r="V97" i="197"/>
  <c r="V95" i="197"/>
  <c r="V93" i="197"/>
  <c r="V91" i="197"/>
  <c r="V89" i="197"/>
  <c r="V87" i="197"/>
  <c r="V85" i="197"/>
  <c r="V83" i="197"/>
  <c r="V81" i="197"/>
  <c r="V84" i="197"/>
  <c r="V80" i="197"/>
  <c r="V78" i="197"/>
  <c r="V76" i="197"/>
  <c r="V74" i="197"/>
  <c r="V72" i="197"/>
  <c r="V70" i="197"/>
  <c r="V68" i="197"/>
  <c r="V66" i="197"/>
  <c r="V64" i="197"/>
  <c r="V77" i="197"/>
  <c r="V73" i="197"/>
  <c r="V69" i="197"/>
  <c r="V65" i="197"/>
  <c r="V60" i="197"/>
  <c r="V58" i="197"/>
  <c r="V56" i="197"/>
  <c r="V54" i="197"/>
  <c r="V44" i="197"/>
  <c r="V42" i="197"/>
  <c r="V40" i="197"/>
  <c r="V38" i="197"/>
  <c r="V36" i="197"/>
  <c r="V31" i="197"/>
  <c r="V26" i="197"/>
  <c r="V24" i="197"/>
  <c r="V21" i="197"/>
  <c r="V19" i="197"/>
  <c r="V82" i="197"/>
  <c r="F37" i="197"/>
  <c r="V37" i="197"/>
  <c r="F41" i="197"/>
  <c r="V41" i="197"/>
  <c r="F45" i="197"/>
  <c r="V45" i="197"/>
  <c r="V53" i="197"/>
  <c r="F57" i="197"/>
  <c r="V61" i="197"/>
  <c r="V67" i="197"/>
  <c r="F71" i="197"/>
  <c r="D115" i="197"/>
  <c r="D113" i="197"/>
  <c r="D104" i="197"/>
  <c r="D100" i="197"/>
  <c r="D98" i="197"/>
  <c r="D96" i="197"/>
  <c r="D94" i="197"/>
  <c r="D92" i="197"/>
  <c r="D114" i="197"/>
  <c r="D88" i="197"/>
  <c r="D103" i="197"/>
  <c r="D95" i="197"/>
  <c r="D91" i="197"/>
  <c r="D87" i="197"/>
  <c r="D80" i="197"/>
  <c r="D78" i="197"/>
  <c r="D76" i="197"/>
  <c r="D74" i="197"/>
  <c r="D72" i="197"/>
  <c r="D70" i="197"/>
  <c r="D68" i="197"/>
  <c r="D66" i="197"/>
  <c r="D64" i="197"/>
  <c r="H114" i="197"/>
  <c r="H103" i="197"/>
  <c r="H101" i="197"/>
  <c r="H99" i="197"/>
  <c r="H95" i="197"/>
  <c r="H93" i="197"/>
  <c r="H100" i="197"/>
  <c r="H92" i="197"/>
  <c r="H91" i="197"/>
  <c r="H87" i="197"/>
  <c r="H82" i="197"/>
  <c r="H115" i="197"/>
  <c r="H98" i="197"/>
  <c r="H90" i="197"/>
  <c r="H86" i="197"/>
  <c r="H84" i="197"/>
  <c r="H83" i="197"/>
  <c r="H81" i="197"/>
  <c r="H79" i="197"/>
  <c r="H77" i="197"/>
  <c r="H75" i="197"/>
  <c r="H73" i="197"/>
  <c r="H71" i="197"/>
  <c r="H69" i="197"/>
  <c r="H67" i="197"/>
  <c r="H65" i="197"/>
  <c r="H63" i="197"/>
  <c r="L115" i="197"/>
  <c r="L113" i="197"/>
  <c r="L104" i="197"/>
  <c r="L100" i="197"/>
  <c r="L98" i="197"/>
  <c r="L96" i="197"/>
  <c r="L94" i="197"/>
  <c r="L92" i="197"/>
  <c r="L114" i="197"/>
  <c r="L103" i="197"/>
  <c r="L95" i="197"/>
  <c r="L90" i="197"/>
  <c r="L86" i="197"/>
  <c r="L84" i="197"/>
  <c r="L101" i="197"/>
  <c r="L93" i="197"/>
  <c r="L89" i="197"/>
  <c r="L80" i="197"/>
  <c r="L78" i="197"/>
  <c r="L76" i="197"/>
  <c r="L74" i="197"/>
  <c r="L72" i="197"/>
  <c r="L70" i="197"/>
  <c r="L68" i="197"/>
  <c r="L66" i="197"/>
  <c r="L64" i="197"/>
  <c r="P114" i="197"/>
  <c r="P103" i="197"/>
  <c r="P101" i="197"/>
  <c r="P99" i="197"/>
  <c r="P95" i="197"/>
  <c r="P93" i="197"/>
  <c r="P115" i="197"/>
  <c r="P98" i="197"/>
  <c r="P89" i="197"/>
  <c r="P113" i="197"/>
  <c r="P104" i="197"/>
  <c r="P96" i="197"/>
  <c r="P88" i="197"/>
  <c r="P82" i="197"/>
  <c r="P81" i="197"/>
  <c r="P79" i="197"/>
  <c r="P77" i="197"/>
  <c r="P75" i="197"/>
  <c r="P73" i="197"/>
  <c r="P71" i="197"/>
  <c r="P69" i="197"/>
  <c r="P67" i="197"/>
  <c r="P65" i="197"/>
  <c r="P63" i="197"/>
  <c r="T115" i="197"/>
  <c r="T113" i="197"/>
  <c r="T104" i="197"/>
  <c r="T100" i="197"/>
  <c r="T98" i="197"/>
  <c r="T96" i="197"/>
  <c r="T94" i="197"/>
  <c r="T92" i="197"/>
  <c r="T101" i="197"/>
  <c r="T93" i="197"/>
  <c r="T88" i="197"/>
  <c r="T83" i="197"/>
  <c r="T82" i="197"/>
  <c r="T99" i="197"/>
  <c r="T91" i="197"/>
  <c r="T87" i="197"/>
  <c r="T84" i="197"/>
  <c r="T80" i="197"/>
  <c r="T78" i="197"/>
  <c r="T76" i="197"/>
  <c r="T74" i="197"/>
  <c r="T72" i="197"/>
  <c r="T70" i="197"/>
  <c r="T68" i="197"/>
  <c r="T66" i="197"/>
  <c r="T64" i="197"/>
  <c r="D31" i="197"/>
  <c r="L31" i="197"/>
  <c r="T31" i="197"/>
  <c r="H32" i="197"/>
  <c r="P32" i="197"/>
  <c r="D36" i="197"/>
  <c r="L36" i="197"/>
  <c r="T36" i="197"/>
  <c r="H37" i="197"/>
  <c r="P37" i="197"/>
  <c r="D38" i="197"/>
  <c r="L38" i="197"/>
  <c r="T38" i="197"/>
  <c r="H39" i="197"/>
  <c r="P39" i="197"/>
  <c r="D40" i="197"/>
  <c r="L40" i="197"/>
  <c r="T40" i="197"/>
  <c r="H41" i="197"/>
  <c r="P41" i="197"/>
  <c r="D42" i="197"/>
  <c r="L42" i="197"/>
  <c r="T42" i="197"/>
  <c r="H43" i="197"/>
  <c r="P43" i="197"/>
  <c r="D44" i="197"/>
  <c r="L44" i="197"/>
  <c r="T44" i="197"/>
  <c r="H45" i="197"/>
  <c r="P45" i="197"/>
  <c r="H53" i="197"/>
  <c r="P53" i="197"/>
  <c r="D54" i="197"/>
  <c r="L54" i="197"/>
  <c r="T54" i="197"/>
  <c r="H55" i="197"/>
  <c r="P55" i="197"/>
  <c r="D56" i="197"/>
  <c r="L56" i="197"/>
  <c r="T56" i="197"/>
  <c r="H57" i="197"/>
  <c r="P57" i="197"/>
  <c r="D58" i="197"/>
  <c r="L58" i="197"/>
  <c r="T58" i="197"/>
  <c r="H59" i="197"/>
  <c r="P59" i="197"/>
  <c r="D60" i="197"/>
  <c r="L60" i="197"/>
  <c r="T60" i="197"/>
  <c r="H61" i="197"/>
  <c r="P61" i="197"/>
  <c r="L63" i="197"/>
  <c r="H64" i="197"/>
  <c r="D65" i="197"/>
  <c r="T65" i="197"/>
  <c r="P66" i="197"/>
  <c r="L67" i="197"/>
  <c r="H68" i="197"/>
  <c r="D69" i="197"/>
  <c r="T69" i="197"/>
  <c r="P70" i="197"/>
  <c r="L71" i="197"/>
  <c r="H72" i="197"/>
  <c r="D73" i="197"/>
  <c r="T73" i="197"/>
  <c r="P74" i="197"/>
  <c r="L75" i="197"/>
  <c r="H76" i="197"/>
  <c r="D77" i="197"/>
  <c r="T77" i="197"/>
  <c r="P78" i="197"/>
  <c r="L79" i="197"/>
  <c r="H80" i="197"/>
  <c r="D81" i="197"/>
  <c r="T81" i="197"/>
  <c r="D84" i="197"/>
  <c r="P86" i="197"/>
  <c r="H88" i="197"/>
  <c r="T89" i="197"/>
  <c r="L91" i="197"/>
  <c r="H94" i="197"/>
  <c r="P100" i="197"/>
  <c r="T103" i="197"/>
  <c r="D111" i="197"/>
  <c r="L111" i="197"/>
  <c r="T111" i="197"/>
  <c r="H113" i="197"/>
  <c r="D28" i="197"/>
  <c r="H28" i="197"/>
  <c r="L28" i="197"/>
  <c r="P28" i="197"/>
  <c r="T28" i="197"/>
  <c r="D82" i="197"/>
  <c r="D83" i="197"/>
  <c r="T86" i="197"/>
  <c r="L88" i="197"/>
  <c r="D90" i="197"/>
  <c r="P91" i="197"/>
  <c r="P94" i="197"/>
  <c r="D101" i="197"/>
  <c r="H104" i="197"/>
  <c r="T114" i="197"/>
  <c r="D53" i="197"/>
  <c r="L53" i="197"/>
  <c r="T53" i="197"/>
  <c r="H54" i="197"/>
  <c r="P54" i="197"/>
  <c r="D55" i="197"/>
  <c r="L55" i="197"/>
  <c r="T55" i="197"/>
  <c r="H56" i="197"/>
  <c r="P56" i="197"/>
  <c r="D57" i="197"/>
  <c r="L57" i="197"/>
  <c r="T57" i="197"/>
  <c r="H58" i="197"/>
  <c r="P58" i="197"/>
  <c r="D59" i="197"/>
  <c r="L59" i="197"/>
  <c r="T59" i="197"/>
  <c r="H60" i="197"/>
  <c r="P60" i="197"/>
  <c r="D61" i="197"/>
  <c r="L61" i="197"/>
  <c r="T61" i="197"/>
  <c r="D63" i="197"/>
  <c r="T63" i="197"/>
  <c r="P64" i="197"/>
  <c r="L65" i="197"/>
  <c r="H66" i="197"/>
  <c r="D67" i="197"/>
  <c r="T67" i="197"/>
  <c r="P68" i="197"/>
  <c r="L69" i="197"/>
  <c r="H70" i="197"/>
  <c r="D71" i="197"/>
  <c r="T71" i="197"/>
  <c r="P72" i="197"/>
  <c r="L73" i="197"/>
  <c r="H74" i="197"/>
  <c r="D75" i="197"/>
  <c r="T75" i="197"/>
  <c r="P76" i="197"/>
  <c r="L77" i="197"/>
  <c r="H78" i="197"/>
  <c r="D79" i="197"/>
  <c r="T79" i="197"/>
  <c r="P80" i="197"/>
  <c r="L81" i="197"/>
  <c r="L82" i="197"/>
  <c r="L83" i="197"/>
  <c r="L87" i="197"/>
  <c r="D89" i="197"/>
  <c r="P90" i="197"/>
  <c r="P92" i="197"/>
  <c r="T95" i="197"/>
  <c r="D99" i="197"/>
  <c r="F111" i="197"/>
  <c r="N111" i="197"/>
  <c r="V111" i="197"/>
  <c r="H111" i="197"/>
  <c r="P111" i="197"/>
  <c r="R111" i="197"/>
  <c r="D115" i="195"/>
  <c r="D113" i="195"/>
  <c r="D97" i="195"/>
  <c r="D95" i="195"/>
  <c r="D36" i="195"/>
  <c r="D38" i="195"/>
  <c r="D40" i="195"/>
  <c r="D42" i="195"/>
  <c r="D44" i="195"/>
  <c r="D59" i="195"/>
  <c r="D91" i="195"/>
  <c r="D28" i="195"/>
  <c r="D114" i="195"/>
  <c r="V21" i="194"/>
  <c r="L111" i="194"/>
  <c r="L113" i="194"/>
  <c r="L43" i="194"/>
  <c r="L42" i="194"/>
  <c r="L25" i="194"/>
  <c r="L24" i="194"/>
  <c r="L41" i="194"/>
  <c r="L45" i="194"/>
  <c r="L44" i="194"/>
  <c r="L37" i="194"/>
  <c r="L36" i="194"/>
  <c r="L27" i="194"/>
  <c r="L26" i="194"/>
  <c r="L115" i="194"/>
  <c r="L114" i="194"/>
  <c r="L39" i="194"/>
  <c r="L38" i="194"/>
  <c r="L28" i="194"/>
  <c r="L20" i="194"/>
  <c r="L19" i="194"/>
  <c r="L40" i="194"/>
  <c r="V115" i="194"/>
  <c r="V113" i="194"/>
  <c r="V96" i="194"/>
  <c r="V94" i="194"/>
  <c r="V82" i="194"/>
  <c r="V80" i="194"/>
  <c r="V74" i="194"/>
  <c r="V72" i="194"/>
  <c r="V62" i="194"/>
  <c r="V60" i="194"/>
  <c r="V58" i="194"/>
  <c r="V95" i="194"/>
  <c r="V87" i="194"/>
  <c r="V79" i="194"/>
  <c r="V71" i="194"/>
  <c r="V45" i="194"/>
  <c r="V43" i="194"/>
  <c r="V41" i="194"/>
  <c r="V39" i="194"/>
  <c r="V37" i="194"/>
  <c r="V32" i="194"/>
  <c r="V28" i="194"/>
  <c r="V27" i="194"/>
  <c r="V25" i="194"/>
  <c r="V23" i="194"/>
  <c r="V20" i="194"/>
  <c r="V97" i="194"/>
  <c r="V89" i="194"/>
  <c r="V73" i="194"/>
  <c r="V114" i="194"/>
  <c r="V91" i="194"/>
  <c r="V53" i="194"/>
  <c r="V42" i="194"/>
  <c r="V24" i="194"/>
  <c r="V61" i="194"/>
  <c r="V46" i="194"/>
  <c r="V40" i="194"/>
  <c r="V93" i="194"/>
  <c r="V57" i="194"/>
  <c r="V44" i="194"/>
  <c r="V36" i="194"/>
  <c r="V26" i="194"/>
  <c r="V38" i="194"/>
  <c r="V19" i="194"/>
  <c r="V69" i="194"/>
  <c r="L21" i="194"/>
  <c r="F115" i="194"/>
  <c r="F113" i="194"/>
  <c r="F114" i="194"/>
  <c r="F45" i="194"/>
  <c r="F43" i="194"/>
  <c r="F41" i="194"/>
  <c r="F39" i="194"/>
  <c r="F37" i="194"/>
  <c r="F32" i="194"/>
  <c r="F28" i="194"/>
  <c r="F27" i="194"/>
  <c r="F25" i="194"/>
  <c r="F23" i="194"/>
  <c r="F20" i="194"/>
  <c r="F38" i="194"/>
  <c r="F19" i="194"/>
  <c r="F40" i="194"/>
  <c r="F21" i="194"/>
  <c r="F42" i="194"/>
  <c r="F24" i="194"/>
  <c r="F44" i="194"/>
  <c r="F36" i="194"/>
  <c r="H112" i="194"/>
  <c r="H111" i="194"/>
  <c r="H115" i="194"/>
  <c r="R114" i="194"/>
  <c r="R115" i="194"/>
  <c r="R44" i="194"/>
  <c r="R42" i="194"/>
  <c r="R40" i="194"/>
  <c r="R38" i="194"/>
  <c r="R36" i="194"/>
  <c r="R28" i="194"/>
  <c r="R26" i="194"/>
  <c r="R24" i="194"/>
  <c r="R21" i="194"/>
  <c r="R19" i="194"/>
  <c r="H36" i="194"/>
  <c r="H43" i="194"/>
  <c r="R43" i="194"/>
  <c r="H44" i="194"/>
  <c r="R111" i="194"/>
  <c r="F112" i="194"/>
  <c r="P20" i="194"/>
  <c r="P21" i="194"/>
  <c r="H23" i="194"/>
  <c r="R23" i="194"/>
  <c r="H24" i="194"/>
  <c r="J25" i="194"/>
  <c r="D112" i="194"/>
  <c r="D111" i="194"/>
  <c r="D113" i="194"/>
  <c r="D115" i="194"/>
  <c r="D114" i="194"/>
  <c r="H28" i="194"/>
  <c r="N115" i="194"/>
  <c r="N113" i="194"/>
  <c r="N45" i="194"/>
  <c r="N43" i="194"/>
  <c r="N41" i="194"/>
  <c r="N39" i="194"/>
  <c r="N37" i="194"/>
  <c r="N32" i="194"/>
  <c r="N28" i="194"/>
  <c r="N27" i="194"/>
  <c r="N25" i="194"/>
  <c r="N23" i="194"/>
  <c r="N20" i="194"/>
  <c r="N114" i="194"/>
  <c r="T112" i="194"/>
  <c r="T111" i="194"/>
  <c r="H32" i="194"/>
  <c r="R32" i="194"/>
  <c r="D38" i="194"/>
  <c r="N38" i="194"/>
  <c r="D39" i="194"/>
  <c r="P39" i="194"/>
  <c r="P40" i="194"/>
  <c r="H41" i="194"/>
  <c r="R41" i="194"/>
  <c r="H42" i="194"/>
  <c r="T42" i="194"/>
  <c r="J43" i="194"/>
  <c r="T43" i="194"/>
  <c r="N46" i="194"/>
  <c r="R113" i="194"/>
  <c r="T114" i="194"/>
  <c r="T115" i="194"/>
  <c r="F46" i="194"/>
  <c r="H20" i="194"/>
  <c r="R20" i="194"/>
  <c r="H21" i="194"/>
  <c r="J114" i="194"/>
  <c r="J44" i="194"/>
  <c r="J42" i="194"/>
  <c r="J40" i="194"/>
  <c r="J38" i="194"/>
  <c r="J36" i="194"/>
  <c r="J28" i="194"/>
  <c r="J26" i="194"/>
  <c r="J24" i="194"/>
  <c r="J21" i="194"/>
  <c r="J19" i="194"/>
  <c r="P111" i="194"/>
  <c r="P114" i="194"/>
  <c r="P113" i="194"/>
  <c r="P115" i="194"/>
  <c r="J32" i="194"/>
  <c r="P37" i="194"/>
  <c r="P38" i="194"/>
  <c r="H39" i="194"/>
  <c r="R39" i="194"/>
  <c r="H40" i="194"/>
  <c r="J41" i="194"/>
  <c r="P45" i="194"/>
  <c r="J46" i="194"/>
  <c r="P46" i="194"/>
  <c r="J111" i="194"/>
  <c r="T113" i="194"/>
  <c r="T46" i="194"/>
  <c r="F111" i="194"/>
  <c r="V111" i="194"/>
  <c r="D115" i="193"/>
  <c r="D113" i="193"/>
  <c r="D114" i="193"/>
  <c r="L115" i="193"/>
  <c r="L113" i="193"/>
  <c r="L114" i="193"/>
  <c r="T115" i="193"/>
  <c r="T113" i="193"/>
  <c r="D36" i="193"/>
  <c r="T36" i="193"/>
  <c r="P37" i="193"/>
  <c r="L38" i="193"/>
  <c r="H39" i="193"/>
  <c r="D40" i="193"/>
  <c r="T40" i="193"/>
  <c r="P41" i="193"/>
  <c r="L42" i="193"/>
  <c r="H43" i="193"/>
  <c r="L44" i="193"/>
  <c r="H45" i="193"/>
  <c r="P45" i="193"/>
  <c r="D28" i="193"/>
  <c r="H28" i="193"/>
  <c r="L28" i="193"/>
  <c r="P28" i="193"/>
  <c r="T28" i="193"/>
  <c r="D111" i="193"/>
  <c r="L111" i="193"/>
  <c r="T111" i="193"/>
  <c r="H114" i="193"/>
  <c r="H115" i="193"/>
  <c r="P114" i="193"/>
  <c r="P115" i="193"/>
  <c r="P113" i="193"/>
  <c r="H32" i="193"/>
  <c r="P32" i="193"/>
  <c r="L36" i="193"/>
  <c r="H37" i="193"/>
  <c r="D38" i="193"/>
  <c r="T38" i="193"/>
  <c r="P39" i="193"/>
  <c r="L40" i="193"/>
  <c r="H41" i="193"/>
  <c r="D42" i="193"/>
  <c r="T42" i="193"/>
  <c r="P43" i="193"/>
  <c r="D44" i="193"/>
  <c r="T44" i="193"/>
  <c r="H19" i="193"/>
  <c r="P19" i="193"/>
  <c r="D20" i="193"/>
  <c r="L20" i="193"/>
  <c r="T20" i="193"/>
  <c r="H21" i="193"/>
  <c r="P21" i="193"/>
  <c r="D23" i="193"/>
  <c r="L23" i="193"/>
  <c r="T23" i="193"/>
  <c r="H24" i="193"/>
  <c r="P24" i="193"/>
  <c r="D25" i="193"/>
  <c r="L25" i="193"/>
  <c r="T25" i="193"/>
  <c r="H26" i="193"/>
  <c r="P26" i="193"/>
  <c r="D27" i="193"/>
  <c r="L27" i="193"/>
  <c r="T27" i="193"/>
  <c r="F115" i="193"/>
  <c r="F113" i="193"/>
  <c r="F114" i="193"/>
  <c r="J114" i="193"/>
  <c r="J115" i="193"/>
  <c r="J113" i="193"/>
  <c r="N115" i="193"/>
  <c r="N113" i="193"/>
  <c r="N114" i="193"/>
  <c r="R114" i="193"/>
  <c r="R115" i="193"/>
  <c r="R113" i="193"/>
  <c r="V115" i="193"/>
  <c r="V113" i="193"/>
  <c r="V96" i="193"/>
  <c r="V94" i="193"/>
  <c r="V114" i="193"/>
  <c r="V97" i="193"/>
  <c r="V95" i="193"/>
  <c r="V93" i="193"/>
  <c r="V87" i="193"/>
  <c r="V81" i="193"/>
  <c r="V79" i="193"/>
  <c r="V71" i="193"/>
  <c r="D32" i="193"/>
  <c r="L32" i="193"/>
  <c r="T32" i="193"/>
  <c r="H36" i="193"/>
  <c r="P36" i="193"/>
  <c r="D37" i="193"/>
  <c r="L37" i="193"/>
  <c r="T37" i="193"/>
  <c r="H38" i="193"/>
  <c r="P38" i="193"/>
  <c r="D39" i="193"/>
  <c r="L39" i="193"/>
  <c r="T39" i="193"/>
  <c r="H40" i="193"/>
  <c r="P40" i="193"/>
  <c r="D41" i="193"/>
  <c r="L41" i="193"/>
  <c r="T41" i="193"/>
  <c r="H42" i="193"/>
  <c r="P42" i="193"/>
  <c r="D43" i="193"/>
  <c r="L43" i="193"/>
  <c r="T43" i="193"/>
  <c r="H44" i="193"/>
  <c r="P44" i="193"/>
  <c r="D45" i="193"/>
  <c r="L45" i="193"/>
  <c r="T45" i="193"/>
  <c r="T114" i="193"/>
  <c r="F27" i="193"/>
  <c r="N27" i="193"/>
  <c r="V27" i="193"/>
  <c r="F28" i="193"/>
  <c r="J28" i="193"/>
  <c r="N28" i="193"/>
  <c r="R28" i="193"/>
  <c r="V28" i="193"/>
  <c r="F32" i="193"/>
  <c r="N32" i="193"/>
  <c r="V32" i="193"/>
  <c r="J36" i="193"/>
  <c r="R36" i="193"/>
  <c r="F37" i="193"/>
  <c r="N37" i="193"/>
  <c r="V37" i="193"/>
  <c r="J38" i="193"/>
  <c r="R38" i="193"/>
  <c r="F39" i="193"/>
  <c r="N39" i="193"/>
  <c r="V39" i="193"/>
  <c r="J40" i="193"/>
  <c r="R40" i="193"/>
  <c r="F41" i="193"/>
  <c r="N41" i="193"/>
  <c r="V41" i="193"/>
  <c r="J42" i="193"/>
  <c r="R42" i="193"/>
  <c r="F43" i="193"/>
  <c r="N43" i="193"/>
  <c r="V43" i="193"/>
  <c r="J44" i="193"/>
  <c r="R44" i="193"/>
  <c r="F45" i="193"/>
  <c r="N45" i="193"/>
  <c r="V45" i="193"/>
  <c r="V61" i="193"/>
  <c r="F111" i="193"/>
  <c r="N111" i="193"/>
  <c r="V111" i="193"/>
  <c r="H111" i="193"/>
  <c r="P111" i="193"/>
  <c r="J111" i="193"/>
  <c r="R111" i="193"/>
  <c r="D114" i="175"/>
  <c r="D113" i="175"/>
  <c r="D45" i="175"/>
  <c r="D43" i="175"/>
  <c r="D41" i="175"/>
  <c r="D39" i="175"/>
  <c r="D37" i="175"/>
  <c r="D115" i="175"/>
  <c r="H115" i="175"/>
  <c r="H113" i="175"/>
  <c r="H44" i="175"/>
  <c r="H42" i="175"/>
  <c r="H40" i="175"/>
  <c r="H38" i="175"/>
  <c r="H36" i="175"/>
  <c r="H114" i="175"/>
  <c r="L114" i="175"/>
  <c r="L115" i="175"/>
  <c r="L45" i="175"/>
  <c r="L43" i="175"/>
  <c r="L41" i="175"/>
  <c r="L39" i="175"/>
  <c r="L37" i="175"/>
  <c r="L113" i="175"/>
  <c r="P115" i="175"/>
  <c r="P113" i="175"/>
  <c r="P114" i="175"/>
  <c r="P44" i="175"/>
  <c r="P42" i="175"/>
  <c r="P40" i="175"/>
  <c r="P38" i="175"/>
  <c r="P36" i="175"/>
  <c r="T114" i="175"/>
  <c r="T113" i="175"/>
  <c r="T45" i="175"/>
  <c r="T43" i="175"/>
  <c r="T41" i="175"/>
  <c r="T39" i="175"/>
  <c r="T37" i="175"/>
  <c r="T115" i="175"/>
  <c r="D31" i="175"/>
  <c r="L31" i="175"/>
  <c r="T31" i="175"/>
  <c r="H32" i="175"/>
  <c r="P32" i="175"/>
  <c r="H33" i="175"/>
  <c r="D36" i="175"/>
  <c r="T36" i="175"/>
  <c r="P37" i="175"/>
  <c r="L38" i="175"/>
  <c r="H39" i="175"/>
  <c r="D40" i="175"/>
  <c r="T40" i="175"/>
  <c r="P41" i="175"/>
  <c r="L42" i="175"/>
  <c r="H43" i="175"/>
  <c r="D44" i="175"/>
  <c r="T44" i="175"/>
  <c r="P45" i="175"/>
  <c r="F46" i="175"/>
  <c r="L46" i="175"/>
  <c r="V46" i="175"/>
  <c r="F114" i="175"/>
  <c r="F115" i="175"/>
  <c r="F44" i="175"/>
  <c r="F42" i="175"/>
  <c r="F40" i="175"/>
  <c r="F38" i="175"/>
  <c r="F36" i="175"/>
  <c r="J115" i="175"/>
  <c r="J113" i="175"/>
  <c r="J114" i="175"/>
  <c r="J45" i="175"/>
  <c r="J43" i="175"/>
  <c r="J41" i="175"/>
  <c r="J39" i="175"/>
  <c r="J37" i="175"/>
  <c r="N114" i="175"/>
  <c r="N113" i="175"/>
  <c r="N44" i="175"/>
  <c r="N42" i="175"/>
  <c r="N40" i="175"/>
  <c r="N38" i="175"/>
  <c r="N36" i="175"/>
  <c r="R115" i="175"/>
  <c r="R113" i="175"/>
  <c r="R45" i="175"/>
  <c r="R43" i="175"/>
  <c r="R41" i="175"/>
  <c r="R39" i="175"/>
  <c r="R37" i="175"/>
  <c r="V114" i="175"/>
  <c r="V115" i="175"/>
  <c r="V44" i="175"/>
  <c r="V42" i="175"/>
  <c r="V40" i="175"/>
  <c r="V38" i="175"/>
  <c r="V36" i="175"/>
  <c r="L36" i="175"/>
  <c r="H37" i="175"/>
  <c r="D38" i="175"/>
  <c r="T38" i="175"/>
  <c r="P39" i="175"/>
  <c r="L40" i="175"/>
  <c r="H41" i="175"/>
  <c r="D42" i="175"/>
  <c r="T42" i="175"/>
  <c r="P43" i="175"/>
  <c r="L44" i="175"/>
  <c r="H45" i="175"/>
  <c r="D46" i="175"/>
  <c r="N46" i="175"/>
  <c r="T46" i="175"/>
  <c r="N115" i="175"/>
  <c r="D28" i="174"/>
  <c r="H28" i="174"/>
  <c r="L28" i="174"/>
  <c r="P28" i="174"/>
  <c r="T28" i="174"/>
  <c r="P37" i="174"/>
  <c r="L38" i="174"/>
  <c r="H39" i="174"/>
  <c r="D40" i="174"/>
  <c r="T40" i="174"/>
  <c r="P41" i="174"/>
  <c r="L42" i="174"/>
  <c r="H43" i="174"/>
  <c r="L44" i="174"/>
  <c r="D46" i="174"/>
  <c r="L46" i="174"/>
  <c r="T46" i="174"/>
  <c r="D115" i="174"/>
  <c r="D113" i="174"/>
  <c r="D114" i="174"/>
  <c r="D45" i="174"/>
  <c r="D43" i="174"/>
  <c r="D41" i="174"/>
  <c r="D39" i="174"/>
  <c r="D37" i="174"/>
  <c r="L115" i="174"/>
  <c r="L113" i="174"/>
  <c r="L114" i="174"/>
  <c r="L45" i="174"/>
  <c r="L43" i="174"/>
  <c r="L41" i="174"/>
  <c r="L39" i="174"/>
  <c r="L37" i="174"/>
  <c r="T115" i="174"/>
  <c r="T113" i="174"/>
  <c r="T114" i="174"/>
  <c r="T45" i="174"/>
  <c r="T43" i="174"/>
  <c r="T41" i="174"/>
  <c r="T39" i="174"/>
  <c r="T37" i="174"/>
  <c r="L31" i="174"/>
  <c r="H32" i="174"/>
  <c r="L36" i="174"/>
  <c r="D44" i="174"/>
  <c r="H19" i="174"/>
  <c r="P19" i="174"/>
  <c r="D20" i="174"/>
  <c r="L20" i="174"/>
  <c r="T20" i="174"/>
  <c r="H21" i="174"/>
  <c r="P21" i="174"/>
  <c r="D25" i="174"/>
  <c r="L25" i="174"/>
  <c r="T25" i="174"/>
  <c r="H26" i="174"/>
  <c r="P26" i="174"/>
  <c r="D27" i="174"/>
  <c r="L27" i="174"/>
  <c r="T27" i="174"/>
  <c r="F115" i="174"/>
  <c r="F113" i="174"/>
  <c r="F114" i="174"/>
  <c r="F46" i="174"/>
  <c r="F45" i="174"/>
  <c r="F44" i="174"/>
  <c r="F42" i="174"/>
  <c r="F40" i="174"/>
  <c r="F38" i="174"/>
  <c r="J114" i="174"/>
  <c r="J115" i="174"/>
  <c r="J113" i="174"/>
  <c r="J46" i="174"/>
  <c r="J44" i="174"/>
  <c r="J45" i="174"/>
  <c r="J43" i="174"/>
  <c r="J41" i="174"/>
  <c r="J39" i="174"/>
  <c r="J37" i="174"/>
  <c r="N115" i="174"/>
  <c r="N113" i="174"/>
  <c r="N114" i="174"/>
  <c r="N46" i="174"/>
  <c r="N45" i="174"/>
  <c r="N44" i="174"/>
  <c r="N42" i="174"/>
  <c r="N40" i="174"/>
  <c r="N38" i="174"/>
  <c r="R114" i="174"/>
  <c r="R115" i="174"/>
  <c r="R113" i="174"/>
  <c r="R46" i="174"/>
  <c r="R44" i="174"/>
  <c r="R45" i="174"/>
  <c r="R43" i="174"/>
  <c r="R41" i="174"/>
  <c r="R39" i="174"/>
  <c r="R37" i="174"/>
  <c r="V115" i="174"/>
  <c r="V113" i="174"/>
  <c r="V94" i="174"/>
  <c r="V114" i="174"/>
  <c r="V89" i="174"/>
  <c r="V46" i="174"/>
  <c r="V45" i="174"/>
  <c r="V43" i="174"/>
  <c r="V60" i="174"/>
  <c r="V44" i="174"/>
  <c r="V42" i="174"/>
  <c r="V40" i="174"/>
  <c r="V38" i="174"/>
  <c r="H31" i="174"/>
  <c r="P31" i="174"/>
  <c r="D32" i="174"/>
  <c r="L32" i="174"/>
  <c r="T32" i="174"/>
  <c r="H36" i="174"/>
  <c r="P36" i="174"/>
  <c r="F37" i="174"/>
  <c r="V37" i="174"/>
  <c r="R38" i="174"/>
  <c r="N39" i="174"/>
  <c r="J40" i="174"/>
  <c r="F41" i="174"/>
  <c r="V41" i="174"/>
  <c r="R42" i="174"/>
  <c r="N43" i="174"/>
  <c r="T44" i="174"/>
  <c r="H114" i="174"/>
  <c r="H115" i="174"/>
  <c r="H44" i="174"/>
  <c r="H42" i="174"/>
  <c r="H40" i="174"/>
  <c r="H38" i="174"/>
  <c r="H113" i="174"/>
  <c r="P114" i="174"/>
  <c r="P115" i="174"/>
  <c r="P113" i="174"/>
  <c r="P44" i="174"/>
  <c r="P42" i="174"/>
  <c r="P40" i="174"/>
  <c r="P38" i="174"/>
  <c r="D31" i="174"/>
  <c r="T31" i="174"/>
  <c r="P32" i="174"/>
  <c r="D36" i="174"/>
  <c r="T36" i="174"/>
  <c r="P45" i="174"/>
  <c r="J36" i="174"/>
  <c r="R36" i="174"/>
  <c r="H37" i="174"/>
  <c r="D38" i="174"/>
  <c r="T38" i="174"/>
  <c r="P39" i="174"/>
  <c r="L40" i="174"/>
  <c r="H41" i="174"/>
  <c r="D42" i="174"/>
  <c r="T42" i="174"/>
  <c r="P43" i="174"/>
  <c r="H45" i="174"/>
  <c r="H46" i="174"/>
  <c r="P46" i="174"/>
  <c r="R21" i="173"/>
  <c r="N27" i="173"/>
  <c r="J114" i="173"/>
  <c r="J115" i="173"/>
  <c r="J45" i="173"/>
  <c r="J43" i="173"/>
  <c r="J41" i="173"/>
  <c r="J39" i="173"/>
  <c r="J37" i="173"/>
  <c r="J32" i="173"/>
  <c r="J27" i="173"/>
  <c r="J25" i="173"/>
  <c r="J20" i="173"/>
  <c r="J113" i="173"/>
  <c r="N28" i="173"/>
  <c r="J31" i="173"/>
  <c r="V52" i="173"/>
  <c r="R114" i="173"/>
  <c r="R113" i="173"/>
  <c r="R45" i="173"/>
  <c r="R43" i="173"/>
  <c r="R41" i="173"/>
  <c r="R39" i="173"/>
  <c r="R37" i="173"/>
  <c r="R32" i="173"/>
  <c r="R27" i="173"/>
  <c r="R25" i="173"/>
  <c r="R20" i="173"/>
  <c r="R31" i="173"/>
  <c r="N115" i="173"/>
  <c r="N113" i="173"/>
  <c r="N114" i="173"/>
  <c r="N44" i="173"/>
  <c r="N42" i="173"/>
  <c r="N40" i="173"/>
  <c r="N38" i="173"/>
  <c r="N36" i="173"/>
  <c r="N31" i="173"/>
  <c r="N26" i="173"/>
  <c r="N21" i="173"/>
  <c r="N19" i="173"/>
  <c r="R28" i="173"/>
  <c r="R36" i="173"/>
  <c r="N37" i="173"/>
  <c r="R40" i="173"/>
  <c r="N41" i="173"/>
  <c r="R44" i="173"/>
  <c r="N45" i="173"/>
  <c r="R19" i="173"/>
  <c r="J21" i="173"/>
  <c r="N25" i="173"/>
  <c r="F115" i="173"/>
  <c r="F113" i="173"/>
  <c r="F44" i="173"/>
  <c r="F42" i="173"/>
  <c r="F40" i="173"/>
  <c r="F38" i="173"/>
  <c r="F36" i="173"/>
  <c r="F31" i="173"/>
  <c r="F26" i="173"/>
  <c r="F21" i="173"/>
  <c r="F19" i="173"/>
  <c r="J28" i="173"/>
  <c r="V115" i="173"/>
  <c r="V113" i="173"/>
  <c r="V89" i="173"/>
  <c r="V44" i="173"/>
  <c r="V42" i="173"/>
  <c r="V40" i="173"/>
  <c r="V38" i="173"/>
  <c r="V36" i="173"/>
  <c r="V31" i="173"/>
  <c r="V26" i="173"/>
  <c r="V21" i="173"/>
  <c r="V19" i="173"/>
  <c r="V114" i="173"/>
  <c r="V95" i="173"/>
  <c r="V57" i="173"/>
  <c r="V73" i="173"/>
  <c r="V60" i="173"/>
  <c r="J36" i="173"/>
  <c r="F37" i="173"/>
  <c r="V37" i="173"/>
  <c r="R38" i="173"/>
  <c r="N39" i="173"/>
  <c r="J40" i="173"/>
  <c r="F41" i="173"/>
  <c r="V41" i="173"/>
  <c r="R42" i="173"/>
  <c r="N43" i="173"/>
  <c r="J44" i="173"/>
  <c r="F45" i="173"/>
  <c r="V45" i="173"/>
  <c r="D115" i="173"/>
  <c r="D113" i="173"/>
  <c r="H114" i="173"/>
  <c r="H115" i="173"/>
  <c r="L115" i="173"/>
  <c r="L113" i="173"/>
  <c r="L114" i="173"/>
  <c r="P114" i="173"/>
  <c r="P113" i="173"/>
  <c r="T115" i="173"/>
  <c r="T113" i="173"/>
  <c r="L31" i="173"/>
  <c r="T31" i="173"/>
  <c r="H32" i="173"/>
  <c r="P32" i="173"/>
  <c r="D36" i="173"/>
  <c r="L36" i="173"/>
  <c r="T36" i="173"/>
  <c r="H37" i="173"/>
  <c r="P37" i="173"/>
  <c r="D38" i="173"/>
  <c r="L38" i="173"/>
  <c r="T38" i="173"/>
  <c r="H39" i="173"/>
  <c r="P39" i="173"/>
  <c r="D40" i="173"/>
  <c r="L40" i="173"/>
  <c r="T40" i="173"/>
  <c r="H41" i="173"/>
  <c r="P41" i="173"/>
  <c r="D42" i="173"/>
  <c r="L42" i="173"/>
  <c r="T42" i="173"/>
  <c r="H43" i="173"/>
  <c r="P43" i="173"/>
  <c r="D44" i="173"/>
  <c r="L44" i="173"/>
  <c r="T44" i="173"/>
  <c r="H45" i="173"/>
  <c r="P45" i="173"/>
  <c r="D28" i="173"/>
  <c r="H28" i="173"/>
  <c r="L28" i="173"/>
  <c r="P28" i="173"/>
  <c r="T28" i="173"/>
  <c r="T112" i="173"/>
  <c r="D114" i="173"/>
  <c r="P115" i="173"/>
  <c r="N115" i="172"/>
  <c r="N113" i="172"/>
  <c r="N114" i="172"/>
  <c r="J114" i="172"/>
  <c r="J115" i="172"/>
  <c r="J113" i="172"/>
  <c r="V115" i="172"/>
  <c r="V113" i="172"/>
  <c r="V94" i="172"/>
  <c r="V114" i="172"/>
  <c r="V93" i="172"/>
  <c r="V82" i="172"/>
  <c r="J19" i="172"/>
  <c r="R19" i="172"/>
  <c r="F20" i="172"/>
  <c r="N20" i="172"/>
  <c r="V20" i="172"/>
  <c r="J21" i="172"/>
  <c r="R21" i="172"/>
  <c r="F25" i="172"/>
  <c r="N25" i="172"/>
  <c r="V25" i="172"/>
  <c r="J26" i="172"/>
  <c r="R26" i="172"/>
  <c r="F27" i="172"/>
  <c r="N27" i="172"/>
  <c r="V27" i="172"/>
  <c r="F28" i="172"/>
  <c r="J28" i="172"/>
  <c r="N28" i="172"/>
  <c r="R28" i="172"/>
  <c r="V28" i="172"/>
  <c r="J31" i="172"/>
  <c r="R31" i="172"/>
  <c r="F32" i="172"/>
  <c r="N32" i="172"/>
  <c r="V32" i="172"/>
  <c r="J36" i="172"/>
  <c r="R36" i="172"/>
  <c r="F37" i="172"/>
  <c r="N37" i="172"/>
  <c r="V37" i="172"/>
  <c r="J38" i="172"/>
  <c r="R38" i="172"/>
  <c r="F39" i="172"/>
  <c r="N39" i="172"/>
  <c r="V39" i="172"/>
  <c r="J40" i="172"/>
  <c r="R40" i="172"/>
  <c r="F41" i="172"/>
  <c r="N41" i="172"/>
  <c r="V41" i="172"/>
  <c r="J42" i="172"/>
  <c r="R42" i="172"/>
  <c r="F43" i="172"/>
  <c r="N43" i="172"/>
  <c r="V43" i="172"/>
  <c r="J44" i="172"/>
  <c r="R44" i="172"/>
  <c r="F45" i="172"/>
  <c r="N45" i="172"/>
  <c r="V45" i="172"/>
  <c r="V61" i="172"/>
  <c r="F115" i="172"/>
  <c r="F113" i="172"/>
  <c r="F114" i="172"/>
  <c r="R114" i="172"/>
  <c r="R115" i="172"/>
  <c r="R113" i="172"/>
  <c r="D115" i="172"/>
  <c r="D113" i="172"/>
  <c r="D114" i="172"/>
  <c r="H114" i="172"/>
  <c r="L115" i="172"/>
  <c r="L113" i="172"/>
  <c r="L114" i="172"/>
  <c r="P114" i="172"/>
  <c r="P115" i="172"/>
  <c r="T115" i="172"/>
  <c r="T113" i="172"/>
  <c r="D31" i="172"/>
  <c r="L31" i="172"/>
  <c r="T31" i="172"/>
  <c r="H32" i="172"/>
  <c r="P32" i="172"/>
  <c r="D36" i="172"/>
  <c r="L36" i="172"/>
  <c r="T36" i="172"/>
  <c r="H37" i="172"/>
  <c r="P37" i="172"/>
  <c r="D38" i="172"/>
  <c r="L38" i="172"/>
  <c r="T38" i="172"/>
  <c r="H39" i="172"/>
  <c r="P39" i="172"/>
  <c r="D40" i="172"/>
  <c r="L40" i="172"/>
  <c r="T40" i="172"/>
  <c r="H41" i="172"/>
  <c r="P41" i="172"/>
  <c r="D42" i="172"/>
  <c r="L42" i="172"/>
  <c r="T42" i="172"/>
  <c r="H43" i="172"/>
  <c r="P43" i="172"/>
  <c r="D44" i="172"/>
  <c r="L44" i="172"/>
  <c r="T44" i="172"/>
  <c r="H45" i="172"/>
  <c r="P45" i="172"/>
  <c r="H115" i="172"/>
  <c r="L114" i="170"/>
  <c r="L113" i="170"/>
  <c r="L45" i="170"/>
  <c r="L43" i="170"/>
  <c r="L41" i="170"/>
  <c r="L39" i="170"/>
  <c r="L37" i="170"/>
  <c r="L32" i="170"/>
  <c r="L27" i="170"/>
  <c r="L25" i="170"/>
  <c r="L20" i="170"/>
  <c r="L115" i="170"/>
  <c r="L28" i="170"/>
  <c r="L38" i="170"/>
  <c r="L31" i="170"/>
  <c r="L21" i="170"/>
  <c r="L44" i="170"/>
  <c r="L36" i="170"/>
  <c r="L42" i="170"/>
  <c r="T115" i="170"/>
  <c r="T114" i="170"/>
  <c r="T113" i="170"/>
  <c r="T45" i="170"/>
  <c r="T43" i="170"/>
  <c r="T41" i="170"/>
  <c r="T39" i="170"/>
  <c r="T37" i="170"/>
  <c r="T32" i="170"/>
  <c r="T27" i="170"/>
  <c r="T25" i="170"/>
  <c r="T20" i="170"/>
  <c r="T28" i="170"/>
  <c r="T44" i="170"/>
  <c r="T36" i="170"/>
  <c r="T19" i="170"/>
  <c r="T42" i="170"/>
  <c r="T26" i="170"/>
  <c r="T21" i="170"/>
  <c r="T40" i="170"/>
  <c r="D42" i="170"/>
  <c r="D115" i="169"/>
  <c r="D113" i="169"/>
  <c r="D114" i="169"/>
  <c r="D45" i="169"/>
  <c r="D43" i="169"/>
  <c r="D41" i="169"/>
  <c r="D39" i="169"/>
  <c r="D44" i="169"/>
  <c r="D42" i="169"/>
  <c r="D40" i="169"/>
  <c r="D38" i="169"/>
  <c r="H114" i="169"/>
  <c r="H44" i="169"/>
  <c r="H42" i="169"/>
  <c r="H40" i="169"/>
  <c r="H38" i="169"/>
  <c r="H115" i="169"/>
  <c r="H113" i="169"/>
  <c r="H45" i="169"/>
  <c r="H43" i="169"/>
  <c r="H41" i="169"/>
  <c r="H39" i="169"/>
  <c r="H37" i="169"/>
  <c r="L115" i="169"/>
  <c r="L113" i="169"/>
  <c r="L45" i="169"/>
  <c r="L43" i="169"/>
  <c r="L41" i="169"/>
  <c r="L39" i="169"/>
  <c r="L44" i="169"/>
  <c r="L42" i="169"/>
  <c r="L40" i="169"/>
  <c r="L38" i="169"/>
  <c r="P114" i="169"/>
  <c r="P115" i="169"/>
  <c r="P44" i="169"/>
  <c r="P42" i="169"/>
  <c r="P40" i="169"/>
  <c r="P38" i="169"/>
  <c r="P113" i="169"/>
  <c r="P45" i="169"/>
  <c r="P43" i="169"/>
  <c r="P41" i="169"/>
  <c r="P39" i="169"/>
  <c r="P37" i="169"/>
  <c r="T115" i="169"/>
  <c r="T113" i="169"/>
  <c r="T45" i="169"/>
  <c r="T43" i="169"/>
  <c r="T41" i="169"/>
  <c r="T39" i="169"/>
  <c r="T114" i="169"/>
  <c r="T44" i="169"/>
  <c r="T42" i="169"/>
  <c r="T40" i="169"/>
  <c r="T38" i="169"/>
  <c r="D31" i="169"/>
  <c r="L31" i="169"/>
  <c r="T31" i="169"/>
  <c r="H32" i="169"/>
  <c r="P32" i="169"/>
  <c r="D36" i="169"/>
  <c r="L36" i="169"/>
  <c r="T36" i="169"/>
  <c r="L37" i="169"/>
  <c r="N41" i="169"/>
  <c r="F43" i="169"/>
  <c r="R44" i="169"/>
  <c r="D46" i="169"/>
  <c r="N46" i="169"/>
  <c r="T46" i="169"/>
  <c r="D21" i="170"/>
  <c r="L26" i="170"/>
  <c r="F26" i="169"/>
  <c r="N26" i="169"/>
  <c r="J27" i="169"/>
  <c r="R27" i="169"/>
  <c r="D28" i="169"/>
  <c r="H28" i="169"/>
  <c r="L28" i="169"/>
  <c r="P28" i="169"/>
  <c r="T28" i="169"/>
  <c r="F31" i="169"/>
  <c r="N31" i="169"/>
  <c r="V31" i="169"/>
  <c r="J32" i="169"/>
  <c r="R32" i="169"/>
  <c r="F36" i="169"/>
  <c r="N36" i="169"/>
  <c r="V36" i="169"/>
  <c r="N37" i="169"/>
  <c r="R38" i="169"/>
  <c r="J40" i="169"/>
  <c r="V41" i="169"/>
  <c r="N43" i="169"/>
  <c r="F45" i="169"/>
  <c r="J46" i="169"/>
  <c r="P46" i="169"/>
  <c r="L114" i="169"/>
  <c r="L19" i="170"/>
  <c r="T31" i="170"/>
  <c r="T38" i="170"/>
  <c r="D115" i="170"/>
  <c r="D114" i="170"/>
  <c r="D113" i="170"/>
  <c r="D45" i="170"/>
  <c r="D43" i="170"/>
  <c r="D41" i="170"/>
  <c r="D39" i="170"/>
  <c r="D37" i="170"/>
  <c r="D32" i="170"/>
  <c r="D27" i="170"/>
  <c r="D25" i="170"/>
  <c r="D20" i="170"/>
  <c r="D28" i="170"/>
  <c r="D40" i="170"/>
  <c r="D38" i="170"/>
  <c r="D31" i="170"/>
  <c r="D26" i="170"/>
  <c r="D44" i="170"/>
  <c r="D36" i="170"/>
  <c r="D19" i="170"/>
  <c r="H19" i="169"/>
  <c r="D20" i="169"/>
  <c r="L20" i="169"/>
  <c r="T20" i="169"/>
  <c r="H21" i="169"/>
  <c r="P21" i="169"/>
  <c r="D25" i="169"/>
  <c r="L25" i="169"/>
  <c r="T25" i="169"/>
  <c r="H26" i="169"/>
  <c r="P26" i="169"/>
  <c r="D27" i="169"/>
  <c r="L27" i="169"/>
  <c r="T27" i="169"/>
  <c r="F115" i="169"/>
  <c r="F113" i="169"/>
  <c r="F114" i="169"/>
  <c r="F44" i="169"/>
  <c r="F42" i="169"/>
  <c r="F40" i="169"/>
  <c r="F38" i="169"/>
  <c r="J114" i="169"/>
  <c r="J115" i="169"/>
  <c r="J113" i="169"/>
  <c r="J45" i="169"/>
  <c r="J43" i="169"/>
  <c r="J41" i="169"/>
  <c r="J39" i="169"/>
  <c r="J37" i="169"/>
  <c r="N115" i="169"/>
  <c r="N113" i="169"/>
  <c r="N114" i="169"/>
  <c r="N44" i="169"/>
  <c r="N42" i="169"/>
  <c r="N40" i="169"/>
  <c r="N38" i="169"/>
  <c r="R114" i="169"/>
  <c r="R115" i="169"/>
  <c r="R113" i="169"/>
  <c r="R45" i="169"/>
  <c r="R43" i="169"/>
  <c r="R41" i="169"/>
  <c r="R39" i="169"/>
  <c r="R37" i="169"/>
  <c r="V115" i="169"/>
  <c r="V113" i="169"/>
  <c r="V114" i="169"/>
  <c r="V72" i="169"/>
  <c r="V44" i="169"/>
  <c r="V42" i="169"/>
  <c r="V40" i="169"/>
  <c r="V38" i="169"/>
  <c r="H31" i="169"/>
  <c r="P31" i="169"/>
  <c r="D32" i="169"/>
  <c r="L32" i="169"/>
  <c r="T32" i="169"/>
  <c r="H36" i="169"/>
  <c r="P36" i="169"/>
  <c r="D37" i="169"/>
  <c r="T37" i="169"/>
  <c r="F39" i="169"/>
  <c r="R40" i="169"/>
  <c r="J42" i="169"/>
  <c r="V43" i="169"/>
  <c r="N45" i="169"/>
  <c r="F46" i="169"/>
  <c r="L46" i="169"/>
  <c r="V46" i="169"/>
  <c r="L40" i="170"/>
  <c r="H32" i="170"/>
  <c r="H33" i="170"/>
  <c r="P33" i="170"/>
  <c r="P37" i="170"/>
  <c r="H39" i="170"/>
  <c r="P45" i="170"/>
  <c r="H115" i="170"/>
  <c r="H114" i="170"/>
  <c r="H113" i="170"/>
  <c r="H44" i="170"/>
  <c r="H42" i="170"/>
  <c r="H40" i="170"/>
  <c r="H38" i="170"/>
  <c r="H36" i="170"/>
  <c r="H31" i="170"/>
  <c r="H26" i="170"/>
  <c r="H21" i="170"/>
  <c r="H19" i="170"/>
  <c r="H28" i="170"/>
  <c r="P113" i="170"/>
  <c r="P115" i="170"/>
  <c r="P44" i="170"/>
  <c r="P42" i="170"/>
  <c r="P40" i="170"/>
  <c r="P38" i="170"/>
  <c r="P36" i="170"/>
  <c r="P31" i="170"/>
  <c r="P26" i="170"/>
  <c r="P21" i="170"/>
  <c r="P19" i="170"/>
  <c r="P28" i="170"/>
  <c r="P32" i="170"/>
  <c r="P39" i="170"/>
  <c r="H41" i="170"/>
  <c r="D46" i="170"/>
  <c r="L46" i="170"/>
  <c r="T46" i="170"/>
  <c r="D33" i="170"/>
  <c r="L33" i="170"/>
  <c r="T33" i="170"/>
  <c r="P41" i="170"/>
  <c r="H43" i="170"/>
  <c r="F31" i="170"/>
  <c r="N31" i="170"/>
  <c r="V31" i="170"/>
  <c r="J32" i="170"/>
  <c r="R32" i="170"/>
  <c r="F36" i="170"/>
  <c r="N36" i="170"/>
  <c r="V36" i="170"/>
  <c r="J37" i="170"/>
  <c r="R37" i="170"/>
  <c r="F38" i="170"/>
  <c r="N38" i="170"/>
  <c r="V38" i="170"/>
  <c r="J39" i="170"/>
  <c r="R39" i="170"/>
  <c r="F40" i="170"/>
  <c r="N40" i="170"/>
  <c r="V40" i="170"/>
  <c r="J41" i="170"/>
  <c r="R41" i="170"/>
  <c r="F42" i="170"/>
  <c r="N42" i="170"/>
  <c r="V42" i="170"/>
  <c r="J43" i="170"/>
  <c r="R43" i="170"/>
  <c r="R45" i="170"/>
  <c r="F115" i="170"/>
  <c r="F113" i="170"/>
  <c r="F114" i="170"/>
  <c r="J114" i="170"/>
  <c r="J115" i="170"/>
  <c r="J113" i="170"/>
  <c r="N115" i="170"/>
  <c r="N113" i="170"/>
  <c r="N114" i="170"/>
  <c r="R114" i="170"/>
  <c r="R115" i="170"/>
  <c r="R113" i="170"/>
  <c r="V115" i="170"/>
  <c r="V113" i="170"/>
  <c r="V114" i="170"/>
  <c r="V97" i="170"/>
  <c r="V87" i="170"/>
  <c r="V80" i="170"/>
  <c r="V72" i="170"/>
  <c r="V52" i="170"/>
  <c r="V81" i="170"/>
  <c r="V71" i="170"/>
  <c r="L111" i="170"/>
  <c r="F25" i="170"/>
  <c r="N25" i="170"/>
  <c r="V25" i="170"/>
  <c r="J26" i="170"/>
  <c r="R26" i="170"/>
  <c r="F27" i="170"/>
  <c r="N27" i="170"/>
  <c r="V27" i="170"/>
  <c r="F28" i="170"/>
  <c r="J28" i="170"/>
  <c r="N28" i="170"/>
  <c r="R28" i="170"/>
  <c r="V28" i="170"/>
  <c r="J31" i="170"/>
  <c r="R31" i="170"/>
  <c r="F32" i="170"/>
  <c r="N32" i="170"/>
  <c r="V32" i="170"/>
  <c r="J36" i="170"/>
  <c r="R36" i="170"/>
  <c r="F37" i="170"/>
  <c r="N37" i="170"/>
  <c r="V37" i="170"/>
  <c r="J38" i="170"/>
  <c r="R38" i="170"/>
  <c r="F39" i="170"/>
  <c r="N39" i="170"/>
  <c r="V39" i="170"/>
  <c r="J40" i="170"/>
  <c r="R40" i="170"/>
  <c r="F41" i="170"/>
  <c r="N41" i="170"/>
  <c r="V41" i="170"/>
  <c r="J42" i="170"/>
  <c r="R42" i="170"/>
  <c r="F43" i="170"/>
  <c r="N43" i="170"/>
  <c r="V43" i="170"/>
  <c r="J44" i="170"/>
  <c r="R44" i="170"/>
  <c r="F45" i="170"/>
  <c r="N45" i="170"/>
  <c r="V45" i="170"/>
  <c r="J27" i="167"/>
  <c r="R27" i="167"/>
  <c r="D28" i="167"/>
  <c r="H28" i="167"/>
  <c r="L28" i="167"/>
  <c r="P28" i="167"/>
  <c r="T28" i="167"/>
  <c r="F31" i="167"/>
  <c r="N31" i="167"/>
  <c r="V31" i="167"/>
  <c r="J32" i="167"/>
  <c r="R32" i="167"/>
  <c r="F36" i="167"/>
  <c r="N36" i="167"/>
  <c r="V36" i="167"/>
  <c r="J37" i="167"/>
  <c r="R37" i="167"/>
  <c r="F38" i="167"/>
  <c r="N38" i="167"/>
  <c r="V38" i="167"/>
  <c r="J39" i="167"/>
  <c r="R39" i="167"/>
  <c r="F40" i="167"/>
  <c r="N40" i="167"/>
  <c r="V40" i="167"/>
  <c r="J41" i="167"/>
  <c r="R41" i="167"/>
  <c r="F42" i="167"/>
  <c r="N42" i="167"/>
  <c r="V42" i="167"/>
  <c r="J43" i="167"/>
  <c r="R43" i="167"/>
  <c r="F44" i="167"/>
  <c r="N44" i="167"/>
  <c r="V44" i="167"/>
  <c r="J45" i="167"/>
  <c r="R45" i="167"/>
  <c r="F114" i="167"/>
  <c r="F115" i="167"/>
  <c r="F113" i="167"/>
  <c r="J115" i="167"/>
  <c r="J113" i="167"/>
  <c r="J114" i="167"/>
  <c r="N114" i="167"/>
  <c r="N115" i="167"/>
  <c r="N113" i="167"/>
  <c r="R115" i="167"/>
  <c r="R113" i="167"/>
  <c r="R114" i="167"/>
  <c r="V114" i="167"/>
  <c r="V93" i="167"/>
  <c r="V87" i="167"/>
  <c r="V71" i="167"/>
  <c r="V61" i="167"/>
  <c r="V115" i="167"/>
  <c r="V113" i="167"/>
  <c r="V80" i="167"/>
  <c r="V72" i="167"/>
  <c r="H31" i="167"/>
  <c r="P31" i="167"/>
  <c r="D32" i="167"/>
  <c r="L32" i="167"/>
  <c r="T32" i="167"/>
  <c r="H36" i="167"/>
  <c r="P36" i="167"/>
  <c r="D37" i="167"/>
  <c r="L37" i="167"/>
  <c r="T37" i="167"/>
  <c r="H38" i="167"/>
  <c r="P38" i="167"/>
  <c r="D39" i="167"/>
  <c r="L39" i="167"/>
  <c r="T39" i="167"/>
  <c r="H40" i="167"/>
  <c r="P40" i="167"/>
  <c r="D41" i="167"/>
  <c r="L41" i="167"/>
  <c r="T41" i="167"/>
  <c r="H42" i="167"/>
  <c r="P42" i="167"/>
  <c r="D43" i="167"/>
  <c r="L43" i="167"/>
  <c r="T43" i="167"/>
  <c r="H44" i="167"/>
  <c r="P44" i="167"/>
  <c r="D45" i="167"/>
  <c r="L45" i="167"/>
  <c r="T45" i="167"/>
  <c r="F28" i="167"/>
  <c r="J28" i="167"/>
  <c r="N28" i="167"/>
  <c r="R28" i="167"/>
  <c r="V28" i="167"/>
  <c r="J31" i="167"/>
  <c r="R31" i="167"/>
  <c r="F32" i="167"/>
  <c r="N32" i="167"/>
  <c r="V32" i="167"/>
  <c r="J36" i="167"/>
  <c r="R36" i="167"/>
  <c r="F37" i="167"/>
  <c r="N37" i="167"/>
  <c r="V37" i="167"/>
  <c r="J38" i="167"/>
  <c r="R38" i="167"/>
  <c r="F39" i="167"/>
  <c r="N39" i="167"/>
  <c r="V39" i="167"/>
  <c r="J40" i="167"/>
  <c r="R40" i="167"/>
  <c r="F41" i="167"/>
  <c r="N41" i="167"/>
  <c r="V41" i="167"/>
  <c r="J42" i="167"/>
  <c r="R42" i="167"/>
  <c r="F43" i="167"/>
  <c r="N43" i="167"/>
  <c r="V43" i="167"/>
  <c r="J44" i="167"/>
  <c r="R44" i="167"/>
  <c r="F45" i="167"/>
  <c r="N45" i="167"/>
  <c r="V45" i="167"/>
  <c r="D114" i="167"/>
  <c r="D115" i="167"/>
  <c r="D113" i="167"/>
  <c r="H115" i="167"/>
  <c r="H113" i="167"/>
  <c r="H114" i="167"/>
  <c r="L114" i="167"/>
  <c r="L115" i="167"/>
  <c r="L113" i="167"/>
  <c r="P115" i="167"/>
  <c r="P113" i="167"/>
  <c r="P114" i="167"/>
  <c r="T114" i="167"/>
  <c r="T115" i="167"/>
  <c r="T113" i="167"/>
  <c r="D31" i="167"/>
  <c r="L31" i="167"/>
  <c r="T31" i="167"/>
  <c r="H32" i="167"/>
  <c r="P32" i="167"/>
  <c r="D36" i="167"/>
  <c r="L36" i="167"/>
  <c r="T36" i="167"/>
  <c r="H37" i="167"/>
  <c r="P37" i="167"/>
  <c r="D38" i="167"/>
  <c r="L38" i="167"/>
  <c r="T38" i="167"/>
  <c r="H39" i="167"/>
  <c r="P39" i="167"/>
  <c r="D40" i="167"/>
  <c r="L40" i="167"/>
  <c r="T40" i="167"/>
  <c r="H41" i="167"/>
  <c r="P41" i="167"/>
  <c r="D42" i="167"/>
  <c r="L42" i="167"/>
  <c r="T42" i="167"/>
  <c r="H43" i="167"/>
  <c r="P43" i="167"/>
  <c r="D44" i="167"/>
  <c r="L44" i="167"/>
  <c r="T44" i="167"/>
  <c r="H45" i="167"/>
  <c r="P45" i="167"/>
  <c r="N112" i="167"/>
  <c r="M116" i="167"/>
  <c r="N116" i="167"/>
  <c r="F115" i="168"/>
  <c r="F113" i="168"/>
  <c r="F114" i="168"/>
  <c r="F44" i="168"/>
  <c r="F42" i="168"/>
  <c r="F40" i="168"/>
  <c r="F38" i="168"/>
  <c r="F36" i="168"/>
  <c r="F31" i="168"/>
  <c r="F45" i="168"/>
  <c r="F43" i="168"/>
  <c r="F41" i="168"/>
  <c r="F39" i="168"/>
  <c r="F37" i="168"/>
  <c r="F32" i="168"/>
  <c r="P114" i="168"/>
  <c r="P115" i="168"/>
  <c r="P113" i="168"/>
  <c r="P44" i="168"/>
  <c r="P42" i="168"/>
  <c r="P40" i="168"/>
  <c r="P38" i="168"/>
  <c r="P36" i="168"/>
  <c r="P28" i="168"/>
  <c r="P45" i="168"/>
  <c r="P43" i="168"/>
  <c r="P41" i="168"/>
  <c r="P39" i="168"/>
  <c r="P37" i="168"/>
  <c r="P32" i="168"/>
  <c r="D31" i="168"/>
  <c r="T31" i="168"/>
  <c r="J33" i="168"/>
  <c r="R33" i="168"/>
  <c r="F46" i="168"/>
  <c r="N46" i="168"/>
  <c r="V46" i="168"/>
  <c r="F28" i="168"/>
  <c r="L115" i="168"/>
  <c r="L113" i="168"/>
  <c r="L114" i="168"/>
  <c r="L45" i="168"/>
  <c r="L43" i="168"/>
  <c r="L41" i="168"/>
  <c r="L39" i="168"/>
  <c r="L37" i="168"/>
  <c r="L28" i="168"/>
  <c r="L44" i="168"/>
  <c r="L42" i="168"/>
  <c r="L40" i="168"/>
  <c r="L38" i="168"/>
  <c r="L36" i="168"/>
  <c r="R114" i="168"/>
  <c r="R115" i="168"/>
  <c r="R113" i="168"/>
  <c r="R45" i="168"/>
  <c r="R43" i="168"/>
  <c r="R41" i="168"/>
  <c r="R39" i="168"/>
  <c r="R37" i="168"/>
  <c r="R32" i="168"/>
  <c r="R44" i="168"/>
  <c r="R42" i="168"/>
  <c r="R40" i="168"/>
  <c r="R38" i="168"/>
  <c r="R36" i="168"/>
  <c r="R31" i="168"/>
  <c r="R28" i="168"/>
  <c r="D33" i="168"/>
  <c r="L33" i="168"/>
  <c r="T33" i="168"/>
  <c r="H46" i="168"/>
  <c r="P46" i="168"/>
  <c r="D115" i="168"/>
  <c r="D113" i="168"/>
  <c r="D114" i="168"/>
  <c r="D45" i="168"/>
  <c r="D43" i="168"/>
  <c r="D41" i="168"/>
  <c r="D39" i="168"/>
  <c r="D37" i="168"/>
  <c r="D44" i="168"/>
  <c r="D42" i="168"/>
  <c r="D40" i="168"/>
  <c r="D38" i="168"/>
  <c r="D36" i="168"/>
  <c r="H114" i="168"/>
  <c r="H115" i="168"/>
  <c r="H113" i="168"/>
  <c r="H44" i="168"/>
  <c r="H42" i="168"/>
  <c r="H40" i="168"/>
  <c r="H38" i="168"/>
  <c r="H36" i="168"/>
  <c r="H28" i="168"/>
  <c r="H45" i="168"/>
  <c r="H43" i="168"/>
  <c r="H41" i="168"/>
  <c r="H39" i="168"/>
  <c r="H37" i="168"/>
  <c r="N115" i="168"/>
  <c r="N113" i="168"/>
  <c r="N114" i="168"/>
  <c r="N44" i="168"/>
  <c r="N42" i="168"/>
  <c r="N40" i="168"/>
  <c r="N38" i="168"/>
  <c r="N36" i="168"/>
  <c r="N31" i="168"/>
  <c r="N45" i="168"/>
  <c r="N43" i="168"/>
  <c r="N41" i="168"/>
  <c r="N39" i="168"/>
  <c r="N37" i="168"/>
  <c r="N32" i="168"/>
  <c r="T115" i="168"/>
  <c r="T113" i="168"/>
  <c r="T114" i="168"/>
  <c r="T45" i="168"/>
  <c r="T43" i="168"/>
  <c r="T41" i="168"/>
  <c r="T39" i="168"/>
  <c r="T37" i="168"/>
  <c r="T28" i="168"/>
  <c r="T44" i="168"/>
  <c r="T42" i="168"/>
  <c r="T40" i="168"/>
  <c r="T38" i="168"/>
  <c r="T36" i="168"/>
  <c r="L31" i="168"/>
  <c r="H32" i="168"/>
  <c r="F33" i="168"/>
  <c r="N33" i="168"/>
  <c r="V33" i="168"/>
  <c r="J46" i="168"/>
  <c r="R46" i="168"/>
  <c r="J114" i="168"/>
  <c r="J115" i="168"/>
  <c r="J113" i="168"/>
  <c r="J45" i="168"/>
  <c r="J43" i="168"/>
  <c r="J41" i="168"/>
  <c r="J39" i="168"/>
  <c r="J37" i="168"/>
  <c r="J32" i="168"/>
  <c r="J44" i="168"/>
  <c r="J42" i="168"/>
  <c r="J40" i="168"/>
  <c r="J38" i="168"/>
  <c r="J36" i="168"/>
  <c r="J31" i="168"/>
  <c r="V115" i="168"/>
  <c r="V113" i="168"/>
  <c r="V114" i="168"/>
  <c r="V73" i="168"/>
  <c r="V44" i="168"/>
  <c r="V42" i="168"/>
  <c r="V40" i="168"/>
  <c r="V38" i="168"/>
  <c r="V36" i="168"/>
  <c r="V31" i="168"/>
  <c r="V57" i="168"/>
  <c r="V45" i="168"/>
  <c r="V43" i="168"/>
  <c r="V41" i="168"/>
  <c r="V39" i="168"/>
  <c r="V37" i="168"/>
  <c r="V32" i="168"/>
  <c r="V28" i="168"/>
  <c r="P31" i="168"/>
  <c r="L32" i="168"/>
  <c r="H33" i="168"/>
  <c r="P33" i="168"/>
  <c r="D46" i="168"/>
  <c r="L46" i="168"/>
  <c r="T46" i="168"/>
  <c r="J27" i="164"/>
  <c r="R27" i="164"/>
  <c r="D28" i="164"/>
  <c r="H28" i="164"/>
  <c r="L28" i="164"/>
  <c r="P28" i="164"/>
  <c r="T28" i="164"/>
  <c r="F31" i="164"/>
  <c r="N31" i="164"/>
  <c r="V31" i="164"/>
  <c r="J32" i="164"/>
  <c r="R32" i="164"/>
  <c r="F36" i="164"/>
  <c r="N36" i="164"/>
  <c r="V36" i="164"/>
  <c r="J37" i="164"/>
  <c r="R37" i="164"/>
  <c r="F38" i="164"/>
  <c r="N38" i="164"/>
  <c r="V38" i="164"/>
  <c r="J39" i="164"/>
  <c r="R39" i="164"/>
  <c r="F40" i="164"/>
  <c r="N40" i="164"/>
  <c r="V40" i="164"/>
  <c r="J41" i="164"/>
  <c r="R41" i="164"/>
  <c r="F42" i="164"/>
  <c r="N42" i="164"/>
  <c r="V42" i="164"/>
  <c r="J43" i="164"/>
  <c r="R43" i="164"/>
  <c r="F44" i="164"/>
  <c r="N44" i="164"/>
  <c r="V44" i="164"/>
  <c r="J45" i="164"/>
  <c r="R45" i="164"/>
  <c r="N46" i="164"/>
  <c r="V80" i="164"/>
  <c r="V84" i="164"/>
  <c r="L112" i="164"/>
  <c r="D113" i="164"/>
  <c r="T113" i="164"/>
  <c r="P114" i="164"/>
  <c r="L115" i="164"/>
  <c r="H19" i="164"/>
  <c r="P19" i="164"/>
  <c r="D20" i="164"/>
  <c r="L20" i="164"/>
  <c r="T20" i="164"/>
  <c r="H21" i="164"/>
  <c r="P21" i="164"/>
  <c r="D25" i="164"/>
  <c r="L25" i="164"/>
  <c r="T25" i="164"/>
  <c r="H26" i="164"/>
  <c r="P26" i="164"/>
  <c r="D27" i="164"/>
  <c r="L27" i="164"/>
  <c r="T27" i="164"/>
  <c r="F114" i="164"/>
  <c r="J115" i="164"/>
  <c r="J113" i="164"/>
  <c r="N114" i="164"/>
  <c r="R115" i="164"/>
  <c r="R113" i="164"/>
  <c r="V114" i="164"/>
  <c r="V97" i="164"/>
  <c r="V95" i="164"/>
  <c r="V87" i="164"/>
  <c r="V83" i="164"/>
  <c r="V81" i="164"/>
  <c r="V71" i="164"/>
  <c r="H31" i="164"/>
  <c r="P31" i="164"/>
  <c r="D32" i="164"/>
  <c r="L32" i="164"/>
  <c r="T32" i="164"/>
  <c r="H36" i="164"/>
  <c r="P36" i="164"/>
  <c r="D37" i="164"/>
  <c r="L37" i="164"/>
  <c r="T37" i="164"/>
  <c r="H38" i="164"/>
  <c r="P38" i="164"/>
  <c r="D39" i="164"/>
  <c r="L39" i="164"/>
  <c r="T39" i="164"/>
  <c r="H40" i="164"/>
  <c r="P40" i="164"/>
  <c r="D41" i="164"/>
  <c r="L41" i="164"/>
  <c r="T41" i="164"/>
  <c r="H42" i="164"/>
  <c r="P42" i="164"/>
  <c r="D43" i="164"/>
  <c r="L43" i="164"/>
  <c r="T43" i="164"/>
  <c r="H44" i="164"/>
  <c r="P44" i="164"/>
  <c r="D45" i="164"/>
  <c r="L45" i="164"/>
  <c r="T45" i="164"/>
  <c r="J46" i="164"/>
  <c r="T46" i="164"/>
  <c r="L111" i="164"/>
  <c r="F113" i="164"/>
  <c r="V113" i="164"/>
  <c r="R114" i="164"/>
  <c r="N115" i="164"/>
  <c r="D114" i="164"/>
  <c r="H115" i="164"/>
  <c r="H113" i="164"/>
  <c r="L114" i="164"/>
  <c r="P115" i="164"/>
  <c r="P113" i="164"/>
  <c r="T114" i="164"/>
  <c r="D31" i="164"/>
  <c r="L31" i="164"/>
  <c r="T31" i="164"/>
  <c r="H32" i="164"/>
  <c r="P32" i="164"/>
  <c r="D36" i="164"/>
  <c r="L36" i="164"/>
  <c r="T36" i="164"/>
  <c r="H37" i="164"/>
  <c r="P37" i="164"/>
  <c r="D38" i="164"/>
  <c r="L38" i="164"/>
  <c r="T38" i="164"/>
  <c r="H39" i="164"/>
  <c r="P39" i="164"/>
  <c r="D40" i="164"/>
  <c r="L40" i="164"/>
  <c r="T40" i="164"/>
  <c r="H41" i="164"/>
  <c r="P41" i="164"/>
  <c r="D42" i="164"/>
  <c r="L42" i="164"/>
  <c r="T42" i="164"/>
  <c r="H43" i="164"/>
  <c r="P43" i="164"/>
  <c r="D44" i="164"/>
  <c r="L44" i="164"/>
  <c r="T44" i="164"/>
  <c r="H45" i="164"/>
  <c r="P45" i="164"/>
  <c r="D115" i="165"/>
  <c r="D113" i="165"/>
  <c r="D114" i="165"/>
  <c r="H114" i="165"/>
  <c r="H115" i="165"/>
  <c r="H113" i="165"/>
  <c r="L115" i="165"/>
  <c r="L113" i="165"/>
  <c r="L114" i="165"/>
  <c r="P114" i="165"/>
  <c r="P115" i="165"/>
  <c r="P113" i="165"/>
  <c r="T115" i="165"/>
  <c r="T113" i="165"/>
  <c r="T114" i="165"/>
  <c r="D31" i="165"/>
  <c r="L31" i="165"/>
  <c r="T31" i="165"/>
  <c r="H32" i="165"/>
  <c r="P32" i="165"/>
  <c r="D36" i="165"/>
  <c r="L36" i="165"/>
  <c r="T36" i="165"/>
  <c r="H37" i="165"/>
  <c r="P37" i="165"/>
  <c r="D38" i="165"/>
  <c r="L38" i="165"/>
  <c r="T38" i="165"/>
  <c r="H39" i="165"/>
  <c r="P39" i="165"/>
  <c r="D40" i="165"/>
  <c r="L40" i="165"/>
  <c r="T40" i="165"/>
  <c r="H41" i="165"/>
  <c r="P41" i="165"/>
  <c r="D42" i="165"/>
  <c r="L42" i="165"/>
  <c r="T42" i="165"/>
  <c r="H43" i="165"/>
  <c r="P43" i="165"/>
  <c r="D44" i="165"/>
  <c r="L44" i="165"/>
  <c r="T44" i="165"/>
  <c r="H45" i="165"/>
  <c r="P45" i="165"/>
  <c r="J27" i="165"/>
  <c r="R27" i="165"/>
  <c r="D28" i="165"/>
  <c r="H28" i="165"/>
  <c r="L28" i="165"/>
  <c r="P28" i="165"/>
  <c r="T28" i="165"/>
  <c r="F31" i="165"/>
  <c r="N31" i="165"/>
  <c r="V31" i="165"/>
  <c r="J32" i="165"/>
  <c r="R32" i="165"/>
  <c r="F36" i="165"/>
  <c r="N36" i="165"/>
  <c r="V36" i="165"/>
  <c r="J37" i="165"/>
  <c r="R37" i="165"/>
  <c r="F38" i="165"/>
  <c r="N38" i="165"/>
  <c r="V38" i="165"/>
  <c r="J39" i="165"/>
  <c r="R39" i="165"/>
  <c r="F40" i="165"/>
  <c r="N40" i="165"/>
  <c r="V40" i="165"/>
  <c r="J41" i="165"/>
  <c r="R41" i="165"/>
  <c r="F42" i="165"/>
  <c r="N42" i="165"/>
  <c r="V42" i="165"/>
  <c r="J43" i="165"/>
  <c r="R43" i="165"/>
  <c r="F44" i="165"/>
  <c r="N44" i="165"/>
  <c r="V44" i="165"/>
  <c r="J45" i="165"/>
  <c r="R45" i="165"/>
  <c r="F115" i="165"/>
  <c r="F113" i="165"/>
  <c r="F114" i="165"/>
  <c r="J114" i="165"/>
  <c r="J115" i="165"/>
  <c r="J113" i="165"/>
  <c r="N115" i="165"/>
  <c r="N113" i="165"/>
  <c r="N114" i="165"/>
  <c r="R114" i="165"/>
  <c r="R115" i="165"/>
  <c r="R113" i="165"/>
  <c r="V115" i="165"/>
  <c r="V113" i="165"/>
  <c r="V114" i="165"/>
  <c r="V85" i="165"/>
  <c r="V73" i="165"/>
  <c r="H31" i="165"/>
  <c r="P31" i="165"/>
  <c r="D32" i="165"/>
  <c r="L32" i="165"/>
  <c r="T32" i="165"/>
  <c r="H36" i="165"/>
  <c r="P36" i="165"/>
  <c r="D37" i="165"/>
  <c r="L37" i="165"/>
  <c r="T37" i="165"/>
  <c r="H38" i="165"/>
  <c r="P38" i="165"/>
  <c r="D39" i="165"/>
  <c r="L39" i="165"/>
  <c r="T39" i="165"/>
  <c r="H40" i="165"/>
  <c r="P40" i="165"/>
  <c r="D41" i="165"/>
  <c r="L41" i="165"/>
  <c r="T41" i="165"/>
  <c r="H42" i="165"/>
  <c r="P42" i="165"/>
  <c r="D43" i="165"/>
  <c r="L43" i="165"/>
  <c r="T43" i="165"/>
  <c r="H44" i="165"/>
  <c r="P44" i="165"/>
  <c r="D45" i="165"/>
  <c r="L45" i="165"/>
  <c r="T45" i="165"/>
  <c r="F28" i="165"/>
  <c r="J28" i="165"/>
  <c r="N28" i="165"/>
  <c r="R28" i="165"/>
  <c r="V28" i="165"/>
  <c r="J31" i="165"/>
  <c r="R31" i="165"/>
  <c r="F32" i="165"/>
  <c r="N32" i="165"/>
  <c r="V32" i="165"/>
  <c r="J36" i="165"/>
  <c r="R36" i="165"/>
  <c r="F37" i="165"/>
  <c r="N37" i="165"/>
  <c r="V37" i="165"/>
  <c r="J38" i="165"/>
  <c r="R38" i="165"/>
  <c r="F39" i="165"/>
  <c r="N39" i="165"/>
  <c r="V39" i="165"/>
  <c r="J40" i="165"/>
  <c r="R40" i="165"/>
  <c r="F41" i="165"/>
  <c r="N41" i="165"/>
  <c r="V41" i="165"/>
  <c r="J42" i="165"/>
  <c r="R42" i="165"/>
  <c r="F43" i="165"/>
  <c r="N43" i="165"/>
  <c r="V43" i="165"/>
  <c r="J44" i="165"/>
  <c r="R44" i="165"/>
  <c r="F45" i="165"/>
  <c r="N45" i="165"/>
  <c r="V45" i="165"/>
  <c r="H19" i="163"/>
  <c r="P19" i="163"/>
  <c r="D20" i="163"/>
  <c r="L20" i="163"/>
  <c r="T20" i="163"/>
  <c r="H21" i="163"/>
  <c r="P21" i="163"/>
  <c r="D25" i="163"/>
  <c r="L25" i="163"/>
  <c r="T25" i="163"/>
  <c r="H26" i="163"/>
  <c r="P26" i="163"/>
  <c r="D27" i="163"/>
  <c r="L27" i="163"/>
  <c r="T27" i="163"/>
  <c r="F115" i="163"/>
  <c r="F113" i="163"/>
  <c r="F114" i="163"/>
  <c r="J114" i="163"/>
  <c r="J93" i="163"/>
  <c r="J85" i="163"/>
  <c r="J115" i="163"/>
  <c r="J113" i="163"/>
  <c r="J96" i="163"/>
  <c r="J82" i="163"/>
  <c r="J74" i="163"/>
  <c r="J62" i="163"/>
  <c r="J83" i="163"/>
  <c r="J71" i="163"/>
  <c r="J69" i="163"/>
  <c r="N115" i="163"/>
  <c r="N113" i="163"/>
  <c r="N114" i="163"/>
  <c r="N91" i="163"/>
  <c r="N89" i="163"/>
  <c r="N87" i="163"/>
  <c r="N72" i="163"/>
  <c r="N62" i="163"/>
  <c r="N58" i="163"/>
  <c r="R114" i="163"/>
  <c r="R89" i="163"/>
  <c r="R87" i="163"/>
  <c r="R115" i="163"/>
  <c r="R113" i="163"/>
  <c r="R84" i="163"/>
  <c r="R80" i="163"/>
  <c r="R74" i="163"/>
  <c r="R72" i="163"/>
  <c r="R83" i="163"/>
  <c r="R73" i="163"/>
  <c r="R61" i="163"/>
  <c r="R57" i="163"/>
  <c r="V115" i="163"/>
  <c r="V113" i="163"/>
  <c r="V114" i="163"/>
  <c r="V97" i="163"/>
  <c r="V95" i="163"/>
  <c r="V87" i="163"/>
  <c r="V81" i="163"/>
  <c r="V73" i="163"/>
  <c r="V71" i="163"/>
  <c r="V60" i="163"/>
  <c r="H31" i="163"/>
  <c r="P31" i="163"/>
  <c r="D32" i="163"/>
  <c r="L32" i="163"/>
  <c r="T32" i="163"/>
  <c r="H36" i="163"/>
  <c r="P36" i="163"/>
  <c r="D37" i="163"/>
  <c r="L37" i="163"/>
  <c r="T37" i="163"/>
  <c r="H38" i="163"/>
  <c r="P38" i="163"/>
  <c r="D39" i="163"/>
  <c r="L39" i="163"/>
  <c r="T39" i="163"/>
  <c r="H40" i="163"/>
  <c r="P40" i="163"/>
  <c r="D41" i="163"/>
  <c r="L41" i="163"/>
  <c r="T41" i="163"/>
  <c r="H42" i="163"/>
  <c r="P42" i="163"/>
  <c r="D43" i="163"/>
  <c r="L43" i="163"/>
  <c r="T43" i="163"/>
  <c r="H44" i="163"/>
  <c r="P44" i="163"/>
  <c r="D45" i="163"/>
  <c r="L45" i="163"/>
  <c r="T45" i="163"/>
  <c r="P52" i="163"/>
  <c r="R55" i="163"/>
  <c r="F28" i="163"/>
  <c r="J28" i="163"/>
  <c r="N28" i="163"/>
  <c r="R28" i="163"/>
  <c r="V28" i="163"/>
  <c r="J31" i="163"/>
  <c r="R31" i="163"/>
  <c r="F32" i="163"/>
  <c r="N32" i="163"/>
  <c r="V32" i="163"/>
  <c r="J36" i="163"/>
  <c r="R36" i="163"/>
  <c r="F37" i="163"/>
  <c r="N37" i="163"/>
  <c r="V37" i="163"/>
  <c r="J38" i="163"/>
  <c r="R38" i="163"/>
  <c r="F39" i="163"/>
  <c r="N39" i="163"/>
  <c r="V39" i="163"/>
  <c r="J40" i="163"/>
  <c r="R40" i="163"/>
  <c r="F41" i="163"/>
  <c r="N41" i="163"/>
  <c r="V41" i="163"/>
  <c r="J42" i="163"/>
  <c r="R42" i="163"/>
  <c r="F43" i="163"/>
  <c r="N43" i="163"/>
  <c r="V43" i="163"/>
  <c r="J44" i="163"/>
  <c r="R44" i="163"/>
  <c r="F45" i="163"/>
  <c r="N45" i="163"/>
  <c r="V45" i="163"/>
  <c r="V46" i="163"/>
  <c r="D115" i="163"/>
  <c r="D113" i="163"/>
  <c r="D114" i="163"/>
  <c r="H114" i="163"/>
  <c r="H85" i="163"/>
  <c r="H115" i="163"/>
  <c r="H113" i="163"/>
  <c r="H79" i="163"/>
  <c r="L115" i="163"/>
  <c r="L113" i="163"/>
  <c r="L96" i="163"/>
  <c r="L94" i="163"/>
  <c r="L114" i="163"/>
  <c r="L93" i="163"/>
  <c r="L89" i="163"/>
  <c r="L80" i="163"/>
  <c r="L58" i="163"/>
  <c r="L81" i="163"/>
  <c r="L79" i="163"/>
  <c r="L73" i="163"/>
  <c r="L71" i="163"/>
  <c r="L69" i="163"/>
  <c r="L61" i="163"/>
  <c r="L57" i="163"/>
  <c r="L55" i="163"/>
  <c r="L91" i="163"/>
  <c r="P114" i="163"/>
  <c r="P93" i="163"/>
  <c r="P91" i="163"/>
  <c r="P115" i="163"/>
  <c r="P113" i="163"/>
  <c r="P96" i="163"/>
  <c r="P94" i="163"/>
  <c r="P83" i="163"/>
  <c r="P81" i="163"/>
  <c r="P73" i="163"/>
  <c r="P71" i="163"/>
  <c r="P69" i="163"/>
  <c r="P61" i="163"/>
  <c r="P84" i="163"/>
  <c r="P82" i="163"/>
  <c r="P80" i="163"/>
  <c r="P72" i="163"/>
  <c r="P62" i="163"/>
  <c r="P60" i="163"/>
  <c r="T115" i="163"/>
  <c r="T113" i="163"/>
  <c r="T114" i="163"/>
  <c r="T93" i="163"/>
  <c r="T87" i="163"/>
  <c r="T84" i="163"/>
  <c r="T82" i="163"/>
  <c r="T80" i="163"/>
  <c r="T72" i="163"/>
  <c r="T62" i="163"/>
  <c r="T85" i="163"/>
  <c r="T91" i="163"/>
  <c r="T73" i="163"/>
  <c r="T57" i="163"/>
  <c r="L31" i="163"/>
  <c r="T31" i="163"/>
  <c r="H32" i="163"/>
  <c r="P32" i="163"/>
  <c r="D36" i="163"/>
  <c r="L36" i="163"/>
  <c r="T36" i="163"/>
  <c r="H37" i="163"/>
  <c r="P37" i="163"/>
  <c r="D38" i="163"/>
  <c r="L38" i="163"/>
  <c r="T38" i="163"/>
  <c r="H39" i="163"/>
  <c r="P39" i="163"/>
  <c r="D40" i="163"/>
  <c r="L40" i="163"/>
  <c r="T40" i="163"/>
  <c r="H41" i="163"/>
  <c r="P41" i="163"/>
  <c r="D42" i="163"/>
  <c r="L42" i="163"/>
  <c r="T42" i="163"/>
  <c r="H43" i="163"/>
  <c r="P43" i="163"/>
  <c r="D44" i="163"/>
  <c r="L44" i="163"/>
  <c r="T44" i="163"/>
  <c r="H45" i="163"/>
  <c r="P45" i="163"/>
  <c r="T52" i="163"/>
  <c r="N112" i="163"/>
  <c r="D114" i="161"/>
  <c r="D115" i="161"/>
  <c r="D113" i="161"/>
  <c r="D44" i="161"/>
  <c r="H115" i="161"/>
  <c r="H113" i="161"/>
  <c r="H69" i="161"/>
  <c r="H45" i="161"/>
  <c r="H43" i="161"/>
  <c r="H114" i="161"/>
  <c r="L114" i="161"/>
  <c r="L113" i="161"/>
  <c r="L94" i="161"/>
  <c r="L80" i="161"/>
  <c r="L44" i="161"/>
  <c r="L42" i="161"/>
  <c r="P115" i="161"/>
  <c r="P113" i="161"/>
  <c r="P114" i="161"/>
  <c r="P79" i="161"/>
  <c r="P45" i="161"/>
  <c r="P43" i="161"/>
  <c r="T114" i="161"/>
  <c r="T94" i="161"/>
  <c r="T72" i="161"/>
  <c r="T60" i="161"/>
  <c r="T58" i="161"/>
  <c r="T44" i="161"/>
  <c r="T42" i="161"/>
  <c r="T115" i="161"/>
  <c r="D31" i="161"/>
  <c r="L31" i="161"/>
  <c r="T31" i="161"/>
  <c r="H32" i="161"/>
  <c r="P32" i="161"/>
  <c r="D36" i="161"/>
  <c r="L36" i="161"/>
  <c r="T36" i="161"/>
  <c r="H37" i="161"/>
  <c r="P37" i="161"/>
  <c r="D38" i="161"/>
  <c r="L38" i="161"/>
  <c r="T38" i="161"/>
  <c r="H39" i="161"/>
  <c r="P39" i="161"/>
  <c r="P40" i="161"/>
  <c r="H41" i="161"/>
  <c r="H42" i="161"/>
  <c r="D43" i="161"/>
  <c r="T43" i="161"/>
  <c r="P44" i="161"/>
  <c r="L45" i="161"/>
  <c r="D46" i="161"/>
  <c r="J46" i="161"/>
  <c r="T46" i="161"/>
  <c r="N52" i="161"/>
  <c r="L79" i="161"/>
  <c r="L115" i="161"/>
  <c r="D28" i="161"/>
  <c r="H28" i="161"/>
  <c r="L28" i="161"/>
  <c r="P28" i="161"/>
  <c r="T28" i="161"/>
  <c r="F31" i="161"/>
  <c r="N31" i="161"/>
  <c r="V31" i="161"/>
  <c r="J32" i="161"/>
  <c r="R32" i="161"/>
  <c r="F36" i="161"/>
  <c r="N36" i="161"/>
  <c r="V36" i="161"/>
  <c r="J37" i="161"/>
  <c r="R37" i="161"/>
  <c r="F38" i="161"/>
  <c r="N38" i="161"/>
  <c r="V38" i="161"/>
  <c r="J39" i="161"/>
  <c r="R39" i="161"/>
  <c r="H40" i="161"/>
  <c r="T40" i="161"/>
  <c r="J41" i="161"/>
  <c r="T41" i="161"/>
  <c r="F44" i="161"/>
  <c r="F46" i="161"/>
  <c r="P46" i="161"/>
  <c r="V46" i="161"/>
  <c r="L53" i="161"/>
  <c r="H58" i="161"/>
  <c r="T79" i="161"/>
  <c r="P84" i="161"/>
  <c r="H19" i="161"/>
  <c r="P19" i="161"/>
  <c r="D20" i="161"/>
  <c r="L20" i="161"/>
  <c r="T20" i="161"/>
  <c r="H21" i="161"/>
  <c r="P21" i="161"/>
  <c r="D25" i="161"/>
  <c r="L25" i="161"/>
  <c r="T25" i="161"/>
  <c r="H26" i="161"/>
  <c r="P26" i="161"/>
  <c r="D27" i="161"/>
  <c r="L27" i="161"/>
  <c r="T27" i="161"/>
  <c r="F114" i="161"/>
  <c r="F115" i="161"/>
  <c r="F113" i="161"/>
  <c r="F45" i="161"/>
  <c r="F43" i="161"/>
  <c r="F41" i="161"/>
  <c r="J115" i="161"/>
  <c r="J113" i="161"/>
  <c r="J114" i="161"/>
  <c r="J83" i="161"/>
  <c r="J81" i="161"/>
  <c r="J96" i="161"/>
  <c r="J60" i="161"/>
  <c r="J44" i="161"/>
  <c r="J42" i="161"/>
  <c r="J40" i="161"/>
  <c r="N114" i="161"/>
  <c r="N115" i="161"/>
  <c r="N113" i="161"/>
  <c r="N96" i="161"/>
  <c r="N84" i="161"/>
  <c r="N93" i="161"/>
  <c r="N87" i="161"/>
  <c r="N73" i="161"/>
  <c r="N71" i="161"/>
  <c r="N69" i="161"/>
  <c r="N53" i="161"/>
  <c r="N45" i="161"/>
  <c r="N43" i="161"/>
  <c r="N41" i="161"/>
  <c r="R115" i="161"/>
  <c r="R113" i="161"/>
  <c r="R114" i="161"/>
  <c r="R83" i="161"/>
  <c r="R60" i="161"/>
  <c r="R44" i="161"/>
  <c r="R42" i="161"/>
  <c r="R40" i="161"/>
  <c r="V114" i="161"/>
  <c r="V115" i="161"/>
  <c r="V113" i="161"/>
  <c r="V73" i="161"/>
  <c r="V45" i="161"/>
  <c r="V43" i="161"/>
  <c r="V41" i="161"/>
  <c r="V39" i="161"/>
  <c r="H31" i="161"/>
  <c r="P31" i="161"/>
  <c r="D32" i="161"/>
  <c r="L32" i="161"/>
  <c r="T32" i="161"/>
  <c r="H36" i="161"/>
  <c r="P36" i="161"/>
  <c r="D37" i="161"/>
  <c r="L37" i="161"/>
  <c r="T37" i="161"/>
  <c r="H38" i="161"/>
  <c r="P38" i="161"/>
  <c r="D39" i="161"/>
  <c r="L39" i="161"/>
  <c r="T39" i="161"/>
  <c r="L40" i="161"/>
  <c r="V40" i="161"/>
  <c r="L41" i="161"/>
  <c r="D42" i="161"/>
  <c r="P42" i="161"/>
  <c r="L43" i="161"/>
  <c r="H44" i="161"/>
  <c r="D45" i="161"/>
  <c r="T45" i="161"/>
  <c r="L46" i="161"/>
  <c r="R46" i="161"/>
  <c r="R57" i="161"/>
  <c r="N58" i="161"/>
  <c r="T73" i="161"/>
  <c r="T89" i="161"/>
  <c r="L91" i="161"/>
  <c r="P94" i="161"/>
  <c r="L95" i="159"/>
  <c r="L113" i="159"/>
  <c r="L74" i="159"/>
  <c r="L58" i="159"/>
  <c r="L57" i="159"/>
  <c r="L45" i="159"/>
  <c r="L43" i="159"/>
  <c r="L41" i="159"/>
  <c r="L39" i="159"/>
  <c r="L37" i="159"/>
  <c r="L32" i="159"/>
  <c r="L27" i="159"/>
  <c r="L25" i="159"/>
  <c r="L36" i="159"/>
  <c r="L40" i="159"/>
  <c r="L44" i="159"/>
  <c r="L62" i="159"/>
  <c r="L19" i="159"/>
  <c r="L20" i="159"/>
  <c r="H115" i="159"/>
  <c r="H44" i="159"/>
  <c r="H42" i="159"/>
  <c r="H40" i="159"/>
  <c r="H38" i="159"/>
  <c r="H36" i="159"/>
  <c r="H26" i="159"/>
  <c r="L28" i="159"/>
  <c r="V46" i="159"/>
  <c r="L114" i="159"/>
  <c r="L115" i="159"/>
  <c r="L26" i="159"/>
  <c r="H27" i="159"/>
  <c r="D113" i="159"/>
  <c r="D115" i="159"/>
  <c r="D114" i="159"/>
  <c r="D45" i="159"/>
  <c r="D43" i="159"/>
  <c r="D41" i="159"/>
  <c r="D39" i="159"/>
  <c r="D37" i="159"/>
  <c r="D32" i="159"/>
  <c r="D27" i="159"/>
  <c r="D25" i="159"/>
  <c r="H28" i="159"/>
  <c r="T94" i="159"/>
  <c r="T85" i="159"/>
  <c r="T69" i="159"/>
  <c r="T53" i="159"/>
  <c r="T96" i="159"/>
  <c r="T71" i="159"/>
  <c r="T45" i="159"/>
  <c r="T43" i="159"/>
  <c r="T41" i="159"/>
  <c r="T39" i="159"/>
  <c r="T37" i="159"/>
  <c r="T32" i="159"/>
  <c r="T27" i="159"/>
  <c r="T25" i="159"/>
  <c r="D36" i="159"/>
  <c r="T36" i="159"/>
  <c r="L38" i="159"/>
  <c r="H39" i="159"/>
  <c r="D40" i="159"/>
  <c r="T40" i="159"/>
  <c r="L42" i="159"/>
  <c r="H43" i="159"/>
  <c r="D44" i="159"/>
  <c r="T44" i="159"/>
  <c r="L53" i="159"/>
  <c r="H82" i="159"/>
  <c r="T91" i="159"/>
  <c r="T114" i="159"/>
  <c r="T115" i="159"/>
  <c r="H20" i="159"/>
  <c r="H21" i="159"/>
  <c r="T21" i="159"/>
  <c r="D28" i="159"/>
  <c r="P114" i="159"/>
  <c r="P113" i="159"/>
  <c r="P115" i="159"/>
  <c r="P84" i="159"/>
  <c r="P61" i="159"/>
  <c r="P44" i="159"/>
  <c r="P42" i="159"/>
  <c r="P40" i="159"/>
  <c r="P38" i="159"/>
  <c r="P36" i="159"/>
  <c r="P26" i="159"/>
  <c r="T28" i="159"/>
  <c r="H32" i="159"/>
  <c r="T57" i="159"/>
  <c r="T58" i="159"/>
  <c r="T73" i="159"/>
  <c r="P87" i="159"/>
  <c r="T89" i="159"/>
  <c r="T113" i="159"/>
  <c r="F115" i="159"/>
  <c r="F113" i="159"/>
  <c r="J114" i="159"/>
  <c r="J95" i="159"/>
  <c r="J91" i="159"/>
  <c r="J87" i="159"/>
  <c r="J83" i="159"/>
  <c r="J79" i="159"/>
  <c r="J73" i="159"/>
  <c r="J61" i="159"/>
  <c r="N115" i="159"/>
  <c r="N113" i="159"/>
  <c r="N80" i="159"/>
  <c r="N74" i="159"/>
  <c r="N60" i="159"/>
  <c r="N58" i="159"/>
  <c r="N52" i="159"/>
  <c r="R114" i="159"/>
  <c r="R73" i="159"/>
  <c r="V115" i="159"/>
  <c r="V113" i="159"/>
  <c r="V96" i="159"/>
  <c r="V84" i="159"/>
  <c r="V60" i="159"/>
  <c r="V52" i="159"/>
  <c r="J80" i="159"/>
  <c r="V81" i="159"/>
  <c r="N83" i="159"/>
  <c r="N91" i="159"/>
  <c r="N114" i="159"/>
  <c r="J19" i="159"/>
  <c r="R19" i="159"/>
  <c r="F20" i="159"/>
  <c r="N20" i="159"/>
  <c r="V20" i="159"/>
  <c r="J21" i="159"/>
  <c r="R21" i="159"/>
  <c r="F25" i="159"/>
  <c r="N25" i="159"/>
  <c r="V25" i="159"/>
  <c r="J26" i="159"/>
  <c r="R26" i="159"/>
  <c r="F27" i="159"/>
  <c r="N27" i="159"/>
  <c r="V27" i="159"/>
  <c r="F28" i="159"/>
  <c r="J28" i="159"/>
  <c r="N28" i="159"/>
  <c r="R28" i="159"/>
  <c r="V28" i="159"/>
  <c r="F32" i="159"/>
  <c r="N32" i="159"/>
  <c r="V32" i="159"/>
  <c r="J36" i="159"/>
  <c r="R36" i="159"/>
  <c r="F37" i="159"/>
  <c r="N37" i="159"/>
  <c r="V37" i="159"/>
  <c r="J38" i="159"/>
  <c r="R38" i="159"/>
  <c r="F39" i="159"/>
  <c r="N39" i="159"/>
  <c r="V39" i="159"/>
  <c r="J40" i="159"/>
  <c r="R40" i="159"/>
  <c r="F41" i="159"/>
  <c r="N41" i="159"/>
  <c r="V41" i="159"/>
  <c r="J42" i="159"/>
  <c r="R42" i="159"/>
  <c r="F43" i="159"/>
  <c r="N43" i="159"/>
  <c r="V43" i="159"/>
  <c r="J44" i="159"/>
  <c r="R44" i="159"/>
  <c r="F45" i="159"/>
  <c r="N45" i="159"/>
  <c r="V45" i="159"/>
  <c r="T46" i="159"/>
  <c r="V55" i="159"/>
  <c r="J62" i="159"/>
  <c r="V71" i="159"/>
  <c r="R84" i="159"/>
  <c r="V87" i="159"/>
  <c r="N89" i="159"/>
  <c r="F114" i="159"/>
  <c r="R115" i="159"/>
  <c r="D115" i="158"/>
  <c r="D113" i="158"/>
  <c r="D114" i="158"/>
  <c r="D91" i="158"/>
  <c r="D44" i="158"/>
  <c r="D46" i="158"/>
  <c r="D43" i="158"/>
  <c r="D41" i="158"/>
  <c r="D39" i="158"/>
  <c r="D37" i="158"/>
  <c r="D32" i="158"/>
  <c r="D45" i="158"/>
  <c r="D28" i="158"/>
  <c r="D42" i="158"/>
  <c r="D40" i="158"/>
  <c r="D38" i="158"/>
  <c r="T115" i="158"/>
  <c r="T113" i="158"/>
  <c r="T87" i="158"/>
  <c r="T84" i="158"/>
  <c r="T82" i="158"/>
  <c r="T80" i="158"/>
  <c r="T74" i="158"/>
  <c r="T81" i="158"/>
  <c r="T62" i="158"/>
  <c r="T58" i="158"/>
  <c r="T44" i="158"/>
  <c r="T61" i="158"/>
  <c r="T53" i="158"/>
  <c r="T46" i="158"/>
  <c r="T41" i="158"/>
  <c r="T39" i="158"/>
  <c r="T37" i="158"/>
  <c r="T32" i="158"/>
  <c r="T94" i="158"/>
  <c r="T28" i="158"/>
  <c r="T114" i="158"/>
  <c r="T43" i="158"/>
  <c r="T42" i="158"/>
  <c r="T40" i="158"/>
  <c r="T38" i="158"/>
  <c r="T36" i="158"/>
  <c r="D36" i="158"/>
  <c r="T93" i="158"/>
  <c r="T20" i="158"/>
  <c r="T21" i="158"/>
  <c r="D25" i="158"/>
  <c r="D26" i="158"/>
  <c r="P114" i="158"/>
  <c r="P115" i="158"/>
  <c r="P81" i="158"/>
  <c r="P79" i="158"/>
  <c r="P94" i="158"/>
  <c r="P57" i="158"/>
  <c r="P45" i="158"/>
  <c r="P43" i="158"/>
  <c r="P46" i="158"/>
  <c r="P44" i="158"/>
  <c r="P42" i="158"/>
  <c r="P40" i="158"/>
  <c r="P38" i="158"/>
  <c r="P36" i="158"/>
  <c r="P31" i="158"/>
  <c r="P84" i="158"/>
  <c r="P28" i="158"/>
  <c r="P87" i="158"/>
  <c r="P41" i="158"/>
  <c r="P39" i="158"/>
  <c r="P37" i="158"/>
  <c r="T33" i="158"/>
  <c r="T79" i="158"/>
  <c r="T19" i="158"/>
  <c r="P25" i="158"/>
  <c r="T27" i="158"/>
  <c r="L115" i="158"/>
  <c r="L113" i="158"/>
  <c r="L114" i="158"/>
  <c r="L84" i="158"/>
  <c r="L82" i="158"/>
  <c r="L80" i="158"/>
  <c r="L74" i="158"/>
  <c r="L91" i="158"/>
  <c r="L79" i="158"/>
  <c r="L62" i="158"/>
  <c r="L58" i="158"/>
  <c r="L44" i="158"/>
  <c r="L95" i="158"/>
  <c r="L46" i="158"/>
  <c r="L41" i="158"/>
  <c r="L39" i="158"/>
  <c r="L37" i="158"/>
  <c r="L32" i="158"/>
  <c r="L81" i="158"/>
  <c r="L57" i="158"/>
  <c r="L43" i="158"/>
  <c r="L28" i="158"/>
  <c r="L96" i="158"/>
  <c r="L45" i="158"/>
  <c r="L42" i="158"/>
  <c r="L40" i="158"/>
  <c r="L38" i="158"/>
  <c r="L36" i="158"/>
  <c r="P33" i="158"/>
  <c r="T45" i="158"/>
  <c r="P113" i="158"/>
  <c r="L19" i="158"/>
  <c r="D20" i="158"/>
  <c r="D21" i="158"/>
  <c r="P21" i="158"/>
  <c r="T25" i="158"/>
  <c r="T26" i="158"/>
  <c r="L27" i="158"/>
  <c r="H114" i="158"/>
  <c r="H83" i="158"/>
  <c r="H113" i="158"/>
  <c r="H61" i="158"/>
  <c r="H45" i="158"/>
  <c r="H43" i="158"/>
  <c r="H46" i="158"/>
  <c r="H42" i="158"/>
  <c r="H40" i="158"/>
  <c r="H38" i="158"/>
  <c r="H36" i="158"/>
  <c r="H31" i="158"/>
  <c r="H115" i="158"/>
  <c r="H28" i="158"/>
  <c r="H41" i="158"/>
  <c r="H39" i="158"/>
  <c r="H37" i="158"/>
  <c r="T31" i="158"/>
  <c r="P32" i="158"/>
  <c r="L33" i="158"/>
  <c r="F19" i="158"/>
  <c r="N19" i="158"/>
  <c r="V19" i="158"/>
  <c r="J20" i="158"/>
  <c r="R20" i="158"/>
  <c r="F21" i="158"/>
  <c r="N21" i="158"/>
  <c r="V21" i="158"/>
  <c r="J25" i="158"/>
  <c r="R25" i="158"/>
  <c r="F26" i="158"/>
  <c r="N26" i="158"/>
  <c r="V26" i="158"/>
  <c r="J27" i="158"/>
  <c r="R27" i="158"/>
  <c r="F31" i="158"/>
  <c r="N31" i="158"/>
  <c r="V31" i="158"/>
  <c r="J32" i="158"/>
  <c r="R32" i="158"/>
  <c r="F36" i="158"/>
  <c r="N36" i="158"/>
  <c r="V36" i="158"/>
  <c r="J37" i="158"/>
  <c r="R37" i="158"/>
  <c r="F38" i="158"/>
  <c r="N38" i="158"/>
  <c r="V38" i="158"/>
  <c r="J39" i="158"/>
  <c r="R39" i="158"/>
  <c r="F40" i="158"/>
  <c r="N40" i="158"/>
  <c r="V40" i="158"/>
  <c r="J41" i="158"/>
  <c r="R41" i="158"/>
  <c r="F42" i="158"/>
  <c r="N42" i="158"/>
  <c r="V42" i="158"/>
  <c r="V43" i="158"/>
  <c r="N44" i="158"/>
  <c r="N45" i="158"/>
  <c r="R53" i="158"/>
  <c r="V57" i="158"/>
  <c r="R62" i="158"/>
  <c r="N69" i="158"/>
  <c r="V73" i="158"/>
  <c r="J80" i="158"/>
  <c r="F115" i="158"/>
  <c r="F113" i="158"/>
  <c r="F114" i="158"/>
  <c r="J114" i="158"/>
  <c r="J93" i="158"/>
  <c r="J89" i="158"/>
  <c r="J115" i="158"/>
  <c r="J113" i="158"/>
  <c r="J96" i="158"/>
  <c r="J94" i="158"/>
  <c r="J83" i="158"/>
  <c r="J73" i="158"/>
  <c r="N115" i="158"/>
  <c r="N113" i="158"/>
  <c r="N114" i="158"/>
  <c r="N95" i="158"/>
  <c r="N87" i="158"/>
  <c r="N84" i="158"/>
  <c r="N74" i="158"/>
  <c r="R114" i="158"/>
  <c r="R95" i="158"/>
  <c r="R89" i="158"/>
  <c r="R85" i="158"/>
  <c r="R115" i="158"/>
  <c r="R113" i="158"/>
  <c r="R79" i="158"/>
  <c r="R71" i="158"/>
  <c r="R69" i="158"/>
  <c r="V115" i="158"/>
  <c r="V113" i="158"/>
  <c r="V114" i="158"/>
  <c r="V91" i="158"/>
  <c r="N43" i="158"/>
  <c r="F44" i="158"/>
  <c r="F45" i="158"/>
  <c r="R45" i="158"/>
  <c r="J61" i="158"/>
  <c r="J62" i="158"/>
  <c r="V69" i="158"/>
  <c r="T111" i="158"/>
  <c r="H112" i="158"/>
  <c r="T111" i="165"/>
  <c r="V112" i="194"/>
  <c r="K116" i="194"/>
  <c r="L116" i="194"/>
  <c r="J93" i="195"/>
  <c r="C116" i="158"/>
  <c r="D116" i="158"/>
  <c r="P43" i="195"/>
  <c r="R27" i="195"/>
  <c r="R43" i="195"/>
  <c r="R46" i="195"/>
  <c r="R53" i="195"/>
  <c r="R82" i="195"/>
  <c r="R91" i="195"/>
  <c r="R72" i="195"/>
  <c r="R19" i="195"/>
  <c r="T71" i="195"/>
  <c r="P36" i="195"/>
  <c r="P113" i="195"/>
  <c r="P59" i="195"/>
  <c r="P44" i="195"/>
  <c r="P111" i="195"/>
  <c r="J85" i="195"/>
  <c r="J61" i="195"/>
  <c r="N25" i="195"/>
  <c r="L111" i="195"/>
  <c r="P26" i="195"/>
  <c r="P38" i="195"/>
  <c r="P97" i="195"/>
  <c r="P45" i="195"/>
  <c r="P37" i="195"/>
  <c r="P23" i="195"/>
  <c r="T32" i="195"/>
  <c r="P25" i="195"/>
  <c r="P81" i="195"/>
  <c r="P72" i="195"/>
  <c r="P53" i="195"/>
  <c r="P58" i="195"/>
  <c r="P114" i="195"/>
  <c r="P115" i="195"/>
  <c r="P60" i="195"/>
  <c r="P39" i="195"/>
  <c r="P19" i="195"/>
  <c r="P28" i="195"/>
  <c r="P40" i="195"/>
  <c r="T93" i="195"/>
  <c r="T57" i="195"/>
  <c r="T83" i="195"/>
  <c r="T61" i="195"/>
  <c r="P20" i="195"/>
  <c r="P96" i="195"/>
  <c r="P69" i="195"/>
  <c r="P82" i="195"/>
  <c r="P95" i="195"/>
  <c r="J28" i="195"/>
  <c r="P21" i="195"/>
  <c r="P32" i="195"/>
  <c r="P42" i="195"/>
  <c r="P41" i="195"/>
  <c r="P80" i="195"/>
  <c r="P61" i="195"/>
  <c r="P74" i="195"/>
  <c r="P91" i="195"/>
  <c r="N60" i="195"/>
  <c r="R38" i="195"/>
  <c r="R39" i="195"/>
  <c r="H24" i="195"/>
  <c r="H36" i="195"/>
  <c r="H44" i="195"/>
  <c r="H97" i="195"/>
  <c r="H37" i="195"/>
  <c r="N39" i="195"/>
  <c r="L19" i="195"/>
  <c r="H25" i="195"/>
  <c r="H91" i="195"/>
  <c r="H84" i="195"/>
  <c r="H83" i="195"/>
  <c r="H85" i="195"/>
  <c r="R114" i="195"/>
  <c r="R23" i="195"/>
  <c r="R93" i="195"/>
  <c r="H19" i="195"/>
  <c r="H28" i="195"/>
  <c r="H40" i="195"/>
  <c r="H94" i="195"/>
  <c r="H45" i="195"/>
  <c r="R40" i="195"/>
  <c r="R21" i="195"/>
  <c r="H60" i="195"/>
  <c r="H53" i="195"/>
  <c r="H57" i="195"/>
  <c r="H69" i="195"/>
  <c r="T39" i="195"/>
  <c r="J32" i="195"/>
  <c r="T115" i="195"/>
  <c r="L82" i="195"/>
  <c r="V27" i="195"/>
  <c r="N91" i="195"/>
  <c r="T21" i="195"/>
  <c r="T42" i="195"/>
  <c r="L40" i="195"/>
  <c r="T25" i="195"/>
  <c r="T95" i="195"/>
  <c r="T81" i="195"/>
  <c r="T113" i="195"/>
  <c r="T43" i="195"/>
  <c r="T38" i="195"/>
  <c r="N115" i="195"/>
  <c r="N114" i="195"/>
  <c r="T69" i="195"/>
  <c r="N28" i="195"/>
  <c r="T59" i="195"/>
  <c r="T26" i="195"/>
  <c r="T84" i="195"/>
  <c r="T20" i="195"/>
  <c r="R113" i="195"/>
  <c r="R79" i="195"/>
  <c r="R36" i="195"/>
  <c r="R20" i="195"/>
  <c r="R37" i="195"/>
  <c r="R45" i="195"/>
  <c r="R26" i="195"/>
  <c r="N37" i="195"/>
  <c r="L28" i="195"/>
  <c r="R74" i="195"/>
  <c r="R87" i="195"/>
  <c r="R96" i="195"/>
  <c r="R60" i="195"/>
  <c r="R111" i="195"/>
  <c r="L115" i="195"/>
  <c r="R115" i="195"/>
  <c r="R42" i="195"/>
  <c r="R24" i="195"/>
  <c r="R25" i="195"/>
  <c r="R41" i="195"/>
  <c r="R97" i="195"/>
  <c r="R58" i="195"/>
  <c r="N59" i="195"/>
  <c r="N23" i="195"/>
  <c r="N45" i="195"/>
  <c r="L93" i="195"/>
  <c r="R89" i="195"/>
  <c r="R69" i="195"/>
  <c r="R95" i="195"/>
  <c r="R71" i="195"/>
  <c r="R80" i="195"/>
  <c r="L95" i="195"/>
  <c r="L79" i="195"/>
  <c r="L89" i="195"/>
  <c r="L69" i="195"/>
  <c r="J115" i="195"/>
  <c r="J43" i="195"/>
  <c r="L43" i="195"/>
  <c r="L59" i="195"/>
  <c r="L21" i="195"/>
  <c r="L32" i="195"/>
  <c r="L42" i="195"/>
  <c r="L97" i="195"/>
  <c r="L20" i="195"/>
  <c r="L53" i="195"/>
  <c r="L91" i="195"/>
  <c r="L72" i="195"/>
  <c r="L85" i="195"/>
  <c r="L61" i="195"/>
  <c r="L27" i="195"/>
  <c r="L45" i="195"/>
  <c r="L114" i="195"/>
  <c r="L39" i="195"/>
  <c r="L24" i="195"/>
  <c r="L36" i="195"/>
  <c r="L44" i="195"/>
  <c r="L83" i="195"/>
  <c r="L60" i="195"/>
  <c r="L81" i="195"/>
  <c r="L46" i="195"/>
  <c r="L23" i="195"/>
  <c r="L41" i="195"/>
  <c r="L113" i="195"/>
  <c r="L26" i="195"/>
  <c r="L38" i="195"/>
  <c r="L84" i="195"/>
  <c r="L25" i="195"/>
  <c r="L71" i="195"/>
  <c r="L58" i="195"/>
  <c r="L73" i="195"/>
  <c r="J82" i="195"/>
  <c r="J36" i="195"/>
  <c r="J27" i="195"/>
  <c r="T19" i="195"/>
  <c r="T28" i="195"/>
  <c r="T40" i="195"/>
  <c r="T94" i="195"/>
  <c r="T79" i="195"/>
  <c r="T53" i="195"/>
  <c r="T80" i="195"/>
  <c r="T46" i="195"/>
  <c r="T27" i="195"/>
  <c r="T41" i="195"/>
  <c r="J113" i="195"/>
  <c r="T114" i="195"/>
  <c r="J95" i="195"/>
  <c r="J40" i="195"/>
  <c r="V28" i="195"/>
  <c r="T24" i="195"/>
  <c r="T36" i="195"/>
  <c r="T44" i="195"/>
  <c r="T97" i="195"/>
  <c r="T111" i="195"/>
  <c r="T82" i="195"/>
  <c r="T96" i="195"/>
  <c r="T85" i="195"/>
  <c r="T23" i="195"/>
  <c r="T45" i="195"/>
  <c r="M31" i="159"/>
  <c r="M10" i="159"/>
  <c r="Q31" i="159"/>
  <c r="Q10" i="159"/>
  <c r="U31" i="159"/>
  <c r="U10" i="159"/>
  <c r="G31" i="159"/>
  <c r="G10" i="159"/>
  <c r="O31" i="159"/>
  <c r="O10" i="159"/>
  <c r="S31" i="159"/>
  <c r="S10" i="159"/>
  <c r="K31" i="159"/>
  <c r="K10" i="159"/>
  <c r="I31" i="159"/>
  <c r="I10" i="159"/>
  <c r="Q46" i="198"/>
  <c r="G46" i="198"/>
  <c r="K46" i="198"/>
  <c r="U46" i="198"/>
  <c r="M46" i="198"/>
  <c r="I46" i="198"/>
  <c r="J59" i="195"/>
  <c r="J42" i="195"/>
  <c r="J38" i="195"/>
  <c r="J20" i="195"/>
  <c r="J37" i="195"/>
  <c r="J45" i="195"/>
  <c r="J97" i="195"/>
  <c r="J111" i="195"/>
  <c r="J89" i="195"/>
  <c r="J73" i="195"/>
  <c r="J79" i="195"/>
  <c r="J114" i="195"/>
  <c r="J19" i="195"/>
  <c r="J23" i="195"/>
  <c r="J39" i="195"/>
  <c r="J91" i="195"/>
  <c r="J96" i="195"/>
  <c r="J58" i="195"/>
  <c r="J44" i="195"/>
  <c r="J46" i="195"/>
  <c r="J26" i="195"/>
  <c r="J21" i="195"/>
  <c r="J57" i="195"/>
  <c r="N96" i="195"/>
  <c r="N85" i="195"/>
  <c r="N74" i="195"/>
  <c r="J24" i="195"/>
  <c r="J25" i="195"/>
  <c r="J41" i="195"/>
  <c r="J53" i="195"/>
  <c r="J81" i="195"/>
  <c r="J60" i="195"/>
  <c r="V115" i="195"/>
  <c r="V114" i="195"/>
  <c r="V43" i="195"/>
  <c r="F39" i="195"/>
  <c r="V36" i="195"/>
  <c r="V85" i="195"/>
  <c r="V38" i="195"/>
  <c r="V20" i="195"/>
  <c r="V37" i="195"/>
  <c r="V45" i="195"/>
  <c r="V72" i="195"/>
  <c r="V95" i="195"/>
  <c r="V74" i="195"/>
  <c r="N84" i="195"/>
  <c r="F79" i="195"/>
  <c r="V58" i="195"/>
  <c r="F114" i="195"/>
  <c r="V113" i="195"/>
  <c r="F19" i="195"/>
  <c r="V59" i="195"/>
  <c r="V42" i="195"/>
  <c r="V24" i="195"/>
  <c r="V23" i="195"/>
  <c r="V39" i="195"/>
  <c r="V93" i="195"/>
  <c r="F91" i="195"/>
  <c r="F95" i="195"/>
  <c r="V80" i="195"/>
  <c r="V87" i="195"/>
  <c r="V69" i="195"/>
  <c r="V57" i="195"/>
  <c r="N95" i="195"/>
  <c r="N69" i="195"/>
  <c r="F81" i="195"/>
  <c r="V60" i="195"/>
  <c r="V94" i="195"/>
  <c r="V73" i="195"/>
  <c r="V19" i="195"/>
  <c r="F24" i="195"/>
  <c r="V25" i="195"/>
  <c r="V41" i="195"/>
  <c r="V97" i="195"/>
  <c r="F25" i="195"/>
  <c r="F58" i="195"/>
  <c r="V91" i="195"/>
  <c r="V71" i="195"/>
  <c r="V89" i="195"/>
  <c r="V53" i="195"/>
  <c r="V40" i="195"/>
  <c r="C31" i="195"/>
  <c r="C33" i="193"/>
  <c r="D33" i="193"/>
  <c r="D75" i="171"/>
  <c r="D40" i="160"/>
  <c r="D113" i="160"/>
  <c r="D31" i="160"/>
  <c r="D43" i="160"/>
  <c r="D37" i="160"/>
  <c r="D45" i="160"/>
  <c r="D42" i="160"/>
  <c r="D115" i="160"/>
  <c r="D28" i="160"/>
  <c r="D39" i="160"/>
  <c r="D36" i="160"/>
  <c r="D44" i="160"/>
  <c r="D32" i="160"/>
  <c r="D46" i="160"/>
  <c r="D21" i="160"/>
  <c r="D63" i="160"/>
  <c r="D41" i="160"/>
  <c r="D38" i="160"/>
  <c r="D114" i="160"/>
  <c r="D27" i="160"/>
  <c r="D25" i="160"/>
  <c r="O116" i="159"/>
  <c r="P116" i="159"/>
  <c r="I116" i="170"/>
  <c r="J116" i="170"/>
  <c r="M116" i="194"/>
  <c r="N116" i="194"/>
  <c r="R112" i="194"/>
  <c r="M116" i="173"/>
  <c r="N116" i="173"/>
  <c r="Q116" i="173"/>
  <c r="R116" i="173"/>
  <c r="K116" i="167"/>
  <c r="L116" i="167"/>
  <c r="I116" i="167"/>
  <c r="J116" i="167"/>
  <c r="K116" i="165"/>
  <c r="L116" i="165"/>
  <c r="Q116" i="165"/>
  <c r="R116" i="165"/>
  <c r="C46" i="198"/>
  <c r="O46" i="198"/>
  <c r="E46" i="198"/>
  <c r="O116" i="163"/>
  <c r="P116" i="163"/>
  <c r="S46" i="198"/>
  <c r="P111" i="159"/>
  <c r="T62" i="159"/>
  <c r="D42" i="171"/>
  <c r="D19" i="171"/>
  <c r="D27" i="171"/>
  <c r="D58" i="171"/>
  <c r="D98" i="171"/>
  <c r="F31" i="194"/>
  <c r="G31" i="194"/>
  <c r="E31" i="195"/>
  <c r="E33" i="195"/>
  <c r="F33" i="195"/>
  <c r="E33" i="193"/>
  <c r="F33" i="193"/>
  <c r="F31" i="193"/>
  <c r="G31" i="193"/>
  <c r="H31" i="193"/>
  <c r="I31" i="193"/>
  <c r="J31" i="193"/>
  <c r="K31" i="193"/>
  <c r="L31" i="193"/>
  <c r="M31" i="193"/>
  <c r="Q94" i="195"/>
  <c r="R94" i="195"/>
  <c r="Q73" i="195"/>
  <c r="R73" i="195"/>
  <c r="I94" i="195"/>
  <c r="J94" i="195"/>
  <c r="I87" i="195"/>
  <c r="J87" i="195"/>
  <c r="I71" i="195"/>
  <c r="J71" i="195"/>
  <c r="I80" i="195"/>
  <c r="J80" i="195"/>
  <c r="N46" i="195"/>
  <c r="N97" i="195"/>
  <c r="N41" i="195"/>
  <c r="N27" i="195"/>
  <c r="N19" i="195"/>
  <c r="N36" i="195"/>
  <c r="N21" i="195"/>
  <c r="N26" i="195"/>
  <c r="N43" i="195"/>
  <c r="N20" i="195"/>
  <c r="N24" i="195"/>
  <c r="N38" i="195"/>
  <c r="N42" i="195"/>
  <c r="N83" i="195"/>
  <c r="N113" i="195"/>
  <c r="N32" i="195"/>
  <c r="U83" i="195"/>
  <c r="V83" i="195"/>
  <c r="U84" i="195"/>
  <c r="V84" i="195"/>
  <c r="N58" i="195"/>
  <c r="N71" i="195"/>
  <c r="N89" i="195"/>
  <c r="N73" i="195"/>
  <c r="N57" i="195"/>
  <c r="O112" i="194"/>
  <c r="I112" i="194"/>
  <c r="V52" i="194"/>
  <c r="Q81" i="195"/>
  <c r="R81" i="195"/>
  <c r="I69" i="195"/>
  <c r="J69" i="195"/>
  <c r="I74" i="195"/>
  <c r="J74" i="195"/>
  <c r="I84" i="195"/>
  <c r="J84" i="195"/>
  <c r="S74" i="195"/>
  <c r="T74" i="195"/>
  <c r="S91" i="195"/>
  <c r="T91" i="195"/>
  <c r="S58" i="195"/>
  <c r="T58" i="195"/>
  <c r="S72" i="195"/>
  <c r="T72" i="195"/>
  <c r="S89" i="195"/>
  <c r="T89" i="195"/>
  <c r="S73" i="195"/>
  <c r="T73" i="195"/>
  <c r="K87" i="195"/>
  <c r="L87" i="195"/>
  <c r="K74" i="195"/>
  <c r="L74" i="195"/>
  <c r="K94" i="195"/>
  <c r="L94" i="195"/>
  <c r="K57" i="195"/>
  <c r="L57" i="195"/>
  <c r="K96" i="195"/>
  <c r="L96" i="195"/>
  <c r="K80" i="195"/>
  <c r="L80" i="195"/>
  <c r="U96" i="195"/>
  <c r="V96" i="195"/>
  <c r="N72" i="195"/>
  <c r="M80" i="195"/>
  <c r="N80" i="195"/>
  <c r="N79" i="195"/>
  <c r="M93" i="195"/>
  <c r="N93" i="195"/>
  <c r="M61" i="195"/>
  <c r="N61" i="195"/>
  <c r="N94" i="195"/>
  <c r="O85" i="195"/>
  <c r="P85" i="195"/>
  <c r="O94" i="195"/>
  <c r="P94" i="195"/>
  <c r="O83" i="195"/>
  <c r="P83" i="195"/>
  <c r="G71" i="195"/>
  <c r="H71" i="195"/>
  <c r="G58" i="195"/>
  <c r="H58" i="195"/>
  <c r="G74" i="195"/>
  <c r="H74" i="195"/>
  <c r="G81" i="195"/>
  <c r="H81" i="195"/>
  <c r="Q61" i="195"/>
  <c r="R61" i="195"/>
  <c r="Q83" i="195"/>
  <c r="R83" i="195"/>
  <c r="I72" i="195"/>
  <c r="J72" i="195"/>
  <c r="S87" i="195"/>
  <c r="T87" i="195"/>
  <c r="S60" i="195"/>
  <c r="T60" i="195"/>
  <c r="U79" i="195"/>
  <c r="V79" i="195"/>
  <c r="U81" i="195"/>
  <c r="V81" i="195"/>
  <c r="M87" i="195"/>
  <c r="N87" i="195"/>
  <c r="M81" i="195"/>
  <c r="N81" i="195"/>
  <c r="M82" i="195"/>
  <c r="N82" i="195"/>
  <c r="V26" i="195"/>
  <c r="V21" i="195"/>
  <c r="O73" i="195"/>
  <c r="P73" i="195"/>
  <c r="O93" i="195"/>
  <c r="P93" i="195"/>
  <c r="O87" i="195"/>
  <c r="P87" i="195"/>
  <c r="O71" i="195"/>
  <c r="P71" i="195"/>
  <c r="E85" i="195"/>
  <c r="F85" i="195"/>
  <c r="E69" i="195"/>
  <c r="F69" i="195"/>
  <c r="E72" i="195"/>
  <c r="F72" i="195"/>
  <c r="F83" i="195"/>
  <c r="E82" i="195"/>
  <c r="F82" i="195"/>
  <c r="E71" i="195"/>
  <c r="F71" i="195"/>
  <c r="E93" i="195"/>
  <c r="F93" i="195"/>
  <c r="E61" i="195"/>
  <c r="F61" i="195"/>
  <c r="E87" i="195"/>
  <c r="F87" i="195"/>
  <c r="E96" i="195"/>
  <c r="F96" i="195"/>
  <c r="E80" i="195"/>
  <c r="F80" i="195"/>
  <c r="C79" i="195"/>
  <c r="D79" i="195"/>
  <c r="C85" i="195"/>
  <c r="D85" i="195"/>
  <c r="C69" i="195"/>
  <c r="D69" i="195"/>
  <c r="C82" i="195"/>
  <c r="D82" i="195"/>
  <c r="C84" i="195"/>
  <c r="D84" i="195"/>
  <c r="C93" i="195"/>
  <c r="D93" i="195"/>
  <c r="C61" i="195"/>
  <c r="D61" i="195"/>
  <c r="C87" i="195"/>
  <c r="D87" i="195"/>
  <c r="C60" i="195"/>
  <c r="D60" i="195"/>
  <c r="V72" i="193"/>
  <c r="V53" i="193"/>
  <c r="V69" i="193"/>
  <c r="V85" i="193"/>
  <c r="I52" i="195"/>
  <c r="V32" i="195"/>
  <c r="V61" i="195"/>
  <c r="U112" i="193"/>
  <c r="U62" i="195"/>
  <c r="V62" i="195"/>
  <c r="V62" i="193"/>
  <c r="N44" i="195"/>
  <c r="G52" i="195"/>
  <c r="Q62" i="195"/>
  <c r="R62" i="195"/>
  <c r="Q112" i="193"/>
  <c r="Q52" i="195"/>
  <c r="I83" i="195"/>
  <c r="J83" i="195"/>
  <c r="S52" i="195"/>
  <c r="M112" i="193"/>
  <c r="M62" i="195"/>
  <c r="N62" i="195"/>
  <c r="V73" i="193"/>
  <c r="V89" i="193"/>
  <c r="V84" i="193"/>
  <c r="K112" i="193"/>
  <c r="K62" i="195"/>
  <c r="L62" i="195"/>
  <c r="M52" i="195"/>
  <c r="O62" i="195"/>
  <c r="P62" i="195"/>
  <c r="O112" i="193"/>
  <c r="V80" i="193"/>
  <c r="V57" i="193"/>
  <c r="V83" i="193"/>
  <c r="V91" i="193"/>
  <c r="V74" i="193"/>
  <c r="I62" i="195"/>
  <c r="J62" i="195"/>
  <c r="I112" i="193"/>
  <c r="S112" i="193"/>
  <c r="S62" i="195"/>
  <c r="T62" i="195"/>
  <c r="K52" i="195"/>
  <c r="V52" i="193"/>
  <c r="U52" i="195"/>
  <c r="U82" i="195"/>
  <c r="V82" i="195"/>
  <c r="V82" i="193"/>
  <c r="N53" i="195"/>
  <c r="V44" i="195"/>
  <c r="O52" i="195"/>
  <c r="G62" i="195"/>
  <c r="H62" i="195"/>
  <c r="G112" i="193"/>
  <c r="F46" i="195"/>
  <c r="F53" i="195"/>
  <c r="F74" i="195"/>
  <c r="F42" i="195"/>
  <c r="F28" i="195"/>
  <c r="F27" i="195"/>
  <c r="E52" i="195"/>
  <c r="F115" i="195"/>
  <c r="F38" i="195"/>
  <c r="F20" i="195"/>
  <c r="F43" i="195"/>
  <c r="F73" i="195"/>
  <c r="F44" i="195"/>
  <c r="F21" i="195"/>
  <c r="F84" i="195"/>
  <c r="F41" i="195"/>
  <c r="F94" i="195"/>
  <c r="F26" i="195"/>
  <c r="F113" i="195"/>
  <c r="F36" i="195"/>
  <c r="F59" i="195"/>
  <c r="F23" i="195"/>
  <c r="F37" i="195"/>
  <c r="F45" i="195"/>
  <c r="F89" i="195"/>
  <c r="F97" i="195"/>
  <c r="F40" i="195"/>
  <c r="F57" i="195"/>
  <c r="E112" i="193"/>
  <c r="E62" i="195"/>
  <c r="F62" i="195"/>
  <c r="F60" i="195"/>
  <c r="C62" i="195"/>
  <c r="D62" i="195"/>
  <c r="C112" i="193"/>
  <c r="C52" i="195"/>
  <c r="D31" i="171"/>
  <c r="D81" i="171"/>
  <c r="D78" i="171"/>
  <c r="D77" i="171"/>
  <c r="D111" i="171"/>
  <c r="D45" i="171"/>
  <c r="D115" i="171"/>
  <c r="D96" i="171"/>
  <c r="D52" i="171"/>
  <c r="D56" i="171"/>
  <c r="D37" i="171"/>
  <c r="D86" i="171"/>
  <c r="D69" i="171"/>
  <c r="D91" i="171"/>
  <c r="D43" i="171"/>
  <c r="D24" i="171"/>
  <c r="D68" i="171"/>
  <c r="D100" i="171"/>
  <c r="D90" i="171"/>
  <c r="D93" i="171"/>
  <c r="D103" i="171"/>
  <c r="D71" i="171"/>
  <c r="D41" i="171"/>
  <c r="D28" i="171"/>
  <c r="D38" i="171"/>
  <c r="D114" i="171"/>
  <c r="D26" i="171"/>
  <c r="D25" i="171"/>
  <c r="D89" i="171"/>
  <c r="D102" i="171"/>
  <c r="D101" i="171"/>
  <c r="D73" i="171"/>
  <c r="D92" i="171"/>
  <c r="D64" i="171"/>
  <c r="D84" i="171"/>
  <c r="D54" i="171"/>
  <c r="D88" i="171"/>
  <c r="D66" i="171"/>
  <c r="D99" i="171"/>
  <c r="D83" i="171"/>
  <c r="D97" i="171"/>
  <c r="D59" i="171"/>
  <c r="D32" i="171"/>
  <c r="D40" i="171"/>
  <c r="D46" i="171"/>
  <c r="D20" i="171"/>
  <c r="D53" i="171"/>
  <c r="D80" i="171"/>
  <c r="D70" i="171"/>
  <c r="C112" i="171"/>
  <c r="D112" i="171"/>
  <c r="D72" i="171"/>
  <c r="D87" i="171"/>
  <c r="D55" i="171"/>
  <c r="D39" i="171"/>
  <c r="D44" i="171"/>
  <c r="D36" i="171"/>
  <c r="D113" i="171"/>
  <c r="D21" i="171"/>
  <c r="D23" i="171"/>
  <c r="D60" i="171"/>
  <c r="D74" i="171"/>
  <c r="D94" i="171"/>
  <c r="D65" i="171"/>
  <c r="D85" i="171"/>
  <c r="D57" i="171"/>
  <c r="D76" i="171"/>
  <c r="D104" i="171"/>
  <c r="D82" i="171"/>
  <c r="D61" i="171"/>
  <c r="D95" i="171"/>
  <c r="D79" i="171"/>
  <c r="D63" i="171"/>
  <c r="D61" i="160"/>
  <c r="D97" i="160"/>
  <c r="D59" i="160"/>
  <c r="N111" i="195"/>
  <c r="V111" i="195"/>
  <c r="F111" i="195"/>
  <c r="R111" i="173"/>
  <c r="K112" i="163"/>
  <c r="L62" i="163"/>
  <c r="J112" i="165"/>
  <c r="I116" i="165"/>
  <c r="J116" i="165"/>
  <c r="M112" i="175"/>
  <c r="N112" i="175"/>
  <c r="Q112" i="172"/>
  <c r="R112" i="172"/>
  <c r="Q112" i="159"/>
  <c r="R112" i="159"/>
  <c r="R62" i="159"/>
  <c r="S112" i="169"/>
  <c r="T112" i="169"/>
  <c r="O116" i="170"/>
  <c r="P116" i="170"/>
  <c r="P111" i="170"/>
  <c r="K116" i="170"/>
  <c r="L116" i="170"/>
  <c r="Q116" i="167"/>
  <c r="R116" i="167"/>
  <c r="L111" i="167"/>
  <c r="P111" i="163"/>
  <c r="S116" i="158"/>
  <c r="T116" i="158"/>
  <c r="J111" i="170"/>
  <c r="I116" i="169"/>
  <c r="J116" i="169"/>
  <c r="G19" i="171"/>
  <c r="E28" i="171"/>
  <c r="C33" i="171"/>
  <c r="D33" i="171"/>
  <c r="C19" i="177"/>
  <c r="C33" i="160"/>
  <c r="D33" i="160"/>
  <c r="D54" i="160"/>
  <c r="D70" i="160"/>
  <c r="D86" i="160"/>
  <c r="D102" i="160"/>
  <c r="D72" i="160"/>
  <c r="D93" i="160"/>
  <c r="D65" i="160"/>
  <c r="D95" i="160"/>
  <c r="D75" i="160"/>
  <c r="D57" i="160"/>
  <c r="D96" i="160"/>
  <c r="D89" i="160"/>
  <c r="D71" i="160"/>
  <c r="D91" i="160"/>
  <c r="D26" i="160"/>
  <c r="D58" i="160"/>
  <c r="D74" i="160"/>
  <c r="D90" i="160"/>
  <c r="D56" i="160"/>
  <c r="D77" i="160"/>
  <c r="D99" i="160"/>
  <c r="D73" i="160"/>
  <c r="D101" i="160"/>
  <c r="D84" i="160"/>
  <c r="D68" i="160"/>
  <c r="D60" i="160"/>
  <c r="D81" i="160"/>
  <c r="D66" i="160"/>
  <c r="D82" i="160"/>
  <c r="D98" i="160"/>
  <c r="D67" i="160"/>
  <c r="D88" i="160"/>
  <c r="C111" i="160"/>
  <c r="D111" i="160"/>
  <c r="D87" i="160"/>
  <c r="D64" i="160"/>
  <c r="D103" i="160"/>
  <c r="D85" i="160"/>
  <c r="D79" i="160"/>
  <c r="D100" i="160"/>
  <c r="D53" i="160"/>
  <c r="D78" i="160"/>
  <c r="D104" i="160"/>
  <c r="D76" i="160"/>
  <c r="D94" i="160"/>
  <c r="D80" i="160"/>
  <c r="D69" i="160"/>
  <c r="C112" i="160"/>
  <c r="D112" i="160"/>
  <c r="D83" i="160"/>
  <c r="D92" i="160"/>
  <c r="D52" i="160"/>
  <c r="D23" i="160"/>
  <c r="D24" i="160"/>
  <c r="D55" i="160"/>
  <c r="E19" i="160"/>
  <c r="G20" i="160"/>
  <c r="E28" i="162"/>
  <c r="C28" i="162"/>
  <c r="D19" i="162"/>
  <c r="V62" i="168"/>
  <c r="R111" i="165"/>
  <c r="N62" i="161"/>
  <c r="H62" i="161"/>
  <c r="I116" i="159"/>
  <c r="J116" i="159"/>
  <c r="G20" i="178"/>
  <c r="G19" i="178"/>
  <c r="O111" i="175"/>
  <c r="P111" i="175"/>
  <c r="Q112" i="174"/>
  <c r="R112" i="174"/>
  <c r="S111" i="174"/>
  <c r="T111" i="174"/>
  <c r="V62" i="163"/>
  <c r="V62" i="164"/>
  <c r="G116" i="158"/>
  <c r="H116" i="158"/>
  <c r="I116" i="158"/>
  <c r="J116" i="158"/>
  <c r="I116" i="174"/>
  <c r="J116" i="174"/>
  <c r="M116" i="168"/>
  <c r="N116" i="168"/>
  <c r="N111" i="173"/>
  <c r="N62" i="158"/>
  <c r="L112" i="170"/>
  <c r="L62" i="161"/>
  <c r="J111" i="167"/>
  <c r="G112" i="167"/>
  <c r="H112" i="167"/>
  <c r="G111" i="170"/>
  <c r="H111" i="170"/>
  <c r="G112" i="173"/>
  <c r="H112" i="173"/>
  <c r="G111" i="161"/>
  <c r="H111" i="161"/>
  <c r="O116" i="173"/>
  <c r="P116" i="173"/>
  <c r="O116" i="165"/>
  <c r="P116" i="165"/>
  <c r="Q111" i="174"/>
  <c r="Q111" i="169"/>
  <c r="Q112" i="169"/>
  <c r="R112" i="169"/>
  <c r="Q116" i="168"/>
  <c r="R116" i="168"/>
  <c r="S112" i="174"/>
  <c r="T112" i="174"/>
  <c r="S112" i="167"/>
  <c r="T112" i="167"/>
  <c r="S112" i="170"/>
  <c r="S111" i="169"/>
  <c r="S111" i="175"/>
  <c r="T111" i="175"/>
  <c r="U111" i="175"/>
  <c r="V111" i="175"/>
  <c r="U112" i="172"/>
  <c r="V112" i="172"/>
  <c r="V62" i="172"/>
  <c r="U111" i="168"/>
  <c r="V111" i="168"/>
  <c r="U112" i="174"/>
  <c r="V112" i="174"/>
  <c r="V62" i="174"/>
  <c r="U112" i="161"/>
  <c r="V112" i="161"/>
  <c r="V62" i="161"/>
  <c r="U116" i="159"/>
  <c r="V116" i="159"/>
  <c r="U112" i="175"/>
  <c r="V112" i="175"/>
  <c r="V62" i="175"/>
  <c r="V111" i="159"/>
  <c r="S111" i="173"/>
  <c r="S116" i="173"/>
  <c r="T116" i="173"/>
  <c r="S111" i="172"/>
  <c r="S111" i="168"/>
  <c r="T111" i="168"/>
  <c r="S112" i="168"/>
  <c r="T112" i="168"/>
  <c r="T112" i="158"/>
  <c r="S112" i="161"/>
  <c r="T112" i="161"/>
  <c r="T62" i="161"/>
  <c r="S112" i="172"/>
  <c r="T112" i="172"/>
  <c r="S111" i="161"/>
  <c r="T111" i="161"/>
  <c r="Q112" i="164"/>
  <c r="R112" i="164"/>
  <c r="R111" i="170"/>
  <c r="Q112" i="170"/>
  <c r="R112" i="170"/>
  <c r="Q112" i="163"/>
  <c r="R112" i="163"/>
  <c r="R62" i="163"/>
  <c r="O111" i="174"/>
  <c r="P111" i="174"/>
  <c r="O112" i="161"/>
  <c r="P112" i="161"/>
  <c r="P62" i="161"/>
  <c r="M111" i="172"/>
  <c r="N111" i="172"/>
  <c r="M112" i="165"/>
  <c r="K111" i="172"/>
  <c r="K116" i="174"/>
  <c r="L116" i="174"/>
  <c r="K116" i="159"/>
  <c r="L116" i="159"/>
  <c r="J111" i="158"/>
  <c r="J62" i="161"/>
  <c r="I116" i="168"/>
  <c r="J116" i="168"/>
  <c r="J112" i="174"/>
  <c r="G111" i="159"/>
  <c r="G116" i="159"/>
  <c r="H116" i="159"/>
  <c r="G111" i="168"/>
  <c r="H111" i="168"/>
  <c r="H62" i="159"/>
  <c r="G111" i="163"/>
  <c r="H111" i="163"/>
  <c r="H62" i="158"/>
  <c r="Q116" i="158"/>
  <c r="R116" i="158"/>
  <c r="K116" i="173"/>
  <c r="L116" i="173"/>
  <c r="L111" i="173"/>
  <c r="U111" i="158"/>
  <c r="V111" i="158"/>
  <c r="I116" i="163"/>
  <c r="J116" i="163"/>
  <c r="O116" i="168"/>
  <c r="P116" i="168"/>
  <c r="U116" i="165"/>
  <c r="V116" i="165"/>
  <c r="O116" i="167"/>
  <c r="P116" i="167"/>
  <c r="I116" i="173"/>
  <c r="J116" i="173"/>
  <c r="K116" i="161"/>
  <c r="L116" i="161"/>
  <c r="V62" i="173"/>
  <c r="G112" i="169"/>
  <c r="H112" i="169"/>
  <c r="H111" i="158"/>
  <c r="G111" i="173"/>
  <c r="H111" i="173"/>
  <c r="G111" i="172"/>
  <c r="G111" i="164"/>
  <c r="H111" i="164"/>
  <c r="G111" i="174"/>
  <c r="H111" i="174"/>
  <c r="D31" i="163"/>
  <c r="D31" i="173"/>
  <c r="D31" i="158"/>
  <c r="D31" i="162"/>
  <c r="E116" i="174"/>
  <c r="F116" i="174"/>
  <c r="C112" i="172"/>
  <c r="D112" i="172"/>
  <c r="D111" i="158"/>
  <c r="D62" i="159"/>
  <c r="D62" i="158"/>
  <c r="C111" i="173"/>
  <c r="C112" i="170"/>
  <c r="D112" i="170"/>
  <c r="C111" i="170"/>
  <c r="C112" i="161"/>
  <c r="D112" i="161"/>
  <c r="D62" i="161"/>
  <c r="C112" i="168"/>
  <c r="D112" i="168"/>
  <c r="C112" i="163"/>
  <c r="D112" i="163"/>
  <c r="D62" i="163"/>
  <c r="C111" i="164"/>
  <c r="C116" i="164"/>
  <c r="D116" i="164"/>
  <c r="C112" i="169"/>
  <c r="D112" i="169"/>
  <c r="C111" i="168"/>
  <c r="C112" i="165"/>
  <c r="C116" i="159"/>
  <c r="D116" i="159"/>
  <c r="C116" i="175"/>
  <c r="D116" i="175"/>
  <c r="D111" i="175"/>
  <c r="C111" i="172"/>
  <c r="C116" i="167"/>
  <c r="D116" i="167"/>
  <c r="C116" i="174"/>
  <c r="D116" i="174"/>
  <c r="F62" i="163"/>
  <c r="E116" i="163"/>
  <c r="F116" i="163"/>
  <c r="U111" i="163"/>
  <c r="U112" i="170"/>
  <c r="V62" i="170"/>
  <c r="V52" i="161"/>
  <c r="V52" i="175"/>
  <c r="U111" i="174"/>
  <c r="U112" i="167"/>
  <c r="V62" i="167"/>
  <c r="V111" i="173"/>
  <c r="U116" i="173"/>
  <c r="V116" i="173"/>
  <c r="U112" i="169"/>
  <c r="V62" i="169"/>
  <c r="U112" i="158"/>
  <c r="V62" i="158"/>
  <c r="V62" i="159"/>
  <c r="V62" i="165"/>
  <c r="U116" i="164"/>
  <c r="V116" i="164"/>
  <c r="S116" i="164"/>
  <c r="T116" i="164"/>
  <c r="T111" i="164"/>
  <c r="S116" i="159"/>
  <c r="T116" i="159"/>
  <c r="S116" i="163"/>
  <c r="T116" i="163"/>
  <c r="Q111" i="164"/>
  <c r="Q116" i="161"/>
  <c r="R116" i="161"/>
  <c r="R111" i="168"/>
  <c r="R111" i="161"/>
  <c r="R62" i="161"/>
  <c r="Q111" i="172"/>
  <c r="R111" i="159"/>
  <c r="Q112" i="175"/>
  <c r="R112" i="175"/>
  <c r="P111" i="158"/>
  <c r="O112" i="158"/>
  <c r="P112" i="158"/>
  <c r="P62" i="158"/>
  <c r="P111" i="161"/>
  <c r="O111" i="172"/>
  <c r="P111" i="172"/>
  <c r="O111" i="164"/>
  <c r="P52" i="161"/>
  <c r="O112" i="172"/>
  <c r="O116" i="169"/>
  <c r="P116" i="169"/>
  <c r="M112" i="174"/>
  <c r="M116" i="170"/>
  <c r="N116" i="170"/>
  <c r="N111" i="170"/>
  <c r="M116" i="158"/>
  <c r="N116" i="158"/>
  <c r="M112" i="172"/>
  <c r="M111" i="169"/>
  <c r="M112" i="159"/>
  <c r="N62" i="159"/>
  <c r="M111" i="163"/>
  <c r="M112" i="164"/>
  <c r="N112" i="164"/>
  <c r="M116" i="161"/>
  <c r="N116" i="161"/>
  <c r="K116" i="175"/>
  <c r="L116" i="175"/>
  <c r="L111" i="159"/>
  <c r="K116" i="169"/>
  <c r="L116" i="169"/>
  <c r="K116" i="158"/>
  <c r="L116" i="158"/>
  <c r="K116" i="164"/>
  <c r="L116" i="164"/>
  <c r="K116" i="168"/>
  <c r="L116" i="168"/>
  <c r="J112" i="173"/>
  <c r="I116" i="164"/>
  <c r="J116" i="164"/>
  <c r="J111" i="164"/>
  <c r="I111" i="172"/>
  <c r="J52" i="159"/>
  <c r="J52" i="163"/>
  <c r="I116" i="175"/>
  <c r="J116" i="175"/>
  <c r="I116" i="161"/>
  <c r="J116" i="161"/>
  <c r="H62" i="163"/>
  <c r="H52" i="163"/>
  <c r="G116" i="167"/>
  <c r="H116" i="167"/>
  <c r="G116" i="175"/>
  <c r="H116" i="175"/>
  <c r="G116" i="165"/>
  <c r="H116" i="165"/>
  <c r="F62" i="158"/>
  <c r="E116" i="165"/>
  <c r="F116" i="165"/>
  <c r="E116" i="173"/>
  <c r="F116" i="173"/>
  <c r="E116" i="158"/>
  <c r="F116" i="158"/>
  <c r="F112" i="165"/>
  <c r="E116" i="159"/>
  <c r="F116" i="159"/>
  <c r="F112" i="159"/>
  <c r="E111" i="167"/>
  <c r="F111" i="167"/>
  <c r="F111" i="158"/>
  <c r="F62" i="159"/>
  <c r="E111" i="172"/>
  <c r="F111" i="163"/>
  <c r="F62" i="161"/>
  <c r="E116" i="170"/>
  <c r="F116" i="170"/>
  <c r="F111" i="170"/>
  <c r="E111" i="168"/>
  <c r="E112" i="168"/>
  <c r="F112" i="168"/>
  <c r="E116" i="175"/>
  <c r="F116" i="175"/>
  <c r="F111" i="169"/>
  <c r="E116" i="164"/>
  <c r="F116" i="164"/>
  <c r="E116" i="161"/>
  <c r="F116" i="161"/>
  <c r="B48" i="118"/>
  <c r="A48" i="118"/>
  <c r="U50" i="118"/>
  <c r="U110" i="118"/>
  <c r="S50" i="118"/>
  <c r="S110" i="118"/>
  <c r="Q50" i="118"/>
  <c r="Q110" i="118"/>
  <c r="O50" i="118"/>
  <c r="O110" i="118"/>
  <c r="M50" i="118"/>
  <c r="M110" i="118"/>
  <c r="K50" i="118"/>
  <c r="K110" i="118"/>
  <c r="I50" i="118"/>
  <c r="I110" i="118"/>
  <c r="G50" i="118"/>
  <c r="G110" i="118"/>
  <c r="E50" i="118"/>
  <c r="E110" i="118"/>
  <c r="U46" i="118"/>
  <c r="S46" i="118"/>
  <c r="Q46" i="118"/>
  <c r="O46" i="118"/>
  <c r="M46" i="118"/>
  <c r="K46" i="118"/>
  <c r="I46" i="118"/>
  <c r="G46" i="118"/>
  <c r="E46" i="118"/>
  <c r="Q116" i="163"/>
  <c r="R116" i="163"/>
  <c r="G33" i="193"/>
  <c r="H33" i="193"/>
  <c r="I33" i="159"/>
  <c r="J33" i="159"/>
  <c r="J31" i="159"/>
  <c r="S33" i="159"/>
  <c r="T33" i="159"/>
  <c r="T31" i="159"/>
  <c r="Q33" i="159"/>
  <c r="R33" i="159"/>
  <c r="R31" i="159"/>
  <c r="G33" i="159"/>
  <c r="H33" i="159"/>
  <c r="H31" i="159"/>
  <c r="K33" i="159"/>
  <c r="L33" i="159"/>
  <c r="L31" i="159"/>
  <c r="O33" i="159"/>
  <c r="P33" i="159"/>
  <c r="P31" i="159"/>
  <c r="U33" i="159"/>
  <c r="V33" i="159"/>
  <c r="V31" i="159"/>
  <c r="M33" i="159"/>
  <c r="N33" i="159"/>
  <c r="N31" i="159"/>
  <c r="C33" i="195"/>
  <c r="D33" i="195"/>
  <c r="D31" i="195"/>
  <c r="F31" i="195"/>
  <c r="D62" i="160"/>
  <c r="G33" i="194"/>
  <c r="H33" i="194"/>
  <c r="H31" i="194"/>
  <c r="I31" i="194"/>
  <c r="I33" i="193"/>
  <c r="J33" i="193"/>
  <c r="K33" i="193"/>
  <c r="L33" i="193"/>
  <c r="G31" i="195"/>
  <c r="G33" i="195"/>
  <c r="H33" i="195"/>
  <c r="M33" i="193"/>
  <c r="N33" i="193"/>
  <c r="N31" i="193"/>
  <c r="O31" i="193"/>
  <c r="O116" i="194"/>
  <c r="P116" i="194"/>
  <c r="P112" i="194"/>
  <c r="I116" i="194"/>
  <c r="J116" i="194"/>
  <c r="J112" i="194"/>
  <c r="I116" i="193"/>
  <c r="J116" i="193"/>
  <c r="J112" i="193"/>
  <c r="I112" i="195"/>
  <c r="T52" i="195"/>
  <c r="Q112" i="195"/>
  <c r="R112" i="193"/>
  <c r="Q116" i="193"/>
  <c r="R116" i="193"/>
  <c r="J52" i="195"/>
  <c r="G112" i="195"/>
  <c r="G116" i="193"/>
  <c r="H116" i="193"/>
  <c r="H112" i="193"/>
  <c r="V52" i="195"/>
  <c r="K112" i="195"/>
  <c r="K116" i="193"/>
  <c r="L116" i="193"/>
  <c r="L112" i="193"/>
  <c r="H52" i="195"/>
  <c r="P52" i="195"/>
  <c r="T112" i="193"/>
  <c r="S116" i="193"/>
  <c r="T116" i="193"/>
  <c r="S112" i="195"/>
  <c r="L52" i="195"/>
  <c r="O112" i="195"/>
  <c r="O116" i="193"/>
  <c r="P116" i="193"/>
  <c r="P112" i="193"/>
  <c r="N52" i="195"/>
  <c r="M112" i="195"/>
  <c r="N112" i="193"/>
  <c r="M116" i="193"/>
  <c r="N116" i="193"/>
  <c r="R52" i="195"/>
  <c r="U112" i="195"/>
  <c r="V112" i="193"/>
  <c r="U116" i="193"/>
  <c r="V116" i="193"/>
  <c r="F112" i="193"/>
  <c r="E112" i="195"/>
  <c r="E116" i="193"/>
  <c r="F116" i="193"/>
  <c r="F52" i="195"/>
  <c r="C112" i="195"/>
  <c r="C116" i="193"/>
  <c r="D116" i="193"/>
  <c r="D112" i="193"/>
  <c r="D52" i="195"/>
  <c r="G116" i="168"/>
  <c r="H116" i="168"/>
  <c r="F97" i="171"/>
  <c r="F59" i="171"/>
  <c r="D62" i="171"/>
  <c r="C105" i="171"/>
  <c r="F97" i="162"/>
  <c r="F59" i="162"/>
  <c r="F19" i="162"/>
  <c r="D97" i="162"/>
  <c r="D59" i="162"/>
  <c r="S116" i="174"/>
  <c r="T116" i="174"/>
  <c r="M116" i="175"/>
  <c r="N116" i="175"/>
  <c r="Q116" i="159"/>
  <c r="R116" i="159"/>
  <c r="K116" i="163"/>
  <c r="L116" i="163"/>
  <c r="L112" i="163"/>
  <c r="T111" i="173"/>
  <c r="G116" i="161"/>
  <c r="H116" i="161"/>
  <c r="H111" i="159"/>
  <c r="F25" i="171"/>
  <c r="F58" i="171"/>
  <c r="F74" i="171"/>
  <c r="F90" i="171"/>
  <c r="F55" i="171"/>
  <c r="F71" i="171"/>
  <c r="F87" i="171"/>
  <c r="F103" i="171"/>
  <c r="F84" i="171"/>
  <c r="F61" i="171"/>
  <c r="F93" i="171"/>
  <c r="F88" i="171"/>
  <c r="F73" i="171"/>
  <c r="F78" i="171"/>
  <c r="F94" i="171"/>
  <c r="F75" i="171"/>
  <c r="F91" i="171"/>
  <c r="F60" i="171"/>
  <c r="F92" i="171"/>
  <c r="F69" i="171"/>
  <c r="F101" i="171"/>
  <c r="F104" i="171"/>
  <c r="F89" i="171"/>
  <c r="F65" i="171"/>
  <c r="F26" i="171"/>
  <c r="F54" i="171"/>
  <c r="F70" i="171"/>
  <c r="F86" i="171"/>
  <c r="F102" i="171"/>
  <c r="F67" i="171"/>
  <c r="F83" i="171"/>
  <c r="F99" i="171"/>
  <c r="F76" i="171"/>
  <c r="F53" i="171"/>
  <c r="F85" i="171"/>
  <c r="F72" i="171"/>
  <c r="F57" i="171"/>
  <c r="F96" i="171"/>
  <c r="F20" i="171"/>
  <c r="F23" i="171"/>
  <c r="F24" i="171"/>
  <c r="F46" i="171"/>
  <c r="F19" i="171"/>
  <c r="F82" i="171"/>
  <c r="F95" i="171"/>
  <c r="F56" i="171"/>
  <c r="F27" i="171"/>
  <c r="F41" i="171"/>
  <c r="F40" i="171"/>
  <c r="F113" i="171"/>
  <c r="F98" i="171"/>
  <c r="F68" i="171"/>
  <c r="F80" i="171"/>
  <c r="F66" i="171"/>
  <c r="F79" i="171"/>
  <c r="F77" i="171"/>
  <c r="F81" i="171"/>
  <c r="F39" i="171"/>
  <c r="F38" i="171"/>
  <c r="F115" i="171"/>
  <c r="F64" i="171"/>
  <c r="F43" i="171"/>
  <c r="F42" i="171"/>
  <c r="F31" i="171"/>
  <c r="F37" i="171"/>
  <c r="F36" i="171"/>
  <c r="F63" i="171"/>
  <c r="F21" i="171"/>
  <c r="F32" i="171"/>
  <c r="F114" i="171"/>
  <c r="F100" i="171"/>
  <c r="F28" i="171"/>
  <c r="F45" i="171"/>
  <c r="F44" i="171"/>
  <c r="I19" i="171"/>
  <c r="G28" i="171"/>
  <c r="F33" i="171"/>
  <c r="E28" i="177"/>
  <c r="C28" i="177"/>
  <c r="D19" i="177"/>
  <c r="C105" i="160"/>
  <c r="D105" i="160"/>
  <c r="G19" i="160"/>
  <c r="E28" i="160"/>
  <c r="F19" i="160"/>
  <c r="C116" i="160"/>
  <c r="D116" i="160"/>
  <c r="I20" i="160"/>
  <c r="K20" i="160"/>
  <c r="F53" i="162"/>
  <c r="F69" i="162"/>
  <c r="F85" i="162"/>
  <c r="F101" i="162"/>
  <c r="F71" i="162"/>
  <c r="F92" i="162"/>
  <c r="F57" i="162"/>
  <c r="F73" i="162"/>
  <c r="F89" i="162"/>
  <c r="F55" i="162"/>
  <c r="F76" i="162"/>
  <c r="F98" i="162"/>
  <c r="F67" i="162"/>
  <c r="F65" i="162"/>
  <c r="F87" i="162"/>
  <c r="F78" i="162"/>
  <c r="F99" i="162"/>
  <c r="F84" i="162"/>
  <c r="F75" i="162"/>
  <c r="F79" i="162"/>
  <c r="F102" i="162"/>
  <c r="F91" i="162"/>
  <c r="F26" i="162"/>
  <c r="F36" i="162"/>
  <c r="F33" i="162"/>
  <c r="F27" i="162"/>
  <c r="F39" i="162"/>
  <c r="F77" i="162"/>
  <c r="F60" i="162"/>
  <c r="F103" i="162"/>
  <c r="F83" i="162"/>
  <c r="F104" i="162"/>
  <c r="F95" i="162"/>
  <c r="F86" i="162"/>
  <c r="F100" i="162"/>
  <c r="F68" i="162"/>
  <c r="F24" i="162"/>
  <c r="F38" i="162"/>
  <c r="F46" i="162"/>
  <c r="F115" i="162"/>
  <c r="F41" i="162"/>
  <c r="F93" i="162"/>
  <c r="F72" i="162"/>
  <c r="F74" i="162"/>
  <c r="F58" i="162"/>
  <c r="F70" i="162"/>
  <c r="F21" i="162"/>
  <c r="F42" i="162"/>
  <c r="F28" i="162"/>
  <c r="F45" i="162"/>
  <c r="F82" i="162"/>
  <c r="F64" i="162"/>
  <c r="F25" i="162"/>
  <c r="F81" i="162"/>
  <c r="F63" i="162"/>
  <c r="F90" i="162"/>
  <c r="F32" i="162"/>
  <c r="F20" i="162"/>
  <c r="F66" i="162"/>
  <c r="F88" i="162"/>
  <c r="F54" i="162"/>
  <c r="F23" i="162"/>
  <c r="F31" i="162"/>
  <c r="F113" i="162"/>
  <c r="F43" i="162"/>
  <c r="F61" i="162"/>
  <c r="F94" i="162"/>
  <c r="F80" i="162"/>
  <c r="F40" i="162"/>
  <c r="F114" i="162"/>
  <c r="F37" i="162"/>
  <c r="F56" i="162"/>
  <c r="F96" i="162"/>
  <c r="F44" i="162"/>
  <c r="G28" i="162"/>
  <c r="D23" i="162"/>
  <c r="D58" i="162"/>
  <c r="D74" i="162"/>
  <c r="D90" i="162"/>
  <c r="D53" i="162"/>
  <c r="D75" i="162"/>
  <c r="D96" i="162"/>
  <c r="D68" i="162"/>
  <c r="D73" i="162"/>
  <c r="D87" i="162"/>
  <c r="D79" i="162"/>
  <c r="D81" i="162"/>
  <c r="D66" i="162"/>
  <c r="D82" i="162"/>
  <c r="D98" i="162"/>
  <c r="D64" i="162"/>
  <c r="D85" i="162"/>
  <c r="D55" i="162"/>
  <c r="D83" i="162"/>
  <c r="D56" i="162"/>
  <c r="D93" i="162"/>
  <c r="D67" i="162"/>
  <c r="D60" i="162"/>
  <c r="D99" i="162"/>
  <c r="D63" i="162"/>
  <c r="D94" i="162"/>
  <c r="D80" i="162"/>
  <c r="D76" i="162"/>
  <c r="D84" i="162"/>
  <c r="D95" i="162"/>
  <c r="D92" i="162"/>
  <c r="D70" i="162"/>
  <c r="D102" i="162"/>
  <c r="D91" i="162"/>
  <c r="D89" i="162"/>
  <c r="D103" i="162"/>
  <c r="D71" i="162"/>
  <c r="D100" i="162"/>
  <c r="D78" i="162"/>
  <c r="D101" i="162"/>
  <c r="D57" i="162"/>
  <c r="D38" i="162"/>
  <c r="D115" i="162"/>
  <c r="D43" i="162"/>
  <c r="D32" i="162"/>
  <c r="D36" i="162"/>
  <c r="D40" i="162"/>
  <c r="D44" i="162"/>
  <c r="D104" i="162"/>
  <c r="D86" i="162"/>
  <c r="D61" i="162"/>
  <c r="D77" i="162"/>
  <c r="D21" i="162"/>
  <c r="D26" i="162"/>
  <c r="D42" i="162"/>
  <c r="D113" i="162"/>
  <c r="D41" i="162"/>
  <c r="D27" i="162"/>
  <c r="D88" i="162"/>
  <c r="D69" i="162"/>
  <c r="D24" i="162"/>
  <c r="D45" i="162"/>
  <c r="D20" i="162"/>
  <c r="D46" i="162"/>
  <c r="D114" i="162"/>
  <c r="D65" i="162"/>
  <c r="D39" i="162"/>
  <c r="D72" i="162"/>
  <c r="D37" i="162"/>
  <c r="D54" i="162"/>
  <c r="D25" i="162"/>
  <c r="D28" i="162"/>
  <c r="D33" i="162"/>
  <c r="O116" i="175"/>
  <c r="P116" i="175"/>
  <c r="Q116" i="175"/>
  <c r="R116" i="175"/>
  <c r="I20" i="178"/>
  <c r="I19" i="178"/>
  <c r="E28" i="178"/>
  <c r="O116" i="161"/>
  <c r="P116" i="161"/>
  <c r="U116" i="172"/>
  <c r="V116" i="172"/>
  <c r="G116" i="170"/>
  <c r="H116" i="170"/>
  <c r="R111" i="174"/>
  <c r="Q116" i="174"/>
  <c r="R116" i="174"/>
  <c r="Q116" i="169"/>
  <c r="R116" i="169"/>
  <c r="R111" i="169"/>
  <c r="S116" i="169"/>
  <c r="T116" i="169"/>
  <c r="T111" i="169"/>
  <c r="S116" i="167"/>
  <c r="T116" i="167"/>
  <c r="S116" i="175"/>
  <c r="T116" i="175"/>
  <c r="S116" i="170"/>
  <c r="T116" i="170"/>
  <c r="T112" i="170"/>
  <c r="U116" i="168"/>
  <c r="V116" i="168"/>
  <c r="U116" i="175"/>
  <c r="V116" i="175"/>
  <c r="U116" i="161"/>
  <c r="V116" i="161"/>
  <c r="S116" i="172"/>
  <c r="T116" i="172"/>
  <c r="T111" i="172"/>
  <c r="S116" i="161"/>
  <c r="T116" i="161"/>
  <c r="S116" i="168"/>
  <c r="T116" i="168"/>
  <c r="Q116" i="170"/>
  <c r="R116" i="170"/>
  <c r="O116" i="174"/>
  <c r="P116" i="174"/>
  <c r="M116" i="165"/>
  <c r="N116" i="165"/>
  <c r="N112" i="165"/>
  <c r="K116" i="172"/>
  <c r="L116" i="172"/>
  <c r="L111" i="172"/>
  <c r="G116" i="173"/>
  <c r="H116" i="173"/>
  <c r="G116" i="163"/>
  <c r="H116" i="163"/>
  <c r="O116" i="158"/>
  <c r="P116" i="158"/>
  <c r="G116" i="169"/>
  <c r="H116" i="169"/>
  <c r="G116" i="174"/>
  <c r="H116" i="174"/>
  <c r="G116" i="164"/>
  <c r="H116" i="164"/>
  <c r="G116" i="172"/>
  <c r="H116" i="172"/>
  <c r="H111" i="172"/>
  <c r="C116" i="169"/>
  <c r="D116" i="169"/>
  <c r="C116" i="161"/>
  <c r="D116" i="161"/>
  <c r="C116" i="170"/>
  <c r="D116" i="170"/>
  <c r="D111" i="170"/>
  <c r="C116" i="163"/>
  <c r="D116" i="163"/>
  <c r="C116" i="173"/>
  <c r="D116" i="173"/>
  <c r="D111" i="173"/>
  <c r="C116" i="168"/>
  <c r="D116" i="168"/>
  <c r="D111" i="168"/>
  <c r="C116" i="171"/>
  <c r="D116" i="171"/>
  <c r="D111" i="164"/>
  <c r="D112" i="165"/>
  <c r="C116" i="165"/>
  <c r="D116" i="165"/>
  <c r="C107" i="171"/>
  <c r="D107" i="171"/>
  <c r="D105" i="171"/>
  <c r="C116" i="172"/>
  <c r="D116" i="172"/>
  <c r="D111" i="172"/>
  <c r="V112" i="158"/>
  <c r="U116" i="158"/>
  <c r="V116" i="158"/>
  <c r="U116" i="167"/>
  <c r="V116" i="167"/>
  <c r="V112" i="167"/>
  <c r="V112" i="169"/>
  <c r="U116" i="169"/>
  <c r="V116" i="169"/>
  <c r="U116" i="174"/>
  <c r="V116" i="174"/>
  <c r="V111" i="174"/>
  <c r="V112" i="170"/>
  <c r="U116" i="170"/>
  <c r="V116" i="170"/>
  <c r="U116" i="163"/>
  <c r="V116" i="163"/>
  <c r="V111" i="163"/>
  <c r="Q116" i="172"/>
  <c r="R116" i="172"/>
  <c r="R111" i="172"/>
  <c r="R111" i="164"/>
  <c r="Q116" i="164"/>
  <c r="R116" i="164"/>
  <c r="O116" i="172"/>
  <c r="P116" i="172"/>
  <c r="P112" i="172"/>
  <c r="O116" i="164"/>
  <c r="P116" i="164"/>
  <c r="P111" i="164"/>
  <c r="N111" i="169"/>
  <c r="M116" i="169"/>
  <c r="N116" i="169"/>
  <c r="M116" i="163"/>
  <c r="N116" i="163"/>
  <c r="N111" i="163"/>
  <c r="M116" i="159"/>
  <c r="N116" i="159"/>
  <c r="N112" i="159"/>
  <c r="M116" i="164"/>
  <c r="N116" i="164"/>
  <c r="M116" i="174"/>
  <c r="N116" i="174"/>
  <c r="N112" i="174"/>
  <c r="M116" i="172"/>
  <c r="N116" i="172"/>
  <c r="N112" i="172"/>
  <c r="I116" i="172"/>
  <c r="J116" i="172"/>
  <c r="J111" i="172"/>
  <c r="E116" i="167"/>
  <c r="F116" i="167"/>
  <c r="E116" i="172"/>
  <c r="F116" i="172"/>
  <c r="F111" i="172"/>
  <c r="E116" i="168"/>
  <c r="F116" i="168"/>
  <c r="F111" i="168"/>
  <c r="H97" i="162"/>
  <c r="H96" i="162"/>
  <c r="H91" i="162"/>
  <c r="H84" i="162"/>
  <c r="H80" i="162"/>
  <c r="H72" i="162"/>
  <c r="H61" i="162"/>
  <c r="H57" i="162"/>
  <c r="H101" i="162"/>
  <c r="H93" i="162"/>
  <c r="H85" i="162"/>
  <c r="H81" i="162"/>
  <c r="H73" i="162"/>
  <c r="H89" i="162"/>
  <c r="H79" i="162"/>
  <c r="H71" i="162"/>
  <c r="H55" i="162"/>
  <c r="H94" i="162"/>
  <c r="H82" i="162"/>
  <c r="H69" i="162"/>
  <c r="H60" i="162"/>
  <c r="H58" i="162"/>
  <c r="H53" i="162"/>
  <c r="H95" i="162"/>
  <c r="H83" i="162"/>
  <c r="H62" i="162"/>
  <c r="H52" i="162"/>
  <c r="H87" i="162"/>
  <c r="H74" i="162"/>
  <c r="H59" i="162"/>
  <c r="F97" i="178"/>
  <c r="F94" i="178"/>
  <c r="F87" i="178"/>
  <c r="F82" i="178"/>
  <c r="F74" i="178"/>
  <c r="F69" i="178"/>
  <c r="F57" i="178"/>
  <c r="F53" i="178"/>
  <c r="F93" i="178"/>
  <c r="F85" i="178"/>
  <c r="F96" i="178"/>
  <c r="F91" i="178"/>
  <c r="F84" i="178"/>
  <c r="F80" i="178"/>
  <c r="F72" i="178"/>
  <c r="F61" i="178"/>
  <c r="F55" i="178"/>
  <c r="F95" i="178"/>
  <c r="F89" i="178"/>
  <c r="F83" i="178"/>
  <c r="F58" i="178"/>
  <c r="F52" i="178"/>
  <c r="F79" i="178"/>
  <c r="F71" i="178"/>
  <c r="F60" i="178"/>
  <c r="F81" i="178"/>
  <c r="F73" i="178"/>
  <c r="F62" i="178"/>
  <c r="F59" i="178"/>
  <c r="H31" i="195"/>
  <c r="I33" i="194"/>
  <c r="J31" i="194"/>
  <c r="K31" i="194"/>
  <c r="I31" i="195"/>
  <c r="O33" i="193"/>
  <c r="P31" i="193"/>
  <c r="Q31" i="193"/>
  <c r="T112" i="195"/>
  <c r="S116" i="195"/>
  <c r="T116" i="195"/>
  <c r="J112" i="195"/>
  <c r="I116" i="195"/>
  <c r="J116" i="195"/>
  <c r="V112" i="195"/>
  <c r="U116" i="195"/>
  <c r="V116" i="195"/>
  <c r="R112" i="195"/>
  <c r="Q116" i="195"/>
  <c r="R116" i="195"/>
  <c r="N112" i="195"/>
  <c r="M116" i="195"/>
  <c r="N116" i="195"/>
  <c r="P112" i="195"/>
  <c r="O116" i="195"/>
  <c r="P116" i="195"/>
  <c r="K116" i="195"/>
  <c r="L116" i="195"/>
  <c r="L112" i="195"/>
  <c r="H112" i="195"/>
  <c r="G116" i="195"/>
  <c r="H116" i="195"/>
  <c r="F112" i="195"/>
  <c r="E116" i="195"/>
  <c r="F116" i="195"/>
  <c r="C116" i="195"/>
  <c r="D116" i="195"/>
  <c r="D112" i="195"/>
  <c r="D97" i="177"/>
  <c r="D59" i="177"/>
  <c r="F97" i="177"/>
  <c r="F59" i="177"/>
  <c r="H97" i="171"/>
  <c r="H59" i="171"/>
  <c r="F97" i="160"/>
  <c r="F59" i="160"/>
  <c r="C107" i="160"/>
  <c r="D107" i="160"/>
  <c r="H20" i="171"/>
  <c r="H21" i="171"/>
  <c r="H67" i="171"/>
  <c r="H83" i="171"/>
  <c r="H99" i="171"/>
  <c r="H66" i="171"/>
  <c r="H88" i="171"/>
  <c r="H54" i="171"/>
  <c r="H84" i="171"/>
  <c r="H57" i="171"/>
  <c r="H92" i="171"/>
  <c r="H74" i="171"/>
  <c r="H80" i="171"/>
  <c r="H94" i="171"/>
  <c r="H81" i="171"/>
  <c r="H26" i="171"/>
  <c r="H46" i="171"/>
  <c r="H55" i="171"/>
  <c r="H71" i="171"/>
  <c r="H87" i="171"/>
  <c r="H103" i="171"/>
  <c r="H72" i="171"/>
  <c r="H93" i="171"/>
  <c r="H90" i="171"/>
  <c r="H70" i="171"/>
  <c r="H100" i="171"/>
  <c r="H89" i="171"/>
  <c r="H96" i="171"/>
  <c r="H86" i="171"/>
  <c r="H65" i="171"/>
  <c r="H25" i="171"/>
  <c r="H27" i="171"/>
  <c r="H24" i="171"/>
  <c r="H23" i="171"/>
  <c r="H63" i="171"/>
  <c r="H79" i="171"/>
  <c r="H95" i="171"/>
  <c r="H61" i="171"/>
  <c r="H82" i="171"/>
  <c r="H104" i="171"/>
  <c r="H76" i="171"/>
  <c r="H85" i="171"/>
  <c r="H60" i="171"/>
  <c r="H58" i="171"/>
  <c r="H73" i="171"/>
  <c r="H68" i="171"/>
  <c r="H33" i="171"/>
  <c r="H91" i="171"/>
  <c r="H69" i="171"/>
  <c r="H102" i="171"/>
  <c r="H115" i="171"/>
  <c r="H41" i="171"/>
  <c r="H56" i="171"/>
  <c r="H53" i="171"/>
  <c r="H75" i="171"/>
  <c r="H98" i="171"/>
  <c r="H64" i="171"/>
  <c r="H114" i="171"/>
  <c r="H39" i="171"/>
  <c r="H78" i="171"/>
  <c r="H32" i="171"/>
  <c r="H37" i="171"/>
  <c r="H43" i="171"/>
  <c r="H45" i="171"/>
  <c r="H28" i="171"/>
  <c r="H40" i="171"/>
  <c r="H36" i="171"/>
  <c r="H44" i="171"/>
  <c r="H101" i="171"/>
  <c r="H31" i="171"/>
  <c r="H42" i="171"/>
  <c r="H113" i="171"/>
  <c r="H77" i="171"/>
  <c r="H38" i="171"/>
  <c r="K19" i="171"/>
  <c r="I28" i="171"/>
  <c r="E112" i="171"/>
  <c r="F112" i="171"/>
  <c r="F62" i="171"/>
  <c r="E105" i="171"/>
  <c r="F52" i="171"/>
  <c r="E111" i="171"/>
  <c r="H19" i="171"/>
  <c r="F94" i="177"/>
  <c r="F24" i="177"/>
  <c r="F82" i="177"/>
  <c r="F79" i="177"/>
  <c r="F95" i="177"/>
  <c r="F74" i="177"/>
  <c r="F55" i="177"/>
  <c r="F87" i="177"/>
  <c r="F96" i="177"/>
  <c r="F81" i="177"/>
  <c r="F85" i="177"/>
  <c r="F101" i="177"/>
  <c r="F42" i="177"/>
  <c r="F45" i="177"/>
  <c r="F36" i="177"/>
  <c r="F21" i="177"/>
  <c r="F115" i="177"/>
  <c r="F58" i="177"/>
  <c r="F71" i="177"/>
  <c r="F80" i="177"/>
  <c r="F23" i="177"/>
  <c r="F91" i="177"/>
  <c r="F72" i="177"/>
  <c r="F57" i="177"/>
  <c r="F89" i="177"/>
  <c r="F84" i="177"/>
  <c r="F61" i="177"/>
  <c r="F43" i="177"/>
  <c r="F38" i="177"/>
  <c r="F41" i="177"/>
  <c r="F20" i="177"/>
  <c r="F40" i="177"/>
  <c r="F26" i="177"/>
  <c r="F44" i="177"/>
  <c r="F113" i="177"/>
  <c r="F60" i="177"/>
  <c r="F93" i="177"/>
  <c r="F83" i="177"/>
  <c r="F73" i="177"/>
  <c r="F33" i="177"/>
  <c r="F53" i="177"/>
  <c r="F46" i="177"/>
  <c r="F27" i="177"/>
  <c r="F32" i="177"/>
  <c r="F69" i="177"/>
  <c r="F39" i="177"/>
  <c r="F37" i="177"/>
  <c r="F25" i="177"/>
  <c r="F28" i="177"/>
  <c r="F114" i="177"/>
  <c r="F31" i="177"/>
  <c r="G28" i="177"/>
  <c r="C33" i="177"/>
  <c r="D61" i="177"/>
  <c r="D93" i="177"/>
  <c r="D60" i="177"/>
  <c r="D82" i="177"/>
  <c r="D72" i="177"/>
  <c r="D94" i="177"/>
  <c r="D95" i="177"/>
  <c r="D24" i="177"/>
  <c r="D81" i="177"/>
  <c r="D87" i="177"/>
  <c r="D79" i="177"/>
  <c r="D57" i="177"/>
  <c r="D89" i="177"/>
  <c r="D58" i="177"/>
  <c r="D91" i="177"/>
  <c r="D69" i="177"/>
  <c r="D101" i="177"/>
  <c r="D83" i="177"/>
  <c r="D74" i="177"/>
  <c r="D96" i="177"/>
  <c r="D73" i="177"/>
  <c r="D21" i="177"/>
  <c r="D23" i="177"/>
  <c r="D46" i="177"/>
  <c r="D36" i="177"/>
  <c r="D44" i="177"/>
  <c r="D32" i="177"/>
  <c r="D43" i="177"/>
  <c r="D55" i="177"/>
  <c r="D85" i="177"/>
  <c r="D80" i="177"/>
  <c r="D25" i="177"/>
  <c r="D27" i="177"/>
  <c r="D38" i="177"/>
  <c r="D37" i="177"/>
  <c r="D45" i="177"/>
  <c r="D84" i="177"/>
  <c r="D26" i="177"/>
  <c r="D71" i="177"/>
  <c r="D42" i="177"/>
  <c r="D114" i="177"/>
  <c r="D31" i="177"/>
  <c r="D41" i="177"/>
  <c r="D113" i="177"/>
  <c r="D53" i="177"/>
  <c r="D40" i="177"/>
  <c r="D28" i="177"/>
  <c r="D115" i="177"/>
  <c r="D39" i="177"/>
  <c r="D20" i="177"/>
  <c r="F19" i="177"/>
  <c r="I19" i="160"/>
  <c r="G28" i="160"/>
  <c r="H19" i="160"/>
  <c r="F21" i="160"/>
  <c r="F57" i="160"/>
  <c r="F73" i="160"/>
  <c r="F89" i="160"/>
  <c r="F58" i="160"/>
  <c r="F79" i="160"/>
  <c r="F100" i="160"/>
  <c r="F70" i="160"/>
  <c r="F91" i="160"/>
  <c r="F71" i="160"/>
  <c r="F104" i="160"/>
  <c r="F56" i="160"/>
  <c r="F88" i="160"/>
  <c r="F23" i="160"/>
  <c r="F61" i="160"/>
  <c r="F77" i="160"/>
  <c r="F93" i="160"/>
  <c r="F63" i="160"/>
  <c r="F84" i="160"/>
  <c r="F54" i="160"/>
  <c r="F75" i="160"/>
  <c r="F96" i="160"/>
  <c r="F82" i="160"/>
  <c r="F72" i="160"/>
  <c r="F55" i="160"/>
  <c r="F78" i="160"/>
  <c r="F53" i="160"/>
  <c r="F69" i="160"/>
  <c r="F85" i="160"/>
  <c r="F101" i="160"/>
  <c r="F74" i="160"/>
  <c r="F95" i="160"/>
  <c r="F64" i="160"/>
  <c r="F86" i="160"/>
  <c r="F60" i="160"/>
  <c r="F103" i="160"/>
  <c r="F94" i="160"/>
  <c r="F98" i="160"/>
  <c r="F87" i="160"/>
  <c r="F67" i="160"/>
  <c r="F26" i="160"/>
  <c r="F68" i="160"/>
  <c r="F102" i="160"/>
  <c r="F99" i="160"/>
  <c r="F27" i="160"/>
  <c r="F37" i="160"/>
  <c r="F114" i="160"/>
  <c r="F41" i="160"/>
  <c r="F42" i="160"/>
  <c r="F81" i="160"/>
  <c r="F83" i="160"/>
  <c r="F33" i="160"/>
  <c r="F44" i="160"/>
  <c r="F31" i="160"/>
  <c r="F115" i="160"/>
  <c r="F45" i="160"/>
  <c r="F80" i="160"/>
  <c r="F76" i="160"/>
  <c r="F24" i="160"/>
  <c r="F25" i="160"/>
  <c r="F36" i="160"/>
  <c r="F28" i="160"/>
  <c r="F113" i="160"/>
  <c r="F43" i="160"/>
  <c r="F65" i="160"/>
  <c r="F20" i="160"/>
  <c r="F32" i="160"/>
  <c r="F46" i="160"/>
  <c r="F92" i="160"/>
  <c r="F90" i="160"/>
  <c r="F39" i="160"/>
  <c r="F66" i="160"/>
  <c r="F40" i="160"/>
  <c r="F38" i="160"/>
  <c r="M20" i="160"/>
  <c r="H19" i="162"/>
  <c r="H23" i="162"/>
  <c r="H45" i="162"/>
  <c r="H38" i="162"/>
  <c r="H21" i="162"/>
  <c r="H28" i="162"/>
  <c r="H37" i="162"/>
  <c r="H41" i="162"/>
  <c r="H114" i="162"/>
  <c r="H44" i="162"/>
  <c r="H36" i="162"/>
  <c r="H115" i="162"/>
  <c r="H113" i="162"/>
  <c r="H32" i="162"/>
  <c r="H46" i="162"/>
  <c r="H33" i="162"/>
  <c r="H40" i="162"/>
  <c r="H43" i="162"/>
  <c r="H24" i="162"/>
  <c r="H20" i="162"/>
  <c r="H31" i="162"/>
  <c r="H25" i="162"/>
  <c r="H26" i="162"/>
  <c r="H27" i="162"/>
  <c r="H39" i="162"/>
  <c r="H42" i="162"/>
  <c r="I28" i="162"/>
  <c r="J59" i="162"/>
  <c r="C112" i="162"/>
  <c r="D112" i="162"/>
  <c r="D62" i="162"/>
  <c r="C111" i="162"/>
  <c r="F52" i="162"/>
  <c r="E105" i="162"/>
  <c r="E112" i="162"/>
  <c r="F112" i="162"/>
  <c r="F62" i="162"/>
  <c r="D52" i="162"/>
  <c r="C105" i="162"/>
  <c r="E111" i="162"/>
  <c r="F24" i="178"/>
  <c r="F115" i="178"/>
  <c r="F43" i="178"/>
  <c r="F32" i="178"/>
  <c r="F20" i="178"/>
  <c r="F38" i="178"/>
  <c r="F21" i="178"/>
  <c r="F23" i="178"/>
  <c r="F113" i="178"/>
  <c r="F41" i="178"/>
  <c r="F28" i="178"/>
  <c r="F44" i="178"/>
  <c r="F36" i="178"/>
  <c r="F39" i="178"/>
  <c r="F42" i="178"/>
  <c r="F27" i="178"/>
  <c r="F45" i="178"/>
  <c r="F37" i="178"/>
  <c r="F40" i="178"/>
  <c r="F46" i="178"/>
  <c r="F114" i="178"/>
  <c r="F25" i="178"/>
  <c r="F26" i="178"/>
  <c r="F33" i="178"/>
  <c r="F31" i="178"/>
  <c r="G28" i="178"/>
  <c r="F19" i="178"/>
  <c r="K20" i="178"/>
  <c r="K19" i="178"/>
  <c r="N22" i="89"/>
  <c r="N21" i="89"/>
  <c r="N20" i="89"/>
  <c r="N19" i="89"/>
  <c r="N18" i="89"/>
  <c r="N17" i="89"/>
  <c r="N16" i="89"/>
  <c r="H55" i="177"/>
  <c r="J93" i="162"/>
  <c r="J85" i="162"/>
  <c r="J81" i="162"/>
  <c r="J73" i="162"/>
  <c r="J62" i="162"/>
  <c r="J58" i="162"/>
  <c r="J52" i="162"/>
  <c r="J94" i="162"/>
  <c r="J87" i="162"/>
  <c r="J82" i="162"/>
  <c r="J74" i="162"/>
  <c r="J91" i="162"/>
  <c r="J80" i="162"/>
  <c r="J69" i="162"/>
  <c r="J60" i="162"/>
  <c r="J53" i="162"/>
  <c r="J95" i="162"/>
  <c r="J83" i="162"/>
  <c r="J96" i="162"/>
  <c r="J84" i="162"/>
  <c r="J72" i="162"/>
  <c r="J57" i="162"/>
  <c r="J89" i="162"/>
  <c r="J79" i="162"/>
  <c r="J71" i="162"/>
  <c r="J61" i="162"/>
  <c r="J55" i="162"/>
  <c r="J97" i="162"/>
  <c r="H93" i="178"/>
  <c r="H85" i="178"/>
  <c r="H81" i="178"/>
  <c r="H73" i="178"/>
  <c r="H62" i="178"/>
  <c r="H52" i="178"/>
  <c r="H96" i="178"/>
  <c r="H91" i="178"/>
  <c r="H84" i="178"/>
  <c r="H55" i="178"/>
  <c r="H95" i="178"/>
  <c r="H89" i="178"/>
  <c r="H83" i="178"/>
  <c r="H79" i="178"/>
  <c r="H71" i="178"/>
  <c r="H60" i="178"/>
  <c r="H58" i="178"/>
  <c r="H94" i="178"/>
  <c r="H87" i="178"/>
  <c r="H80" i="178"/>
  <c r="H72" i="178"/>
  <c r="H61" i="178"/>
  <c r="H57" i="178"/>
  <c r="H82" i="178"/>
  <c r="H74" i="178"/>
  <c r="H69" i="178"/>
  <c r="H53" i="178"/>
  <c r="H97" i="178"/>
  <c r="H59" i="178"/>
  <c r="I33" i="195"/>
  <c r="J31" i="195"/>
  <c r="K33" i="194"/>
  <c r="L31" i="194"/>
  <c r="M31" i="194"/>
  <c r="K31" i="195"/>
  <c r="J33" i="194"/>
  <c r="P33" i="193"/>
  <c r="Q33" i="193"/>
  <c r="R31" i="193"/>
  <c r="S31" i="193"/>
  <c r="H97" i="177"/>
  <c r="H59" i="177"/>
  <c r="J97" i="171"/>
  <c r="J59" i="171"/>
  <c r="H97" i="160"/>
  <c r="H59" i="160"/>
  <c r="M19" i="171"/>
  <c r="K28" i="171"/>
  <c r="G111" i="171"/>
  <c r="H52" i="171"/>
  <c r="G105" i="171"/>
  <c r="E107" i="171"/>
  <c r="F107" i="171"/>
  <c r="F105" i="171"/>
  <c r="E116" i="171"/>
  <c r="F116" i="171"/>
  <c r="F111" i="171"/>
  <c r="J66" i="171"/>
  <c r="J82" i="171"/>
  <c r="J98" i="171"/>
  <c r="J65" i="171"/>
  <c r="J87" i="171"/>
  <c r="J53" i="171"/>
  <c r="J83" i="171"/>
  <c r="J56" i="171"/>
  <c r="J84" i="171"/>
  <c r="J64" i="171"/>
  <c r="J73" i="171"/>
  <c r="J85" i="171"/>
  <c r="J67" i="171"/>
  <c r="J20" i="171"/>
  <c r="J54" i="171"/>
  <c r="J70" i="171"/>
  <c r="J86" i="171"/>
  <c r="J102" i="171"/>
  <c r="J71" i="171"/>
  <c r="J92" i="171"/>
  <c r="J61" i="171"/>
  <c r="J89" i="171"/>
  <c r="J63" i="171"/>
  <c r="J91" i="171"/>
  <c r="J79" i="171"/>
  <c r="J88" i="171"/>
  <c r="J72" i="171"/>
  <c r="J95" i="171"/>
  <c r="J26" i="171"/>
  <c r="J23" i="171"/>
  <c r="J78" i="171"/>
  <c r="J94" i="171"/>
  <c r="J60" i="171"/>
  <c r="J81" i="171"/>
  <c r="J103" i="171"/>
  <c r="J75" i="171"/>
  <c r="J104" i="171"/>
  <c r="J77" i="171"/>
  <c r="J80" i="171"/>
  <c r="J57" i="171"/>
  <c r="J33" i="171"/>
  <c r="J90" i="171"/>
  <c r="J68" i="171"/>
  <c r="J93" i="171"/>
  <c r="J36" i="171"/>
  <c r="J44" i="171"/>
  <c r="J32" i="171"/>
  <c r="J43" i="171"/>
  <c r="J113" i="171"/>
  <c r="J55" i="171"/>
  <c r="J96" i="171"/>
  <c r="J101" i="171"/>
  <c r="J74" i="171"/>
  <c r="J99" i="171"/>
  <c r="J25" i="171"/>
  <c r="J24" i="171"/>
  <c r="J46" i="171"/>
  <c r="J28" i="171"/>
  <c r="J31" i="171"/>
  <c r="J42" i="171"/>
  <c r="J41" i="171"/>
  <c r="J115" i="171"/>
  <c r="J76" i="171"/>
  <c r="J45" i="171"/>
  <c r="J37" i="171"/>
  <c r="J69" i="171"/>
  <c r="J40" i="171"/>
  <c r="J39" i="171"/>
  <c r="J100" i="171"/>
  <c r="J21" i="171"/>
  <c r="J38" i="171"/>
  <c r="J27" i="171"/>
  <c r="J58" i="171"/>
  <c r="J114" i="171"/>
  <c r="G112" i="171"/>
  <c r="H112" i="171"/>
  <c r="H62" i="171"/>
  <c r="J19" i="171"/>
  <c r="H61" i="177"/>
  <c r="H93" i="177"/>
  <c r="H84" i="177"/>
  <c r="H80" i="177"/>
  <c r="H82" i="177"/>
  <c r="H81" i="177"/>
  <c r="H91" i="177"/>
  <c r="H96" i="177"/>
  <c r="H94" i="177"/>
  <c r="H83" i="177"/>
  <c r="H53" i="177"/>
  <c r="H85" i="177"/>
  <c r="H74" i="177"/>
  <c r="H60" i="177"/>
  <c r="H26" i="177"/>
  <c r="H113" i="177"/>
  <c r="H39" i="177"/>
  <c r="H38" i="177"/>
  <c r="H101" i="177"/>
  <c r="H57" i="177"/>
  <c r="H89" i="177"/>
  <c r="H79" i="177"/>
  <c r="H71" i="177"/>
  <c r="H33" i="177"/>
  <c r="H41" i="177"/>
  <c r="H114" i="177"/>
  <c r="H40" i="177"/>
  <c r="H69" i="177"/>
  <c r="H95" i="177"/>
  <c r="H87" i="177"/>
  <c r="H27" i="177"/>
  <c r="H115" i="177"/>
  <c r="H28" i="177"/>
  <c r="H45" i="177"/>
  <c r="H36" i="177"/>
  <c r="H73" i="177"/>
  <c r="H25" i="177"/>
  <c r="H37" i="177"/>
  <c r="H44" i="177"/>
  <c r="H58" i="177"/>
  <c r="H72" i="177"/>
  <c r="H24" i="177"/>
  <c r="H21" i="177"/>
  <c r="H46" i="177"/>
  <c r="H23" i="177"/>
  <c r="H31" i="177"/>
  <c r="H32" i="177"/>
  <c r="H42" i="177"/>
  <c r="H43" i="177"/>
  <c r="H20" i="177"/>
  <c r="I28" i="177"/>
  <c r="E111" i="177"/>
  <c r="D33" i="177"/>
  <c r="D62" i="177"/>
  <c r="C112" i="177"/>
  <c r="D112" i="177"/>
  <c r="D52" i="177"/>
  <c r="C111" i="177"/>
  <c r="H19" i="177"/>
  <c r="F52" i="177"/>
  <c r="E112" i="177"/>
  <c r="F112" i="177"/>
  <c r="F62" i="177"/>
  <c r="O20" i="160"/>
  <c r="H66" i="160"/>
  <c r="H82" i="160"/>
  <c r="H98" i="160"/>
  <c r="H64" i="160"/>
  <c r="H85" i="160"/>
  <c r="H56" i="160"/>
  <c r="H84" i="160"/>
  <c r="H72" i="160"/>
  <c r="H55" i="160"/>
  <c r="H93" i="160"/>
  <c r="H60" i="160"/>
  <c r="H104" i="160"/>
  <c r="H67" i="160"/>
  <c r="H54" i="160"/>
  <c r="H70" i="160"/>
  <c r="H86" i="160"/>
  <c r="H102" i="160"/>
  <c r="H69" i="160"/>
  <c r="H91" i="160"/>
  <c r="H63" i="160"/>
  <c r="H92" i="160"/>
  <c r="H81" i="160"/>
  <c r="H65" i="160"/>
  <c r="H103" i="160"/>
  <c r="H87" i="160"/>
  <c r="H23" i="160"/>
  <c r="H78" i="160"/>
  <c r="H94" i="160"/>
  <c r="H80" i="160"/>
  <c r="H101" i="160"/>
  <c r="H77" i="160"/>
  <c r="H61" i="160"/>
  <c r="H100" i="160"/>
  <c r="H83" i="160"/>
  <c r="H88" i="160"/>
  <c r="H79" i="160"/>
  <c r="H95" i="160"/>
  <c r="H74" i="160"/>
  <c r="H96" i="160"/>
  <c r="H73" i="160"/>
  <c r="H24" i="160"/>
  <c r="H27" i="160"/>
  <c r="H21" i="160"/>
  <c r="H115" i="160"/>
  <c r="H43" i="160"/>
  <c r="H113" i="160"/>
  <c r="H40" i="160"/>
  <c r="H53" i="160"/>
  <c r="H99" i="160"/>
  <c r="H57" i="160"/>
  <c r="H28" i="160"/>
  <c r="H39" i="160"/>
  <c r="H44" i="160"/>
  <c r="H36" i="160"/>
  <c r="H58" i="160"/>
  <c r="H75" i="160"/>
  <c r="H89" i="160"/>
  <c r="H76" i="160"/>
  <c r="H33" i="160"/>
  <c r="H31" i="160"/>
  <c r="H45" i="160"/>
  <c r="H37" i="160"/>
  <c r="H42" i="160"/>
  <c r="H46" i="160"/>
  <c r="H71" i="160"/>
  <c r="H90" i="160"/>
  <c r="H26" i="160"/>
  <c r="H41" i="160"/>
  <c r="H32" i="160"/>
  <c r="H68" i="160"/>
  <c r="H25" i="160"/>
  <c r="H114" i="160"/>
  <c r="H38" i="160"/>
  <c r="H20" i="160"/>
  <c r="E111" i="160"/>
  <c r="F52" i="160"/>
  <c r="E105" i="160"/>
  <c r="E112" i="160"/>
  <c r="F112" i="160"/>
  <c r="F62" i="160"/>
  <c r="K19" i="160"/>
  <c r="I28" i="160"/>
  <c r="J19" i="160"/>
  <c r="K28" i="162"/>
  <c r="L59" i="162"/>
  <c r="G111" i="162"/>
  <c r="G112" i="162"/>
  <c r="H112" i="162"/>
  <c r="F111" i="162"/>
  <c r="E116" i="162"/>
  <c r="F116" i="162"/>
  <c r="D105" i="162"/>
  <c r="C107" i="162"/>
  <c r="D107" i="162"/>
  <c r="C116" i="162"/>
  <c r="D116" i="162"/>
  <c r="D111" i="162"/>
  <c r="E107" i="162"/>
  <c r="F107" i="162"/>
  <c r="F105" i="162"/>
  <c r="J19" i="162"/>
  <c r="J25" i="162"/>
  <c r="J32" i="162"/>
  <c r="J114" i="162"/>
  <c r="J28" i="162"/>
  <c r="J31" i="162"/>
  <c r="J42" i="162"/>
  <c r="J20" i="162"/>
  <c r="J46" i="162"/>
  <c r="J37" i="162"/>
  <c r="J45" i="162"/>
  <c r="J115" i="162"/>
  <c r="J36" i="162"/>
  <c r="J44" i="162"/>
  <c r="J39" i="162"/>
  <c r="J24" i="162"/>
  <c r="J41" i="162"/>
  <c r="J27" i="162"/>
  <c r="J43" i="162"/>
  <c r="J113" i="162"/>
  <c r="J26" i="162"/>
  <c r="J23" i="162"/>
  <c r="J33" i="162"/>
  <c r="J40" i="162"/>
  <c r="J21" i="162"/>
  <c r="J38" i="162"/>
  <c r="I28" i="178"/>
  <c r="H24" i="178"/>
  <c r="H26" i="178"/>
  <c r="H45" i="178"/>
  <c r="H25" i="178"/>
  <c r="H41" i="178"/>
  <c r="H23" i="178"/>
  <c r="H27" i="178"/>
  <c r="H113" i="178"/>
  <c r="H46" i="178"/>
  <c r="H38" i="178"/>
  <c r="H114" i="178"/>
  <c r="H28" i="178"/>
  <c r="H42" i="178"/>
  <c r="H40" i="178"/>
  <c r="H115" i="178"/>
  <c r="H43" i="178"/>
  <c r="H37" i="178"/>
  <c r="H36" i="178"/>
  <c r="H32" i="178"/>
  <c r="H39" i="178"/>
  <c r="H21" i="178"/>
  <c r="H44" i="178"/>
  <c r="H20" i="178"/>
  <c r="M20" i="178"/>
  <c r="M19" i="178"/>
  <c r="H19" i="178"/>
  <c r="E112" i="178"/>
  <c r="F112" i="178"/>
  <c r="E111" i="178"/>
  <c r="M46" i="89"/>
  <c r="L46" i="89"/>
  <c r="K46" i="89"/>
  <c r="J46" i="89"/>
  <c r="I46" i="89"/>
  <c r="M30" i="89"/>
  <c r="L30" i="89"/>
  <c r="K30" i="89"/>
  <c r="J30" i="89"/>
  <c r="I30" i="89"/>
  <c r="N45" i="89"/>
  <c r="N44" i="89"/>
  <c r="N43" i="89"/>
  <c r="N42" i="89"/>
  <c r="N41" i="89"/>
  <c r="N40" i="89"/>
  <c r="N39" i="89"/>
  <c r="N38" i="89"/>
  <c r="N37" i="89"/>
  <c r="N32" i="89"/>
  <c r="N29" i="89"/>
  <c r="N28" i="89"/>
  <c r="N27" i="89"/>
  <c r="N26" i="89"/>
  <c r="N25" i="89"/>
  <c r="N24" i="89"/>
  <c r="N23" i="89"/>
  <c r="N15" i="89"/>
  <c r="N14" i="89"/>
  <c r="N13" i="89"/>
  <c r="N12" i="89"/>
  <c r="N11" i="89"/>
  <c r="C50" i="118"/>
  <c r="C110" i="118"/>
  <c r="C46" i="118"/>
  <c r="U16" i="118"/>
  <c r="S16" i="118"/>
  <c r="Q16" i="118"/>
  <c r="O16" i="118"/>
  <c r="M16" i="118"/>
  <c r="K16" i="118"/>
  <c r="I16" i="118"/>
  <c r="G16" i="118"/>
  <c r="E16" i="118"/>
  <c r="C16" i="118"/>
  <c r="J19" i="177"/>
  <c r="L19" i="162"/>
  <c r="L94" i="162"/>
  <c r="L87" i="162"/>
  <c r="L82" i="162"/>
  <c r="L74" i="162"/>
  <c r="L69" i="162"/>
  <c r="L53" i="162"/>
  <c r="L97" i="162"/>
  <c r="L95" i="162"/>
  <c r="L89" i="162"/>
  <c r="L83" i="162"/>
  <c r="L79" i="162"/>
  <c r="L93" i="162"/>
  <c r="L81" i="162"/>
  <c r="L58" i="162"/>
  <c r="L96" i="162"/>
  <c r="L84" i="162"/>
  <c r="L72" i="162"/>
  <c r="L62" i="162"/>
  <c r="L57" i="162"/>
  <c r="L52" i="162"/>
  <c r="L85" i="162"/>
  <c r="L73" i="162"/>
  <c r="L71" i="162"/>
  <c r="L61" i="162"/>
  <c r="L55" i="162"/>
  <c r="L91" i="162"/>
  <c r="L80" i="162"/>
  <c r="L60" i="162"/>
  <c r="J19" i="178"/>
  <c r="J96" i="178"/>
  <c r="J91" i="178"/>
  <c r="J84" i="178"/>
  <c r="J80" i="178"/>
  <c r="J72" i="178"/>
  <c r="J61" i="178"/>
  <c r="J55" i="178"/>
  <c r="J97" i="178"/>
  <c r="J95" i="178"/>
  <c r="J89" i="178"/>
  <c r="J83" i="178"/>
  <c r="J94" i="178"/>
  <c r="J87" i="178"/>
  <c r="J82" i="178"/>
  <c r="J74" i="178"/>
  <c r="J69" i="178"/>
  <c r="J57" i="178"/>
  <c r="J53" i="178"/>
  <c r="J93" i="178"/>
  <c r="J85" i="178"/>
  <c r="J79" i="178"/>
  <c r="J71" i="178"/>
  <c r="J60" i="178"/>
  <c r="J81" i="178"/>
  <c r="J73" i="178"/>
  <c r="J62" i="178"/>
  <c r="J58" i="178"/>
  <c r="J52" i="178"/>
  <c r="J59" i="178"/>
  <c r="U112" i="197"/>
  <c r="V62" i="197"/>
  <c r="O112" i="197"/>
  <c r="P62" i="197"/>
  <c r="S112" i="197"/>
  <c r="T62" i="197"/>
  <c r="M112" i="197"/>
  <c r="N62" i="197"/>
  <c r="Q112" i="197"/>
  <c r="R62" i="197"/>
  <c r="M33" i="194"/>
  <c r="N31" i="194"/>
  <c r="O31" i="194"/>
  <c r="M31" i="195"/>
  <c r="L33" i="194"/>
  <c r="K33" i="195"/>
  <c r="L31" i="195"/>
  <c r="J33" i="195"/>
  <c r="R33" i="193"/>
  <c r="S33" i="193"/>
  <c r="T31" i="193"/>
  <c r="U31" i="193"/>
  <c r="J97" i="177"/>
  <c r="J59" i="177"/>
  <c r="L19" i="171"/>
  <c r="L97" i="171"/>
  <c r="L59" i="171"/>
  <c r="J97" i="160"/>
  <c r="J59" i="160"/>
  <c r="J52" i="171"/>
  <c r="I105" i="171"/>
  <c r="H105" i="171"/>
  <c r="G107" i="171"/>
  <c r="H107" i="171"/>
  <c r="I111" i="171"/>
  <c r="I112" i="171"/>
  <c r="J112" i="171"/>
  <c r="J62" i="171"/>
  <c r="L60" i="171"/>
  <c r="L76" i="171"/>
  <c r="L92" i="171"/>
  <c r="L57" i="171"/>
  <c r="L78" i="171"/>
  <c r="L99" i="171"/>
  <c r="L77" i="171"/>
  <c r="L58" i="171"/>
  <c r="L86" i="171"/>
  <c r="L74" i="171"/>
  <c r="L69" i="171"/>
  <c r="L95" i="171"/>
  <c r="L56" i="171"/>
  <c r="L72" i="171"/>
  <c r="L88" i="171"/>
  <c r="L104" i="171"/>
  <c r="L73" i="171"/>
  <c r="L94" i="171"/>
  <c r="L70" i="171"/>
  <c r="L98" i="171"/>
  <c r="L79" i="171"/>
  <c r="L54" i="171"/>
  <c r="L66" i="171"/>
  <c r="L90" i="171"/>
  <c r="L81" i="171"/>
  <c r="L64" i="171"/>
  <c r="L96" i="171"/>
  <c r="L83" i="171"/>
  <c r="L85" i="171"/>
  <c r="L93" i="171"/>
  <c r="L82" i="171"/>
  <c r="L75" i="171"/>
  <c r="L24" i="171"/>
  <c r="L68" i="171"/>
  <c r="L100" i="171"/>
  <c r="L89" i="171"/>
  <c r="L91" i="171"/>
  <c r="L101" i="171"/>
  <c r="L53" i="171"/>
  <c r="L25" i="171"/>
  <c r="L84" i="171"/>
  <c r="L67" i="171"/>
  <c r="L63" i="171"/>
  <c r="L71" i="171"/>
  <c r="L102" i="171"/>
  <c r="L61" i="171"/>
  <c r="L20" i="171"/>
  <c r="L23" i="171"/>
  <c r="L21" i="171"/>
  <c r="L65" i="171"/>
  <c r="L36" i="171"/>
  <c r="L44" i="171"/>
  <c r="L80" i="171"/>
  <c r="L87" i="171"/>
  <c r="L55" i="171"/>
  <c r="L33" i="171"/>
  <c r="L27" i="171"/>
  <c r="L113" i="171"/>
  <c r="L31" i="171"/>
  <c r="L42" i="171"/>
  <c r="L114" i="171"/>
  <c r="L32" i="171"/>
  <c r="L43" i="171"/>
  <c r="L39" i="171"/>
  <c r="L46" i="171"/>
  <c r="L26" i="171"/>
  <c r="L115" i="171"/>
  <c r="L40" i="171"/>
  <c r="L28" i="171"/>
  <c r="L37" i="171"/>
  <c r="L45" i="171"/>
  <c r="L38" i="171"/>
  <c r="L103" i="171"/>
  <c r="L41" i="171"/>
  <c r="H111" i="171"/>
  <c r="G116" i="171"/>
  <c r="H116" i="171"/>
  <c r="O19" i="171"/>
  <c r="M28" i="171"/>
  <c r="G112" i="177"/>
  <c r="H112" i="177"/>
  <c r="H62" i="177"/>
  <c r="C116" i="177"/>
  <c r="D116" i="177"/>
  <c r="D111" i="177"/>
  <c r="G111" i="177"/>
  <c r="K28" i="177"/>
  <c r="H52" i="177"/>
  <c r="F111" i="177"/>
  <c r="E116" i="177"/>
  <c r="F116" i="177"/>
  <c r="J80" i="177"/>
  <c r="J96" i="177"/>
  <c r="J83" i="177"/>
  <c r="J53" i="177"/>
  <c r="J74" i="177"/>
  <c r="J95" i="177"/>
  <c r="J71" i="177"/>
  <c r="J82" i="177"/>
  <c r="J23" i="177"/>
  <c r="J84" i="177"/>
  <c r="J89" i="177"/>
  <c r="J58" i="177"/>
  <c r="J79" i="177"/>
  <c r="J101" i="177"/>
  <c r="J87" i="177"/>
  <c r="J81" i="177"/>
  <c r="J72" i="177"/>
  <c r="J94" i="177"/>
  <c r="J85" i="177"/>
  <c r="J93" i="177"/>
  <c r="J33" i="177"/>
  <c r="J41" i="177"/>
  <c r="J46" i="177"/>
  <c r="J21" i="177"/>
  <c r="J27" i="177"/>
  <c r="J57" i="177"/>
  <c r="J24" i="177"/>
  <c r="J37" i="177"/>
  <c r="J44" i="177"/>
  <c r="J26" i="177"/>
  <c r="J39" i="177"/>
  <c r="J115" i="177"/>
  <c r="J73" i="177"/>
  <c r="J55" i="177"/>
  <c r="J61" i="177"/>
  <c r="J60" i="177"/>
  <c r="J45" i="177"/>
  <c r="J36" i="177"/>
  <c r="J28" i="177"/>
  <c r="J25" i="177"/>
  <c r="J91" i="177"/>
  <c r="J38" i="177"/>
  <c r="J32" i="177"/>
  <c r="J114" i="177"/>
  <c r="J69" i="177"/>
  <c r="J40" i="177"/>
  <c r="J43" i="177"/>
  <c r="J42" i="177"/>
  <c r="J31" i="177"/>
  <c r="J113" i="177"/>
  <c r="J20" i="177"/>
  <c r="G112" i="160"/>
  <c r="H112" i="160"/>
  <c r="H62" i="160"/>
  <c r="F111" i="160"/>
  <c r="E116" i="160"/>
  <c r="F116" i="160"/>
  <c r="G111" i="160"/>
  <c r="M19" i="160"/>
  <c r="K28" i="160"/>
  <c r="H52" i="160"/>
  <c r="G105" i="160"/>
  <c r="J20" i="160"/>
  <c r="J27" i="160"/>
  <c r="J53" i="160"/>
  <c r="J69" i="160"/>
  <c r="J85" i="160"/>
  <c r="J101" i="160"/>
  <c r="J74" i="160"/>
  <c r="J95" i="160"/>
  <c r="J70" i="160"/>
  <c r="J98" i="160"/>
  <c r="J80" i="160"/>
  <c r="J64" i="160"/>
  <c r="J102" i="160"/>
  <c r="J86" i="160"/>
  <c r="J96" i="160"/>
  <c r="J78" i="160"/>
  <c r="J57" i="160"/>
  <c r="J73" i="160"/>
  <c r="J89" i="160"/>
  <c r="J58" i="160"/>
  <c r="J79" i="160"/>
  <c r="J100" i="160"/>
  <c r="J76" i="160"/>
  <c r="J104" i="160"/>
  <c r="J88" i="160"/>
  <c r="J72" i="160"/>
  <c r="J56" i="160"/>
  <c r="J94" i="160"/>
  <c r="J87" i="160"/>
  <c r="J21" i="160"/>
  <c r="J23" i="160"/>
  <c r="J65" i="160"/>
  <c r="J81" i="160"/>
  <c r="J68" i="160"/>
  <c r="J90" i="160"/>
  <c r="J91" i="160"/>
  <c r="J71" i="160"/>
  <c r="J54" i="160"/>
  <c r="J92" i="160"/>
  <c r="J75" i="160"/>
  <c r="J24" i="160"/>
  <c r="J93" i="160"/>
  <c r="J83" i="160"/>
  <c r="J66" i="160"/>
  <c r="J25" i="160"/>
  <c r="J39" i="160"/>
  <c r="J28" i="160"/>
  <c r="J42" i="160"/>
  <c r="J61" i="160"/>
  <c r="J84" i="160"/>
  <c r="J99" i="160"/>
  <c r="J67" i="160"/>
  <c r="J31" i="160"/>
  <c r="J32" i="160"/>
  <c r="J43" i="160"/>
  <c r="J114" i="160"/>
  <c r="J113" i="160"/>
  <c r="J46" i="160"/>
  <c r="J38" i="160"/>
  <c r="J45" i="160"/>
  <c r="J77" i="160"/>
  <c r="J55" i="160"/>
  <c r="J82" i="160"/>
  <c r="J26" i="160"/>
  <c r="J33" i="160"/>
  <c r="J36" i="160"/>
  <c r="J44" i="160"/>
  <c r="J103" i="160"/>
  <c r="J37" i="160"/>
  <c r="J41" i="160"/>
  <c r="J63" i="160"/>
  <c r="J60" i="160"/>
  <c r="J115" i="160"/>
  <c r="J40" i="160"/>
  <c r="E107" i="160"/>
  <c r="F107" i="160"/>
  <c r="F105" i="160"/>
  <c r="Q20" i="160"/>
  <c r="I111" i="162"/>
  <c r="L23" i="162"/>
  <c r="L44" i="162"/>
  <c r="L114" i="162"/>
  <c r="L39" i="162"/>
  <c r="L25" i="162"/>
  <c r="L26" i="162"/>
  <c r="L28" i="162"/>
  <c r="L40" i="162"/>
  <c r="L45" i="162"/>
  <c r="L37" i="162"/>
  <c r="L20" i="162"/>
  <c r="L21" i="162"/>
  <c r="L46" i="162"/>
  <c r="L27" i="162"/>
  <c r="L38" i="162"/>
  <c r="L36" i="162"/>
  <c r="L32" i="162"/>
  <c r="L42" i="162"/>
  <c r="L33" i="162"/>
  <c r="L24" i="162"/>
  <c r="L115" i="162"/>
  <c r="L43" i="162"/>
  <c r="L113" i="162"/>
  <c r="L41" i="162"/>
  <c r="L31" i="162"/>
  <c r="I112" i="162"/>
  <c r="J112" i="162"/>
  <c r="H111" i="162"/>
  <c r="G116" i="162"/>
  <c r="H116" i="162"/>
  <c r="M28" i="162"/>
  <c r="N59" i="162"/>
  <c r="G112" i="178"/>
  <c r="H112" i="178"/>
  <c r="G111" i="178"/>
  <c r="J23" i="178"/>
  <c r="J24" i="178"/>
  <c r="J40" i="178"/>
  <c r="J28" i="178"/>
  <c r="J41" i="178"/>
  <c r="J27" i="178"/>
  <c r="J36" i="178"/>
  <c r="J37" i="178"/>
  <c r="J43" i="178"/>
  <c r="J46" i="178"/>
  <c r="J114" i="178"/>
  <c r="J38" i="178"/>
  <c r="J26" i="178"/>
  <c r="J39" i="178"/>
  <c r="J25" i="178"/>
  <c r="J115" i="178"/>
  <c r="J44" i="178"/>
  <c r="J21" i="178"/>
  <c r="J45" i="178"/>
  <c r="J113" i="178"/>
  <c r="J42" i="178"/>
  <c r="J32" i="178"/>
  <c r="J20" i="178"/>
  <c r="F111" i="178"/>
  <c r="E116" i="178"/>
  <c r="F116" i="178"/>
  <c r="O20" i="178"/>
  <c r="O19" i="178"/>
  <c r="K28" i="178"/>
  <c r="N30" i="89"/>
  <c r="N46" i="89"/>
  <c r="L19" i="177"/>
  <c r="N19" i="162"/>
  <c r="N95" i="162"/>
  <c r="N89" i="162"/>
  <c r="N83" i="162"/>
  <c r="N79" i="162"/>
  <c r="N71" i="162"/>
  <c r="N60" i="162"/>
  <c r="N55" i="162"/>
  <c r="N96" i="162"/>
  <c r="N91" i="162"/>
  <c r="N84" i="162"/>
  <c r="N80" i="162"/>
  <c r="N72" i="162"/>
  <c r="N94" i="162"/>
  <c r="N82" i="162"/>
  <c r="N62" i="162"/>
  <c r="N57" i="162"/>
  <c r="N52" i="162"/>
  <c r="N85" i="162"/>
  <c r="N73" i="162"/>
  <c r="N61" i="162"/>
  <c r="N87" i="162"/>
  <c r="N74" i="162"/>
  <c r="N93" i="162"/>
  <c r="N81" i="162"/>
  <c r="N69" i="162"/>
  <c r="N58" i="162"/>
  <c r="N53" i="162"/>
  <c r="N97" i="162"/>
  <c r="L55" i="178"/>
  <c r="L95" i="178"/>
  <c r="L89" i="178"/>
  <c r="L83" i="178"/>
  <c r="L79" i="178"/>
  <c r="L71" i="178"/>
  <c r="L60" i="178"/>
  <c r="L58" i="178"/>
  <c r="L94" i="178"/>
  <c r="L87" i="178"/>
  <c r="L93" i="178"/>
  <c r="L85" i="178"/>
  <c r="L81" i="178"/>
  <c r="L73" i="178"/>
  <c r="L62" i="178"/>
  <c r="L52" i="178"/>
  <c r="L96" i="178"/>
  <c r="L91" i="178"/>
  <c r="L84" i="178"/>
  <c r="L57" i="178"/>
  <c r="L82" i="178"/>
  <c r="L74" i="178"/>
  <c r="L69" i="178"/>
  <c r="L53" i="178"/>
  <c r="L80" i="178"/>
  <c r="L72" i="178"/>
  <c r="L61" i="178"/>
  <c r="L97" i="178"/>
  <c r="L59" i="178"/>
  <c r="M116" i="197"/>
  <c r="N116" i="197"/>
  <c r="N112" i="197"/>
  <c r="P112" i="197"/>
  <c r="O116" i="197"/>
  <c r="P116" i="197"/>
  <c r="T112" i="197"/>
  <c r="S116" i="197"/>
  <c r="T116" i="197"/>
  <c r="R112" i="197"/>
  <c r="Q116" i="197"/>
  <c r="R116" i="197"/>
  <c r="V112" i="197"/>
  <c r="U116" i="197"/>
  <c r="V116" i="197"/>
  <c r="M33" i="195"/>
  <c r="N31" i="195"/>
  <c r="L33" i="195"/>
  <c r="P31" i="194"/>
  <c r="Q31" i="194"/>
  <c r="O31" i="195"/>
  <c r="O33" i="194"/>
  <c r="N33" i="194"/>
  <c r="U33" i="193"/>
  <c r="V31" i="193"/>
  <c r="T33" i="193"/>
  <c r="L19" i="178"/>
  <c r="L97" i="177"/>
  <c r="L59" i="177"/>
  <c r="N19" i="171"/>
  <c r="N97" i="171"/>
  <c r="N59" i="171"/>
  <c r="L97" i="160"/>
  <c r="L59" i="160"/>
  <c r="K111" i="171"/>
  <c r="L52" i="171"/>
  <c r="K105" i="171"/>
  <c r="N53" i="171"/>
  <c r="N69" i="171"/>
  <c r="N85" i="171"/>
  <c r="N101" i="171"/>
  <c r="N66" i="171"/>
  <c r="N82" i="171"/>
  <c r="N98" i="171"/>
  <c r="N71" i="171"/>
  <c r="N103" i="171"/>
  <c r="N80" i="171"/>
  <c r="N67" i="171"/>
  <c r="N68" i="171"/>
  <c r="N75" i="171"/>
  <c r="N76" i="171"/>
  <c r="N20" i="171"/>
  <c r="N65" i="171"/>
  <c r="N81" i="171"/>
  <c r="N78" i="171"/>
  <c r="N94" i="171"/>
  <c r="N63" i="171"/>
  <c r="N95" i="171"/>
  <c r="N72" i="171"/>
  <c r="N104" i="171"/>
  <c r="N60" i="171"/>
  <c r="N77" i="171"/>
  <c r="N58" i="171"/>
  <c r="N90" i="171"/>
  <c r="N87" i="171"/>
  <c r="N96" i="171"/>
  <c r="N100" i="171"/>
  <c r="N25" i="171"/>
  <c r="N23" i="171"/>
  <c r="N24" i="171"/>
  <c r="N46" i="171"/>
  <c r="N57" i="171"/>
  <c r="N89" i="171"/>
  <c r="N70" i="171"/>
  <c r="N102" i="171"/>
  <c r="N56" i="171"/>
  <c r="N83" i="171"/>
  <c r="N91" i="171"/>
  <c r="N27" i="171"/>
  <c r="N73" i="171"/>
  <c r="N54" i="171"/>
  <c r="N86" i="171"/>
  <c r="N79" i="171"/>
  <c r="N88" i="171"/>
  <c r="N84" i="171"/>
  <c r="N21" i="171"/>
  <c r="N33" i="171"/>
  <c r="N55" i="171"/>
  <c r="N28" i="171"/>
  <c r="N39" i="171"/>
  <c r="N38" i="171"/>
  <c r="N61" i="171"/>
  <c r="N64" i="171"/>
  <c r="N74" i="171"/>
  <c r="N92" i="171"/>
  <c r="N37" i="171"/>
  <c r="N45" i="171"/>
  <c r="N36" i="171"/>
  <c r="N44" i="171"/>
  <c r="N99" i="171"/>
  <c r="N41" i="171"/>
  <c r="N115" i="171"/>
  <c r="N43" i="171"/>
  <c r="N42" i="171"/>
  <c r="N114" i="171"/>
  <c r="N40" i="171"/>
  <c r="N93" i="171"/>
  <c r="N26" i="171"/>
  <c r="N32" i="171"/>
  <c r="N31" i="171"/>
  <c r="N113" i="171"/>
  <c r="K112" i="171"/>
  <c r="L112" i="171"/>
  <c r="L62" i="171"/>
  <c r="Q19" i="171"/>
  <c r="O28" i="171"/>
  <c r="J105" i="171"/>
  <c r="I107" i="171"/>
  <c r="J107" i="171"/>
  <c r="I116" i="171"/>
  <c r="J116" i="171"/>
  <c r="J111" i="171"/>
  <c r="M28" i="177"/>
  <c r="J62" i="177"/>
  <c r="I112" i="177"/>
  <c r="J112" i="177"/>
  <c r="H111" i="177"/>
  <c r="G116" i="177"/>
  <c r="H116" i="177"/>
  <c r="J52" i="177"/>
  <c r="I111" i="177"/>
  <c r="L27" i="177"/>
  <c r="L25" i="177"/>
  <c r="L58" i="177"/>
  <c r="L74" i="177"/>
  <c r="L94" i="177"/>
  <c r="L80" i="177"/>
  <c r="L101" i="177"/>
  <c r="L71" i="177"/>
  <c r="L95" i="177"/>
  <c r="L61" i="177"/>
  <c r="L85" i="177"/>
  <c r="L55" i="177"/>
  <c r="L72" i="177"/>
  <c r="L89" i="177"/>
  <c r="L83" i="177"/>
  <c r="L24" i="177"/>
  <c r="L91" i="177"/>
  <c r="L81" i="177"/>
  <c r="L93" i="177"/>
  <c r="L21" i="177"/>
  <c r="L33" i="177"/>
  <c r="L28" i="177"/>
  <c r="L31" i="177"/>
  <c r="L42" i="177"/>
  <c r="L113" i="177"/>
  <c r="L41" i="177"/>
  <c r="L82" i="177"/>
  <c r="L57" i="177"/>
  <c r="L23" i="177"/>
  <c r="L53" i="177"/>
  <c r="L96" i="177"/>
  <c r="L87" i="177"/>
  <c r="L79" i="177"/>
  <c r="L26" i="177"/>
  <c r="L114" i="177"/>
  <c r="L36" i="177"/>
  <c r="L44" i="177"/>
  <c r="L32" i="177"/>
  <c r="L43" i="177"/>
  <c r="L69" i="177"/>
  <c r="L60" i="177"/>
  <c r="L73" i="177"/>
  <c r="L39" i="177"/>
  <c r="L84" i="177"/>
  <c r="L40" i="177"/>
  <c r="L46" i="177"/>
  <c r="L37" i="177"/>
  <c r="L115" i="177"/>
  <c r="L38" i="177"/>
  <c r="L45" i="177"/>
  <c r="L20" i="177"/>
  <c r="H105" i="160"/>
  <c r="G107" i="160"/>
  <c r="H107" i="160"/>
  <c r="I112" i="160"/>
  <c r="J112" i="160"/>
  <c r="J62" i="160"/>
  <c r="L63" i="160"/>
  <c r="L79" i="160"/>
  <c r="L95" i="160"/>
  <c r="L60" i="160"/>
  <c r="L67" i="160"/>
  <c r="L83" i="160"/>
  <c r="L99" i="160"/>
  <c r="L75" i="160"/>
  <c r="L91" i="160"/>
  <c r="L54" i="160"/>
  <c r="L55" i="160"/>
  <c r="L65" i="160"/>
  <c r="L86" i="160"/>
  <c r="L57" i="160"/>
  <c r="L85" i="160"/>
  <c r="L101" i="160"/>
  <c r="L84" i="160"/>
  <c r="L58" i="160"/>
  <c r="L96" i="160"/>
  <c r="L89" i="160"/>
  <c r="L23" i="160"/>
  <c r="L24" i="160"/>
  <c r="L26" i="160"/>
  <c r="L71" i="160"/>
  <c r="L70" i="160"/>
  <c r="L92" i="160"/>
  <c r="L64" i="160"/>
  <c r="L93" i="160"/>
  <c r="L73" i="160"/>
  <c r="L56" i="160"/>
  <c r="L94" i="160"/>
  <c r="L68" i="160"/>
  <c r="L80" i="160"/>
  <c r="L61" i="160"/>
  <c r="L103" i="160"/>
  <c r="L81" i="160"/>
  <c r="L102" i="160"/>
  <c r="L78" i="160"/>
  <c r="L53" i="160"/>
  <c r="L90" i="160"/>
  <c r="L74" i="160"/>
  <c r="L88" i="160"/>
  <c r="L98" i="160"/>
  <c r="L76" i="160"/>
  <c r="L82" i="160"/>
  <c r="L69" i="160"/>
  <c r="L33" i="160"/>
  <c r="L27" i="160"/>
  <c r="L113" i="160"/>
  <c r="L72" i="160"/>
  <c r="L104" i="160"/>
  <c r="L21" i="160"/>
  <c r="L25" i="160"/>
  <c r="L32" i="160"/>
  <c r="L87" i="160"/>
  <c r="L100" i="160"/>
  <c r="L77" i="160"/>
  <c r="L115" i="160"/>
  <c r="L38" i="160"/>
  <c r="L66" i="160"/>
  <c r="L114" i="160"/>
  <c r="L42" i="160"/>
  <c r="L41" i="160"/>
  <c r="L36" i="160"/>
  <c r="L45" i="160"/>
  <c r="L46" i="160"/>
  <c r="L40" i="160"/>
  <c r="L39" i="160"/>
  <c r="L28" i="160"/>
  <c r="L44" i="160"/>
  <c r="L43" i="160"/>
  <c r="L31" i="160"/>
  <c r="L37" i="160"/>
  <c r="L20" i="160"/>
  <c r="J52" i="160"/>
  <c r="I105" i="160"/>
  <c r="O19" i="160"/>
  <c r="M28" i="160"/>
  <c r="I111" i="160"/>
  <c r="S20" i="160"/>
  <c r="L19" i="160"/>
  <c r="H111" i="160"/>
  <c r="G116" i="160"/>
  <c r="H116" i="160"/>
  <c r="O28" i="162"/>
  <c r="K112" i="162"/>
  <c r="L112" i="162"/>
  <c r="K111" i="162"/>
  <c r="N25" i="162"/>
  <c r="N23" i="162"/>
  <c r="N42" i="162"/>
  <c r="N37" i="162"/>
  <c r="N45" i="162"/>
  <c r="N36" i="162"/>
  <c r="N33" i="162"/>
  <c r="N27" i="162"/>
  <c r="N28" i="162"/>
  <c r="N39" i="162"/>
  <c r="N26" i="162"/>
  <c r="N38" i="162"/>
  <c r="N44" i="162"/>
  <c r="N32" i="162"/>
  <c r="N31" i="162"/>
  <c r="N21" i="162"/>
  <c r="N41" i="162"/>
  <c r="N20" i="162"/>
  <c r="N40" i="162"/>
  <c r="N115" i="162"/>
  <c r="N114" i="162"/>
  <c r="N46" i="162"/>
  <c r="N24" i="162"/>
  <c r="N113" i="162"/>
  <c r="N43" i="162"/>
  <c r="J111" i="162"/>
  <c r="I116" i="162"/>
  <c r="J116" i="162"/>
  <c r="M28" i="178"/>
  <c r="H111" i="178"/>
  <c r="G116" i="178"/>
  <c r="H116" i="178"/>
  <c r="Q20" i="178"/>
  <c r="Q19" i="178"/>
  <c r="L23" i="178"/>
  <c r="L26" i="178"/>
  <c r="L21" i="178"/>
  <c r="L37" i="178"/>
  <c r="L40" i="178"/>
  <c r="L41" i="178"/>
  <c r="L115" i="178"/>
  <c r="L113" i="178"/>
  <c r="L45" i="178"/>
  <c r="L44" i="178"/>
  <c r="L42" i="178"/>
  <c r="L24" i="178"/>
  <c r="L46" i="178"/>
  <c r="L36" i="178"/>
  <c r="L27" i="178"/>
  <c r="L32" i="178"/>
  <c r="L114" i="178"/>
  <c r="L38" i="178"/>
  <c r="L39" i="178"/>
  <c r="L25" i="178"/>
  <c r="L43" i="178"/>
  <c r="L28" i="178"/>
  <c r="L20" i="178"/>
  <c r="I111" i="178"/>
  <c r="I112" i="178"/>
  <c r="J112" i="178"/>
  <c r="H46" i="89"/>
  <c r="G46" i="89"/>
  <c r="F46" i="89"/>
  <c r="E46" i="89"/>
  <c r="D46" i="89"/>
  <c r="H30" i="89"/>
  <c r="G30" i="89"/>
  <c r="F30" i="89"/>
  <c r="E30" i="89"/>
  <c r="D30" i="89"/>
  <c r="P19" i="162"/>
  <c r="P96" i="162"/>
  <c r="P91" i="162"/>
  <c r="P84" i="162"/>
  <c r="P80" i="162"/>
  <c r="P72" i="162"/>
  <c r="P61" i="162"/>
  <c r="P57" i="162"/>
  <c r="P93" i="162"/>
  <c r="P85" i="162"/>
  <c r="P81" i="162"/>
  <c r="P73" i="162"/>
  <c r="P95" i="162"/>
  <c r="P83" i="162"/>
  <c r="P97" i="162"/>
  <c r="P87" i="162"/>
  <c r="P74" i="162"/>
  <c r="P71" i="162"/>
  <c r="P55" i="162"/>
  <c r="P89" i="162"/>
  <c r="P79" i="162"/>
  <c r="P69" i="162"/>
  <c r="P60" i="162"/>
  <c r="P58" i="162"/>
  <c r="P53" i="162"/>
  <c r="P94" i="162"/>
  <c r="P82" i="162"/>
  <c r="P62" i="162"/>
  <c r="P52" i="162"/>
  <c r="P59" i="162"/>
  <c r="N94" i="178"/>
  <c r="N87" i="178"/>
  <c r="N82" i="178"/>
  <c r="N74" i="178"/>
  <c r="N69" i="178"/>
  <c r="N57" i="178"/>
  <c r="N53" i="178"/>
  <c r="N93" i="178"/>
  <c r="N85" i="178"/>
  <c r="N97" i="178"/>
  <c r="N96" i="178"/>
  <c r="N91" i="178"/>
  <c r="N84" i="178"/>
  <c r="N80" i="178"/>
  <c r="N72" i="178"/>
  <c r="N61" i="178"/>
  <c r="N55" i="178"/>
  <c r="N95" i="178"/>
  <c r="N89" i="178"/>
  <c r="N83" i="178"/>
  <c r="N81" i="178"/>
  <c r="N73" i="178"/>
  <c r="N62" i="178"/>
  <c r="N58" i="178"/>
  <c r="N52" i="178"/>
  <c r="N79" i="178"/>
  <c r="N71" i="178"/>
  <c r="N60" i="178"/>
  <c r="N59" i="178"/>
  <c r="G112" i="197"/>
  <c r="H62" i="197"/>
  <c r="I112" i="197"/>
  <c r="J62" i="197"/>
  <c r="E112" i="197"/>
  <c r="F62" i="197"/>
  <c r="L62" i="197"/>
  <c r="K112" i="197"/>
  <c r="C112" i="197"/>
  <c r="D62" i="197"/>
  <c r="P33" i="194"/>
  <c r="P31" i="195"/>
  <c r="O33" i="195"/>
  <c r="Q33" i="194"/>
  <c r="Q31" i="195"/>
  <c r="R31" i="194"/>
  <c r="S31" i="194"/>
  <c r="N33" i="195"/>
  <c r="V33" i="193"/>
  <c r="N19" i="178"/>
  <c r="N97" i="177"/>
  <c r="N59" i="177"/>
  <c r="P19" i="171"/>
  <c r="P97" i="171"/>
  <c r="P59" i="171"/>
  <c r="N97" i="160"/>
  <c r="N59" i="160"/>
  <c r="M111" i="171"/>
  <c r="M112" i="171"/>
  <c r="N112" i="171"/>
  <c r="N62" i="171"/>
  <c r="L105" i="171"/>
  <c r="K107" i="171"/>
  <c r="L107" i="171"/>
  <c r="S19" i="171"/>
  <c r="Q28" i="171"/>
  <c r="M105" i="171"/>
  <c r="N52" i="171"/>
  <c r="P25" i="171"/>
  <c r="P21" i="171"/>
  <c r="P67" i="171"/>
  <c r="P83" i="171"/>
  <c r="P99" i="171"/>
  <c r="P66" i="171"/>
  <c r="P88" i="171"/>
  <c r="P54" i="171"/>
  <c r="P84" i="171"/>
  <c r="P57" i="171"/>
  <c r="P85" i="171"/>
  <c r="P80" i="171"/>
  <c r="P89" i="171"/>
  <c r="P68" i="171"/>
  <c r="P53" i="171"/>
  <c r="P27" i="171"/>
  <c r="P26" i="171"/>
  <c r="P20" i="171"/>
  <c r="P33" i="171"/>
  <c r="P55" i="171"/>
  <c r="P71" i="171"/>
  <c r="P87" i="171"/>
  <c r="P103" i="171"/>
  <c r="P72" i="171"/>
  <c r="P93" i="171"/>
  <c r="P90" i="171"/>
  <c r="P64" i="171"/>
  <c r="P92" i="171"/>
  <c r="P94" i="171"/>
  <c r="P102" i="171"/>
  <c r="P96" i="171"/>
  <c r="P81" i="171"/>
  <c r="P63" i="171"/>
  <c r="P79" i="171"/>
  <c r="P95" i="171"/>
  <c r="P61" i="171"/>
  <c r="P82" i="171"/>
  <c r="P104" i="171"/>
  <c r="P76" i="171"/>
  <c r="P78" i="171"/>
  <c r="P65" i="171"/>
  <c r="P74" i="171"/>
  <c r="P86" i="171"/>
  <c r="P101" i="171"/>
  <c r="P75" i="171"/>
  <c r="P98" i="171"/>
  <c r="P100" i="171"/>
  <c r="P91" i="171"/>
  <c r="P69" i="171"/>
  <c r="P60" i="171"/>
  <c r="P46" i="171"/>
  <c r="P77" i="171"/>
  <c r="P70" i="171"/>
  <c r="P73" i="171"/>
  <c r="P39" i="171"/>
  <c r="P56" i="171"/>
  <c r="P58" i="171"/>
  <c r="P114" i="171"/>
  <c r="P113" i="171"/>
  <c r="P37" i="171"/>
  <c r="P45" i="171"/>
  <c r="P28" i="171"/>
  <c r="P24" i="171"/>
  <c r="P38" i="171"/>
  <c r="P41" i="171"/>
  <c r="P31" i="171"/>
  <c r="P42" i="171"/>
  <c r="P32" i="171"/>
  <c r="P43" i="171"/>
  <c r="P40" i="171"/>
  <c r="P23" i="171"/>
  <c r="P115" i="171"/>
  <c r="P36" i="171"/>
  <c r="P44" i="171"/>
  <c r="L111" i="171"/>
  <c r="K116" i="171"/>
  <c r="L116" i="171"/>
  <c r="L52" i="177"/>
  <c r="J111" i="177"/>
  <c r="I116" i="177"/>
  <c r="J116" i="177"/>
  <c r="N81" i="177"/>
  <c r="N94" i="177"/>
  <c r="N84" i="177"/>
  <c r="N95" i="177"/>
  <c r="N80" i="177"/>
  <c r="N53" i="177"/>
  <c r="N69" i="177"/>
  <c r="N85" i="177"/>
  <c r="N101" i="177"/>
  <c r="N82" i="177"/>
  <c r="N60" i="177"/>
  <c r="N71" i="177"/>
  <c r="N96" i="177"/>
  <c r="N57" i="177"/>
  <c r="N89" i="177"/>
  <c r="N79" i="177"/>
  <c r="N61" i="177"/>
  <c r="N93" i="177"/>
  <c r="N74" i="177"/>
  <c r="N87" i="177"/>
  <c r="N73" i="177"/>
  <c r="N27" i="177"/>
  <c r="N28" i="177"/>
  <c r="N33" i="177"/>
  <c r="N40" i="177"/>
  <c r="N46" i="177"/>
  <c r="N83" i="177"/>
  <c r="N55" i="177"/>
  <c r="N38" i="177"/>
  <c r="N45" i="177"/>
  <c r="N36" i="177"/>
  <c r="N43" i="177"/>
  <c r="N21" i="177"/>
  <c r="N115" i="177"/>
  <c r="N72" i="177"/>
  <c r="N24" i="177"/>
  <c r="N25" i="177"/>
  <c r="N37" i="177"/>
  <c r="N58" i="177"/>
  <c r="N23" i="177"/>
  <c r="N44" i="177"/>
  <c r="N32" i="177"/>
  <c r="N114" i="177"/>
  <c r="N91" i="177"/>
  <c r="N42" i="177"/>
  <c r="N41" i="177"/>
  <c r="N39" i="177"/>
  <c r="N26" i="177"/>
  <c r="N31" i="177"/>
  <c r="N113" i="177"/>
  <c r="N20" i="177"/>
  <c r="O28" i="177"/>
  <c r="K111" i="177"/>
  <c r="K112" i="177"/>
  <c r="L112" i="177"/>
  <c r="L62" i="177"/>
  <c r="N19" i="177"/>
  <c r="N75" i="160"/>
  <c r="N91" i="160"/>
  <c r="N56" i="160"/>
  <c r="N72" i="160"/>
  <c r="N88" i="160"/>
  <c r="N104" i="160"/>
  <c r="N77" i="160"/>
  <c r="N54" i="160"/>
  <c r="N86" i="160"/>
  <c r="N81" i="160"/>
  <c r="N98" i="160"/>
  <c r="N89" i="160"/>
  <c r="N63" i="160"/>
  <c r="N79" i="160"/>
  <c r="N95" i="160"/>
  <c r="N60" i="160"/>
  <c r="N76" i="160"/>
  <c r="N92" i="160"/>
  <c r="N53" i="160"/>
  <c r="N85" i="160"/>
  <c r="N94" i="160"/>
  <c r="N73" i="160"/>
  <c r="N90" i="160"/>
  <c r="N55" i="160"/>
  <c r="N71" i="160"/>
  <c r="N87" i="160"/>
  <c r="N103" i="160"/>
  <c r="N68" i="160"/>
  <c r="N84" i="160"/>
  <c r="N100" i="160"/>
  <c r="N69" i="160"/>
  <c r="N101" i="160"/>
  <c r="N78" i="160"/>
  <c r="N65" i="160"/>
  <c r="N82" i="160"/>
  <c r="N57" i="160"/>
  <c r="N58" i="160"/>
  <c r="N24" i="160"/>
  <c r="N64" i="160"/>
  <c r="N93" i="160"/>
  <c r="N74" i="160"/>
  <c r="N67" i="160"/>
  <c r="N80" i="160"/>
  <c r="N70" i="160"/>
  <c r="N23" i="160"/>
  <c r="N21" i="160"/>
  <c r="N99" i="160"/>
  <c r="N61" i="160"/>
  <c r="N66" i="160"/>
  <c r="N25" i="160"/>
  <c r="N27" i="160"/>
  <c r="N102" i="160"/>
  <c r="N26" i="160"/>
  <c r="N42" i="160"/>
  <c r="N113" i="160"/>
  <c r="N46" i="160"/>
  <c r="N39" i="160"/>
  <c r="N36" i="160"/>
  <c r="N83" i="160"/>
  <c r="N38" i="160"/>
  <c r="N43" i="160"/>
  <c r="N96" i="160"/>
  <c r="N33" i="160"/>
  <c r="N115" i="160"/>
  <c r="N41" i="160"/>
  <c r="N40" i="160"/>
  <c r="N114" i="160"/>
  <c r="N45" i="160"/>
  <c r="N28" i="160"/>
  <c r="N37" i="160"/>
  <c r="N31" i="160"/>
  <c r="N32" i="160"/>
  <c r="N44" i="160"/>
  <c r="N20" i="160"/>
  <c r="Q19" i="160"/>
  <c r="O28" i="160"/>
  <c r="P19" i="160"/>
  <c r="I116" i="160"/>
  <c r="J116" i="160"/>
  <c r="J111" i="160"/>
  <c r="N19" i="160"/>
  <c r="L52" i="160"/>
  <c r="K105" i="160"/>
  <c r="K111" i="160"/>
  <c r="U20" i="160"/>
  <c r="J105" i="160"/>
  <c r="I107" i="160"/>
  <c r="J107" i="160"/>
  <c r="K112" i="160"/>
  <c r="L112" i="160"/>
  <c r="L62" i="160"/>
  <c r="M112" i="162"/>
  <c r="N112" i="162"/>
  <c r="L111" i="162"/>
  <c r="K116" i="162"/>
  <c r="L116" i="162"/>
  <c r="P24" i="162"/>
  <c r="P27" i="162"/>
  <c r="P33" i="162"/>
  <c r="P28" i="162"/>
  <c r="P46" i="162"/>
  <c r="P40" i="162"/>
  <c r="P26" i="162"/>
  <c r="P23" i="162"/>
  <c r="P20" i="162"/>
  <c r="P25" i="162"/>
  <c r="P43" i="162"/>
  <c r="P38" i="162"/>
  <c r="P21" i="162"/>
  <c r="P114" i="162"/>
  <c r="P42" i="162"/>
  <c r="P113" i="162"/>
  <c r="P41" i="162"/>
  <c r="P39" i="162"/>
  <c r="P37" i="162"/>
  <c r="P45" i="162"/>
  <c r="P115" i="162"/>
  <c r="P36" i="162"/>
  <c r="P31" i="162"/>
  <c r="P32" i="162"/>
  <c r="P44" i="162"/>
  <c r="M111" i="162"/>
  <c r="Q28" i="162"/>
  <c r="S20" i="178"/>
  <c r="S19" i="178"/>
  <c r="K111" i="178"/>
  <c r="N24" i="178"/>
  <c r="N23" i="178"/>
  <c r="N43" i="178"/>
  <c r="N32" i="178"/>
  <c r="N40" i="178"/>
  <c r="N26" i="178"/>
  <c r="N114" i="178"/>
  <c r="N41" i="178"/>
  <c r="N28" i="178"/>
  <c r="N38" i="178"/>
  <c r="N21" i="178"/>
  <c r="N115" i="178"/>
  <c r="N27" i="178"/>
  <c r="N44" i="178"/>
  <c r="N113" i="178"/>
  <c r="N45" i="178"/>
  <c r="N25" i="178"/>
  <c r="N42" i="178"/>
  <c r="N39" i="178"/>
  <c r="N36" i="178"/>
  <c r="N46" i="178"/>
  <c r="N37" i="178"/>
  <c r="N20" i="178"/>
  <c r="J111" i="178"/>
  <c r="I116" i="178"/>
  <c r="J116" i="178"/>
  <c r="K112" i="178"/>
  <c r="L112" i="178"/>
  <c r="O28" i="178"/>
  <c r="P19" i="177"/>
  <c r="P55" i="177"/>
  <c r="R19" i="162"/>
  <c r="R93" i="162"/>
  <c r="R85" i="162"/>
  <c r="R81" i="162"/>
  <c r="R73" i="162"/>
  <c r="R62" i="162"/>
  <c r="R58" i="162"/>
  <c r="R52" i="162"/>
  <c r="R94" i="162"/>
  <c r="R87" i="162"/>
  <c r="R82" i="162"/>
  <c r="R74" i="162"/>
  <c r="R96" i="162"/>
  <c r="R84" i="162"/>
  <c r="R72" i="162"/>
  <c r="R71" i="162"/>
  <c r="R61" i="162"/>
  <c r="R55" i="162"/>
  <c r="R89" i="162"/>
  <c r="R79" i="162"/>
  <c r="R69" i="162"/>
  <c r="R60" i="162"/>
  <c r="R53" i="162"/>
  <c r="R91" i="162"/>
  <c r="R80" i="162"/>
  <c r="R95" i="162"/>
  <c r="R83" i="162"/>
  <c r="R57" i="162"/>
  <c r="R97" i="162"/>
  <c r="R59" i="162"/>
  <c r="P93" i="178"/>
  <c r="P85" i="178"/>
  <c r="P81" i="178"/>
  <c r="P73" i="178"/>
  <c r="P62" i="178"/>
  <c r="P52" i="178"/>
  <c r="P96" i="178"/>
  <c r="P91" i="178"/>
  <c r="P84" i="178"/>
  <c r="P55" i="178"/>
  <c r="P95" i="178"/>
  <c r="P89" i="178"/>
  <c r="P83" i="178"/>
  <c r="P79" i="178"/>
  <c r="P71" i="178"/>
  <c r="P60" i="178"/>
  <c r="P58" i="178"/>
  <c r="P94" i="178"/>
  <c r="P87" i="178"/>
  <c r="P82" i="178"/>
  <c r="P74" i="178"/>
  <c r="P69" i="178"/>
  <c r="P53" i="178"/>
  <c r="P80" i="178"/>
  <c r="P72" i="178"/>
  <c r="P61" i="178"/>
  <c r="P57" i="178"/>
  <c r="P97" i="178"/>
  <c r="P59" i="178"/>
  <c r="F112" i="197"/>
  <c r="E116" i="197"/>
  <c r="F116" i="197"/>
  <c r="K116" i="197"/>
  <c r="L116" i="197"/>
  <c r="L112" i="197"/>
  <c r="J112" i="197"/>
  <c r="I116" i="197"/>
  <c r="J116" i="197"/>
  <c r="G116" i="197"/>
  <c r="H116" i="197"/>
  <c r="H112" i="197"/>
  <c r="D112" i="197"/>
  <c r="C116" i="197"/>
  <c r="D116" i="197"/>
  <c r="Q33" i="195"/>
  <c r="R31" i="195"/>
  <c r="P33" i="195"/>
  <c r="S33" i="194"/>
  <c r="S31" i="195"/>
  <c r="T31" i="194"/>
  <c r="U31" i="194"/>
  <c r="R33" i="194"/>
  <c r="P97" i="177"/>
  <c r="P59" i="177"/>
  <c r="P19" i="178"/>
  <c r="R97" i="171"/>
  <c r="R59" i="171"/>
  <c r="P97" i="160"/>
  <c r="P59" i="160"/>
  <c r="P52" i="171"/>
  <c r="O105" i="171"/>
  <c r="O111" i="171"/>
  <c r="O112" i="171"/>
  <c r="P112" i="171"/>
  <c r="P62" i="171"/>
  <c r="R19" i="171"/>
  <c r="R66" i="171"/>
  <c r="R82" i="171"/>
  <c r="R98" i="171"/>
  <c r="R65" i="171"/>
  <c r="R87" i="171"/>
  <c r="R53" i="171"/>
  <c r="R83" i="171"/>
  <c r="R56" i="171"/>
  <c r="R84" i="171"/>
  <c r="R64" i="171"/>
  <c r="R95" i="171"/>
  <c r="R57" i="171"/>
  <c r="R88" i="171"/>
  <c r="R20" i="171"/>
  <c r="R54" i="171"/>
  <c r="R70" i="171"/>
  <c r="R86" i="171"/>
  <c r="R102" i="171"/>
  <c r="R71" i="171"/>
  <c r="R92" i="171"/>
  <c r="R61" i="171"/>
  <c r="R89" i="171"/>
  <c r="R63" i="171"/>
  <c r="R91" i="171"/>
  <c r="R79" i="171"/>
  <c r="R72" i="171"/>
  <c r="R85" i="171"/>
  <c r="R101" i="171"/>
  <c r="R21" i="171"/>
  <c r="R78" i="171"/>
  <c r="R94" i="171"/>
  <c r="R60" i="171"/>
  <c r="R81" i="171"/>
  <c r="R103" i="171"/>
  <c r="R75" i="171"/>
  <c r="R104" i="171"/>
  <c r="R77" i="171"/>
  <c r="R67" i="171"/>
  <c r="R80" i="171"/>
  <c r="R73" i="171"/>
  <c r="R74" i="171"/>
  <c r="R99" i="171"/>
  <c r="R33" i="171"/>
  <c r="R90" i="171"/>
  <c r="R68" i="171"/>
  <c r="R93" i="171"/>
  <c r="R58" i="171"/>
  <c r="R76" i="171"/>
  <c r="R69" i="171"/>
  <c r="R26" i="171"/>
  <c r="R24" i="171"/>
  <c r="R96" i="171"/>
  <c r="R23" i="171"/>
  <c r="R46" i="171"/>
  <c r="R31" i="171"/>
  <c r="R42" i="171"/>
  <c r="R41" i="171"/>
  <c r="R100" i="171"/>
  <c r="R25" i="171"/>
  <c r="R55" i="171"/>
  <c r="R40" i="171"/>
  <c r="R27" i="171"/>
  <c r="R39" i="171"/>
  <c r="R28" i="171"/>
  <c r="R36" i="171"/>
  <c r="R32" i="171"/>
  <c r="R114" i="171"/>
  <c r="R115" i="171"/>
  <c r="R43" i="171"/>
  <c r="R45" i="171"/>
  <c r="R113" i="171"/>
  <c r="R44" i="171"/>
  <c r="R38" i="171"/>
  <c r="R37" i="171"/>
  <c r="U19" i="171"/>
  <c r="S28" i="171"/>
  <c r="T19" i="171"/>
  <c r="N105" i="171"/>
  <c r="M107" i="171"/>
  <c r="N107" i="171"/>
  <c r="M116" i="171"/>
  <c r="N116" i="171"/>
  <c r="N111" i="171"/>
  <c r="N62" i="177"/>
  <c r="M112" i="177"/>
  <c r="N112" i="177"/>
  <c r="M111" i="177"/>
  <c r="N52" i="177"/>
  <c r="Q28" i="177"/>
  <c r="L111" i="177"/>
  <c r="K116" i="177"/>
  <c r="L116" i="177"/>
  <c r="P27" i="177"/>
  <c r="P57" i="177"/>
  <c r="P73" i="177"/>
  <c r="P89" i="177"/>
  <c r="P58" i="177"/>
  <c r="P79" i="177"/>
  <c r="P91" i="177"/>
  <c r="P71" i="177"/>
  <c r="P72" i="177"/>
  <c r="P61" i="177"/>
  <c r="P93" i="177"/>
  <c r="P84" i="177"/>
  <c r="P96" i="177"/>
  <c r="P82" i="177"/>
  <c r="P94" i="177"/>
  <c r="P81" i="177"/>
  <c r="P53" i="177"/>
  <c r="P85" i="177"/>
  <c r="P74" i="177"/>
  <c r="P60" i="177"/>
  <c r="P80" i="177"/>
  <c r="P23" i="177"/>
  <c r="P26" i="177"/>
  <c r="P113" i="177"/>
  <c r="P37" i="177"/>
  <c r="P45" i="177"/>
  <c r="P36" i="177"/>
  <c r="P44" i="177"/>
  <c r="P83" i="177"/>
  <c r="P101" i="177"/>
  <c r="P87" i="177"/>
  <c r="P24" i="177"/>
  <c r="P25" i="177"/>
  <c r="P115" i="177"/>
  <c r="P33" i="177"/>
  <c r="P28" i="177"/>
  <c r="P39" i="177"/>
  <c r="P38" i="177"/>
  <c r="P114" i="177"/>
  <c r="P46" i="177"/>
  <c r="P32" i="177"/>
  <c r="P42" i="177"/>
  <c r="P69" i="177"/>
  <c r="P43" i="177"/>
  <c r="P31" i="177"/>
  <c r="P95" i="177"/>
  <c r="P40" i="177"/>
  <c r="P21" i="177"/>
  <c r="P41" i="177"/>
  <c r="P20" i="177"/>
  <c r="M112" i="160"/>
  <c r="N112" i="160"/>
  <c r="N62" i="160"/>
  <c r="L111" i="160"/>
  <c r="K116" i="160"/>
  <c r="L116" i="160"/>
  <c r="S19" i="160"/>
  <c r="Q28" i="160"/>
  <c r="R19" i="160"/>
  <c r="N52" i="160"/>
  <c r="M105" i="160"/>
  <c r="L105" i="160"/>
  <c r="K107" i="160"/>
  <c r="L107" i="160"/>
  <c r="P78" i="160"/>
  <c r="P94" i="160"/>
  <c r="P80" i="160"/>
  <c r="P101" i="160"/>
  <c r="P77" i="160"/>
  <c r="P61" i="160"/>
  <c r="P100" i="160"/>
  <c r="P83" i="160"/>
  <c r="P67" i="160"/>
  <c r="P104" i="160"/>
  <c r="P88" i="160"/>
  <c r="P66" i="160"/>
  <c r="P82" i="160"/>
  <c r="P98" i="160"/>
  <c r="P64" i="160"/>
  <c r="P85" i="160"/>
  <c r="P56" i="160"/>
  <c r="P84" i="160"/>
  <c r="P72" i="160"/>
  <c r="P55" i="160"/>
  <c r="P93" i="160"/>
  <c r="P76" i="160"/>
  <c r="P60" i="160"/>
  <c r="P79" i="160"/>
  <c r="P58" i="160"/>
  <c r="P74" i="160"/>
  <c r="P90" i="160"/>
  <c r="P53" i="160"/>
  <c r="P75" i="160"/>
  <c r="P96" i="160"/>
  <c r="P71" i="160"/>
  <c r="P99" i="160"/>
  <c r="P89" i="160"/>
  <c r="P73" i="160"/>
  <c r="P57" i="160"/>
  <c r="P95" i="160"/>
  <c r="P70" i="160"/>
  <c r="P91" i="160"/>
  <c r="P65" i="160"/>
  <c r="P68" i="160"/>
  <c r="P25" i="160"/>
  <c r="P86" i="160"/>
  <c r="P63" i="160"/>
  <c r="P103" i="160"/>
  <c r="P54" i="160"/>
  <c r="P69" i="160"/>
  <c r="P81" i="160"/>
  <c r="P24" i="160"/>
  <c r="P21" i="160"/>
  <c r="P102" i="160"/>
  <c r="P31" i="160"/>
  <c r="P87" i="160"/>
  <c r="P23" i="160"/>
  <c r="P28" i="160"/>
  <c r="P26" i="160"/>
  <c r="P27" i="160"/>
  <c r="P46" i="160"/>
  <c r="P33" i="160"/>
  <c r="P113" i="160"/>
  <c r="P39" i="160"/>
  <c r="P40" i="160"/>
  <c r="P43" i="160"/>
  <c r="P92" i="160"/>
  <c r="P45" i="160"/>
  <c r="P37" i="160"/>
  <c r="P38" i="160"/>
  <c r="P115" i="160"/>
  <c r="P36" i="160"/>
  <c r="P32" i="160"/>
  <c r="P114" i="160"/>
  <c r="P41" i="160"/>
  <c r="P42" i="160"/>
  <c r="P44" i="160"/>
  <c r="P20" i="160"/>
  <c r="M111" i="160"/>
  <c r="O111" i="162"/>
  <c r="S28" i="162"/>
  <c r="N111" i="162"/>
  <c r="M116" i="162"/>
  <c r="N116" i="162"/>
  <c r="R21" i="162"/>
  <c r="R27" i="162"/>
  <c r="R23" i="162"/>
  <c r="R43" i="162"/>
  <c r="R39" i="162"/>
  <c r="R40" i="162"/>
  <c r="R114" i="162"/>
  <c r="R115" i="162"/>
  <c r="R31" i="162"/>
  <c r="R42" i="162"/>
  <c r="R25" i="162"/>
  <c r="R38" i="162"/>
  <c r="R37" i="162"/>
  <c r="R33" i="162"/>
  <c r="R45" i="162"/>
  <c r="R113" i="162"/>
  <c r="R28" i="162"/>
  <c r="R36" i="162"/>
  <c r="R26" i="162"/>
  <c r="R46" i="162"/>
  <c r="R24" i="162"/>
  <c r="R32" i="162"/>
  <c r="R41" i="162"/>
  <c r="R44" i="162"/>
  <c r="R20" i="162"/>
  <c r="O112" i="162"/>
  <c r="P112" i="162"/>
  <c r="Q28" i="178"/>
  <c r="R19" i="178"/>
  <c r="K116" i="178"/>
  <c r="L116" i="178"/>
  <c r="L111" i="178"/>
  <c r="P25" i="178"/>
  <c r="P24" i="178"/>
  <c r="P43" i="178"/>
  <c r="P46" i="178"/>
  <c r="P39" i="178"/>
  <c r="P40" i="178"/>
  <c r="P27" i="178"/>
  <c r="P23" i="178"/>
  <c r="P44" i="178"/>
  <c r="P26" i="178"/>
  <c r="P45" i="178"/>
  <c r="P115" i="178"/>
  <c r="P28" i="178"/>
  <c r="P37" i="178"/>
  <c r="P38" i="178"/>
  <c r="P21" i="178"/>
  <c r="P36" i="178"/>
  <c r="P113" i="178"/>
  <c r="P114" i="178"/>
  <c r="P41" i="178"/>
  <c r="P42" i="178"/>
  <c r="P32" i="178"/>
  <c r="P20" i="178"/>
  <c r="M111" i="178"/>
  <c r="M112" i="178"/>
  <c r="N112" i="178"/>
  <c r="U20" i="178"/>
  <c r="U19" i="178"/>
  <c r="C28" i="118"/>
  <c r="D59" i="118"/>
  <c r="R55" i="177"/>
  <c r="T94" i="162"/>
  <c r="T87" i="162"/>
  <c r="T82" i="162"/>
  <c r="T74" i="162"/>
  <c r="T69" i="162"/>
  <c r="T53" i="162"/>
  <c r="T95" i="162"/>
  <c r="T89" i="162"/>
  <c r="T83" i="162"/>
  <c r="T79" i="162"/>
  <c r="T85" i="162"/>
  <c r="T73" i="162"/>
  <c r="T60" i="162"/>
  <c r="T91" i="162"/>
  <c r="T80" i="162"/>
  <c r="T58" i="162"/>
  <c r="T97" i="162"/>
  <c r="T93" i="162"/>
  <c r="T81" i="162"/>
  <c r="T62" i="162"/>
  <c r="T57" i="162"/>
  <c r="T52" i="162"/>
  <c r="T96" i="162"/>
  <c r="T84" i="162"/>
  <c r="T72" i="162"/>
  <c r="T71" i="162"/>
  <c r="T61" i="162"/>
  <c r="T55" i="162"/>
  <c r="T59" i="162"/>
  <c r="R96" i="178"/>
  <c r="R91" i="178"/>
  <c r="R84" i="178"/>
  <c r="R80" i="178"/>
  <c r="R72" i="178"/>
  <c r="R61" i="178"/>
  <c r="R55" i="178"/>
  <c r="R95" i="178"/>
  <c r="R89" i="178"/>
  <c r="R83" i="178"/>
  <c r="R94" i="178"/>
  <c r="R87" i="178"/>
  <c r="R82" i="178"/>
  <c r="R74" i="178"/>
  <c r="R69" i="178"/>
  <c r="R57" i="178"/>
  <c r="R53" i="178"/>
  <c r="R97" i="178"/>
  <c r="R93" i="178"/>
  <c r="R85" i="178"/>
  <c r="R81" i="178"/>
  <c r="R73" i="178"/>
  <c r="R62" i="178"/>
  <c r="R58" i="178"/>
  <c r="R52" i="178"/>
  <c r="R79" i="178"/>
  <c r="R71" i="178"/>
  <c r="R60" i="178"/>
  <c r="R59" i="178"/>
  <c r="U31" i="195"/>
  <c r="U33" i="194"/>
  <c r="V31" i="194"/>
  <c r="S33" i="195"/>
  <c r="T31" i="195"/>
  <c r="T33" i="194"/>
  <c r="R33" i="195"/>
  <c r="R97" i="177"/>
  <c r="R59" i="177"/>
  <c r="R19" i="177"/>
  <c r="T97" i="171"/>
  <c r="T59" i="171"/>
  <c r="R97" i="160"/>
  <c r="R59" i="160"/>
  <c r="P111" i="171"/>
  <c r="O116" i="171"/>
  <c r="P116" i="171"/>
  <c r="T24" i="171"/>
  <c r="T66" i="171"/>
  <c r="T82" i="171"/>
  <c r="T98" i="171"/>
  <c r="T68" i="171"/>
  <c r="T89" i="171"/>
  <c r="T64" i="171"/>
  <c r="T92" i="171"/>
  <c r="T72" i="171"/>
  <c r="T101" i="171"/>
  <c r="T67" i="171"/>
  <c r="T96" i="171"/>
  <c r="T61" i="171"/>
  <c r="T76" i="171"/>
  <c r="T54" i="171"/>
  <c r="T70" i="171"/>
  <c r="T86" i="171"/>
  <c r="T102" i="171"/>
  <c r="T73" i="171"/>
  <c r="T95" i="171"/>
  <c r="T71" i="171"/>
  <c r="T99" i="171"/>
  <c r="T80" i="171"/>
  <c r="T75" i="171"/>
  <c r="T103" i="171"/>
  <c r="T91" i="171"/>
  <c r="T104" i="171"/>
  <c r="T78" i="171"/>
  <c r="T94" i="171"/>
  <c r="T63" i="171"/>
  <c r="T84" i="171"/>
  <c r="T56" i="171"/>
  <c r="T85" i="171"/>
  <c r="T65" i="171"/>
  <c r="T93" i="171"/>
  <c r="T60" i="171"/>
  <c r="T88" i="171"/>
  <c r="T83" i="171"/>
  <c r="T74" i="171"/>
  <c r="T100" i="171"/>
  <c r="T53" i="171"/>
  <c r="T20" i="171"/>
  <c r="T23" i="171"/>
  <c r="T21" i="171"/>
  <c r="T27" i="171"/>
  <c r="T90" i="171"/>
  <c r="T77" i="171"/>
  <c r="T81" i="171"/>
  <c r="T58" i="171"/>
  <c r="T79" i="171"/>
  <c r="T87" i="171"/>
  <c r="T69" i="171"/>
  <c r="T26" i="171"/>
  <c r="T33" i="171"/>
  <c r="T46" i="171"/>
  <c r="T115" i="171"/>
  <c r="T31" i="171"/>
  <c r="T42" i="171"/>
  <c r="T28" i="171"/>
  <c r="T57" i="171"/>
  <c r="T25" i="171"/>
  <c r="T55" i="171"/>
  <c r="T40" i="171"/>
  <c r="T113" i="171"/>
  <c r="T114" i="171"/>
  <c r="T41" i="171"/>
  <c r="T45" i="171"/>
  <c r="T32" i="171"/>
  <c r="T43" i="171"/>
  <c r="T37" i="171"/>
  <c r="T36" i="171"/>
  <c r="T38" i="171"/>
  <c r="T44" i="171"/>
  <c r="T39" i="171"/>
  <c r="Q111" i="171"/>
  <c r="R52" i="171"/>
  <c r="Q105" i="171"/>
  <c r="P105" i="171"/>
  <c r="O107" i="171"/>
  <c r="P107" i="171"/>
  <c r="U28" i="171"/>
  <c r="V59" i="171"/>
  <c r="Q112" i="171"/>
  <c r="R112" i="171"/>
  <c r="R62" i="171"/>
  <c r="O111" i="177"/>
  <c r="N111" i="177"/>
  <c r="M116" i="177"/>
  <c r="N116" i="177"/>
  <c r="R60" i="177"/>
  <c r="R57" i="177"/>
  <c r="R69" i="177"/>
  <c r="R61" i="177"/>
  <c r="R80" i="177"/>
  <c r="R96" i="177"/>
  <c r="R83" i="177"/>
  <c r="R53" i="177"/>
  <c r="R74" i="177"/>
  <c r="R95" i="177"/>
  <c r="R81" i="177"/>
  <c r="R71" i="177"/>
  <c r="R89" i="177"/>
  <c r="R79" i="177"/>
  <c r="R91" i="177"/>
  <c r="R72" i="177"/>
  <c r="R94" i="177"/>
  <c r="R85" i="177"/>
  <c r="R87" i="177"/>
  <c r="R93" i="177"/>
  <c r="R33" i="177"/>
  <c r="R32" i="177"/>
  <c r="R31" i="177"/>
  <c r="R41" i="177"/>
  <c r="R25" i="177"/>
  <c r="R113" i="177"/>
  <c r="R73" i="177"/>
  <c r="R23" i="177"/>
  <c r="R101" i="177"/>
  <c r="R44" i="177"/>
  <c r="R46" i="177"/>
  <c r="R21" i="177"/>
  <c r="R28" i="177"/>
  <c r="R27" i="177"/>
  <c r="R114" i="177"/>
  <c r="R24" i="177"/>
  <c r="R84" i="177"/>
  <c r="R39" i="177"/>
  <c r="R45" i="177"/>
  <c r="R115" i="177"/>
  <c r="R58" i="177"/>
  <c r="R82" i="177"/>
  <c r="R36" i="177"/>
  <c r="R38" i="177"/>
  <c r="R37" i="177"/>
  <c r="R43" i="177"/>
  <c r="R42" i="177"/>
  <c r="R26" i="177"/>
  <c r="R40" i="177"/>
  <c r="R20" i="177"/>
  <c r="O112" i="177"/>
  <c r="P112" i="177"/>
  <c r="P62" i="177"/>
  <c r="P52" i="177"/>
  <c r="S28" i="177"/>
  <c r="R61" i="160"/>
  <c r="R77" i="160"/>
  <c r="R93" i="160"/>
  <c r="R63" i="160"/>
  <c r="R84" i="160"/>
  <c r="R55" i="160"/>
  <c r="R83" i="160"/>
  <c r="R60" i="160"/>
  <c r="R99" i="160"/>
  <c r="R82" i="160"/>
  <c r="R66" i="160"/>
  <c r="R103" i="160"/>
  <c r="R78" i="160"/>
  <c r="R23" i="160"/>
  <c r="R65" i="160"/>
  <c r="R81" i="160"/>
  <c r="R68" i="160"/>
  <c r="R90" i="160"/>
  <c r="R91" i="160"/>
  <c r="R71" i="160"/>
  <c r="R54" i="160"/>
  <c r="R92" i="160"/>
  <c r="R75" i="160"/>
  <c r="R57" i="160"/>
  <c r="R73" i="160"/>
  <c r="R89" i="160"/>
  <c r="R58" i="160"/>
  <c r="R79" i="160"/>
  <c r="R100" i="160"/>
  <c r="R76" i="160"/>
  <c r="R104" i="160"/>
  <c r="R88" i="160"/>
  <c r="R72" i="160"/>
  <c r="R56" i="160"/>
  <c r="R94" i="160"/>
  <c r="R67" i="160"/>
  <c r="R85" i="160"/>
  <c r="R70" i="160"/>
  <c r="R102" i="160"/>
  <c r="R26" i="160"/>
  <c r="R24" i="160"/>
  <c r="R21" i="160"/>
  <c r="R101" i="160"/>
  <c r="R98" i="160"/>
  <c r="R86" i="160"/>
  <c r="R27" i="160"/>
  <c r="R69" i="160"/>
  <c r="R95" i="160"/>
  <c r="R64" i="160"/>
  <c r="R87" i="160"/>
  <c r="R96" i="160"/>
  <c r="R45" i="160"/>
  <c r="R33" i="160"/>
  <c r="R31" i="160"/>
  <c r="R37" i="160"/>
  <c r="R32" i="160"/>
  <c r="R115" i="160"/>
  <c r="R40" i="160"/>
  <c r="R74" i="160"/>
  <c r="R28" i="160"/>
  <c r="R114" i="160"/>
  <c r="R44" i="160"/>
  <c r="R80" i="160"/>
  <c r="R25" i="160"/>
  <c r="R41" i="160"/>
  <c r="R42" i="160"/>
  <c r="R36" i="160"/>
  <c r="R39" i="160"/>
  <c r="R38" i="160"/>
  <c r="R53" i="160"/>
  <c r="R46" i="160"/>
  <c r="R43" i="160"/>
  <c r="R113" i="160"/>
  <c r="R20" i="160"/>
  <c r="M116" i="160"/>
  <c r="N116" i="160"/>
  <c r="N111" i="160"/>
  <c r="O111" i="160"/>
  <c r="P52" i="160"/>
  <c r="O105" i="160"/>
  <c r="O112" i="160"/>
  <c r="P112" i="160"/>
  <c r="P62" i="160"/>
  <c r="N105" i="160"/>
  <c r="M107" i="160"/>
  <c r="N107" i="160"/>
  <c r="U19" i="160"/>
  <c r="S28" i="160"/>
  <c r="U28" i="162"/>
  <c r="V59" i="162"/>
  <c r="T26" i="162"/>
  <c r="T24" i="162"/>
  <c r="T31" i="162"/>
  <c r="T43" i="162"/>
  <c r="T32" i="162"/>
  <c r="T28" i="162"/>
  <c r="T21" i="162"/>
  <c r="T115" i="162"/>
  <c r="T41" i="162"/>
  <c r="T27" i="162"/>
  <c r="T36" i="162"/>
  <c r="T40" i="162"/>
  <c r="T44" i="162"/>
  <c r="T114" i="162"/>
  <c r="T33" i="162"/>
  <c r="T45" i="162"/>
  <c r="T42" i="162"/>
  <c r="T46" i="162"/>
  <c r="T113" i="162"/>
  <c r="T39" i="162"/>
  <c r="T23" i="162"/>
  <c r="T37" i="162"/>
  <c r="T38" i="162"/>
  <c r="T25" i="162"/>
  <c r="T20" i="162"/>
  <c r="Q111" i="162"/>
  <c r="P111" i="162"/>
  <c r="O116" i="162"/>
  <c r="P116" i="162"/>
  <c r="Q112" i="162"/>
  <c r="R112" i="162"/>
  <c r="T19" i="162"/>
  <c r="O112" i="178"/>
  <c r="P112" i="178"/>
  <c r="R46" i="178"/>
  <c r="R38" i="178"/>
  <c r="R26" i="178"/>
  <c r="R43" i="178"/>
  <c r="R32" i="178"/>
  <c r="R23" i="178"/>
  <c r="R113" i="178"/>
  <c r="R42" i="178"/>
  <c r="R114" i="178"/>
  <c r="R115" i="178"/>
  <c r="R40" i="178"/>
  <c r="R37" i="178"/>
  <c r="R24" i="178"/>
  <c r="R44" i="178"/>
  <c r="R36" i="178"/>
  <c r="R21" i="178"/>
  <c r="R41" i="178"/>
  <c r="R27" i="178"/>
  <c r="R39" i="178"/>
  <c r="R25" i="178"/>
  <c r="R28" i="178"/>
  <c r="R45" i="178"/>
  <c r="R20" i="178"/>
  <c r="N111" i="178"/>
  <c r="M116" i="178"/>
  <c r="N116" i="178"/>
  <c r="O111" i="178"/>
  <c r="S28" i="178"/>
  <c r="D26" i="118"/>
  <c r="C31" i="118"/>
  <c r="D23" i="118"/>
  <c r="D21" i="118"/>
  <c r="D37" i="118"/>
  <c r="D41" i="118"/>
  <c r="D45" i="118"/>
  <c r="D114" i="118"/>
  <c r="D115" i="118"/>
  <c r="D36" i="118"/>
  <c r="D40" i="118"/>
  <c r="D44" i="118"/>
  <c r="D113" i="118"/>
  <c r="D32" i="118"/>
  <c r="D38" i="118"/>
  <c r="D42" i="118"/>
  <c r="D46" i="118"/>
  <c r="D39" i="118"/>
  <c r="D43" i="118"/>
  <c r="D25" i="118"/>
  <c r="D28" i="118"/>
  <c r="D24" i="118"/>
  <c r="D19" i="118"/>
  <c r="D27" i="118"/>
  <c r="D20" i="118"/>
  <c r="E28" i="118"/>
  <c r="E31" i="118"/>
  <c r="T55" i="177"/>
  <c r="T55" i="178"/>
  <c r="T95" i="178"/>
  <c r="T89" i="178"/>
  <c r="T83" i="178"/>
  <c r="T79" i="178"/>
  <c r="T71" i="178"/>
  <c r="T60" i="178"/>
  <c r="T58" i="178"/>
  <c r="T94" i="178"/>
  <c r="T87" i="178"/>
  <c r="T93" i="178"/>
  <c r="T85" i="178"/>
  <c r="T81" i="178"/>
  <c r="T73" i="178"/>
  <c r="T62" i="178"/>
  <c r="T52" i="178"/>
  <c r="T96" i="178"/>
  <c r="T91" i="178"/>
  <c r="T84" i="178"/>
  <c r="T53" i="178"/>
  <c r="T80" i="178"/>
  <c r="T72" i="178"/>
  <c r="T61" i="178"/>
  <c r="T57" i="178"/>
  <c r="T82" i="178"/>
  <c r="T74" i="178"/>
  <c r="T69" i="178"/>
  <c r="T97" i="178"/>
  <c r="T59" i="178"/>
  <c r="D31" i="118"/>
  <c r="V19" i="171"/>
  <c r="V19" i="162"/>
  <c r="V33" i="194"/>
  <c r="T33" i="195"/>
  <c r="V31" i="195"/>
  <c r="U33" i="195"/>
  <c r="T97" i="177"/>
  <c r="T59" i="177"/>
  <c r="T19" i="160"/>
  <c r="T97" i="160"/>
  <c r="T59" i="160"/>
  <c r="S111" i="171"/>
  <c r="V57" i="171"/>
  <c r="V73" i="171"/>
  <c r="V89" i="171"/>
  <c r="V54" i="171"/>
  <c r="V75" i="171"/>
  <c r="V96" i="171"/>
  <c r="V66" i="171"/>
  <c r="V87" i="171"/>
  <c r="V56" i="171"/>
  <c r="V99" i="171"/>
  <c r="V90" i="171"/>
  <c r="V83" i="171"/>
  <c r="V95" i="171"/>
  <c r="V61" i="171"/>
  <c r="V77" i="171"/>
  <c r="V93" i="171"/>
  <c r="V80" i="171"/>
  <c r="V102" i="171"/>
  <c r="V71" i="171"/>
  <c r="V92" i="171"/>
  <c r="V67" i="171"/>
  <c r="V58" i="171"/>
  <c r="V100" i="171"/>
  <c r="V94" i="171"/>
  <c r="V74" i="171"/>
  <c r="V53" i="171"/>
  <c r="V69" i="171"/>
  <c r="V85" i="171"/>
  <c r="V101" i="171"/>
  <c r="V70" i="171"/>
  <c r="V91" i="171"/>
  <c r="V60" i="171"/>
  <c r="V82" i="171"/>
  <c r="V103" i="171"/>
  <c r="V88" i="171"/>
  <c r="V79" i="171"/>
  <c r="V72" i="171"/>
  <c r="V63" i="171"/>
  <c r="V84" i="171"/>
  <c r="V97" i="171"/>
  <c r="V76" i="171"/>
  <c r="V21" i="171"/>
  <c r="V64" i="171"/>
  <c r="V98" i="171"/>
  <c r="V104" i="171"/>
  <c r="V25" i="171"/>
  <c r="V20" i="171"/>
  <c r="V23" i="171"/>
  <c r="V24" i="171"/>
  <c r="V46" i="171"/>
  <c r="V81" i="171"/>
  <c r="V55" i="171"/>
  <c r="V68" i="171"/>
  <c r="V26" i="171"/>
  <c r="V78" i="171"/>
  <c r="V27" i="171"/>
  <c r="V37" i="171"/>
  <c r="V45" i="171"/>
  <c r="V36" i="171"/>
  <c r="V44" i="171"/>
  <c r="V86" i="171"/>
  <c r="V32" i="171"/>
  <c r="V43" i="171"/>
  <c r="V31" i="171"/>
  <c r="V42" i="171"/>
  <c r="V39" i="171"/>
  <c r="V38" i="171"/>
  <c r="V113" i="171"/>
  <c r="V114" i="171"/>
  <c r="V33" i="171"/>
  <c r="V28" i="171"/>
  <c r="V65" i="171"/>
  <c r="V41" i="171"/>
  <c r="V40" i="171"/>
  <c r="V115" i="171"/>
  <c r="R111" i="171"/>
  <c r="Q116" i="171"/>
  <c r="R116" i="171"/>
  <c r="T52" i="171"/>
  <c r="S105" i="171"/>
  <c r="S112" i="171"/>
  <c r="T112" i="171"/>
  <c r="T62" i="171"/>
  <c r="R105" i="171"/>
  <c r="Q107" i="171"/>
  <c r="R107" i="171"/>
  <c r="T19" i="177"/>
  <c r="T72" i="177"/>
  <c r="T91" i="177"/>
  <c r="T61" i="177"/>
  <c r="T82" i="177"/>
  <c r="T94" i="177"/>
  <c r="T85" i="177"/>
  <c r="T58" i="177"/>
  <c r="T101" i="177"/>
  <c r="T26" i="177"/>
  <c r="T60" i="177"/>
  <c r="T87" i="177"/>
  <c r="T53" i="177"/>
  <c r="T95" i="177"/>
  <c r="T69" i="177"/>
  <c r="T83" i="177"/>
  <c r="T57" i="177"/>
  <c r="T80" i="177"/>
  <c r="T93" i="177"/>
  <c r="T89" i="177"/>
  <c r="T84" i="177"/>
  <c r="T74" i="177"/>
  <c r="T25" i="177"/>
  <c r="T114" i="177"/>
  <c r="T40" i="177"/>
  <c r="T39" i="177"/>
  <c r="T113" i="177"/>
  <c r="T21" i="177"/>
  <c r="T96" i="177"/>
  <c r="T71" i="177"/>
  <c r="T27" i="177"/>
  <c r="T24" i="177"/>
  <c r="T28" i="177"/>
  <c r="T46" i="177"/>
  <c r="T31" i="177"/>
  <c r="T42" i="177"/>
  <c r="T41" i="177"/>
  <c r="T23" i="177"/>
  <c r="T81" i="177"/>
  <c r="T33" i="177"/>
  <c r="T38" i="177"/>
  <c r="T115" i="177"/>
  <c r="T45" i="177"/>
  <c r="T73" i="177"/>
  <c r="T79" i="177"/>
  <c r="T37" i="177"/>
  <c r="T44" i="177"/>
  <c r="T32" i="177"/>
  <c r="T36" i="177"/>
  <c r="T43" i="177"/>
  <c r="T20" i="177"/>
  <c r="Q111" i="177"/>
  <c r="R52" i="177"/>
  <c r="P111" i="177"/>
  <c r="O116" i="177"/>
  <c r="P116" i="177"/>
  <c r="U28" i="177"/>
  <c r="Q112" i="177"/>
  <c r="R112" i="177"/>
  <c r="R62" i="177"/>
  <c r="O116" i="160"/>
  <c r="P116" i="160"/>
  <c r="P111" i="160"/>
  <c r="Q112" i="160"/>
  <c r="R112" i="160"/>
  <c r="R62" i="160"/>
  <c r="T25" i="160"/>
  <c r="T65" i="160"/>
  <c r="T81" i="160"/>
  <c r="T67" i="160"/>
  <c r="T88" i="160"/>
  <c r="T87" i="160"/>
  <c r="T64" i="160"/>
  <c r="T103" i="160"/>
  <c r="T96" i="160"/>
  <c r="T98" i="160"/>
  <c r="T100" i="160"/>
  <c r="T68" i="160"/>
  <c r="T53" i="160"/>
  <c r="T69" i="160"/>
  <c r="T85" i="160"/>
  <c r="T101" i="160"/>
  <c r="T72" i="160"/>
  <c r="T94" i="160"/>
  <c r="T66" i="160"/>
  <c r="T95" i="160"/>
  <c r="T75" i="160"/>
  <c r="T58" i="160"/>
  <c r="T60" i="160"/>
  <c r="T63" i="160"/>
  <c r="T91" i="160"/>
  <c r="T79" i="160"/>
  <c r="T61" i="160"/>
  <c r="T77" i="160"/>
  <c r="T93" i="160"/>
  <c r="T83" i="160"/>
  <c r="T104" i="160"/>
  <c r="T80" i="160"/>
  <c r="T55" i="160"/>
  <c r="T92" i="160"/>
  <c r="T82" i="160"/>
  <c r="T86" i="160"/>
  <c r="T90" i="160"/>
  <c r="T89" i="160"/>
  <c r="T74" i="160"/>
  <c r="T71" i="160"/>
  <c r="T56" i="160"/>
  <c r="T102" i="160"/>
  <c r="T76" i="160"/>
  <c r="T23" i="160"/>
  <c r="T24" i="160"/>
  <c r="T73" i="160"/>
  <c r="T99" i="160"/>
  <c r="T70" i="160"/>
  <c r="T26" i="160"/>
  <c r="T78" i="160"/>
  <c r="T54" i="160"/>
  <c r="T28" i="160"/>
  <c r="T33" i="160"/>
  <c r="T57" i="160"/>
  <c r="T32" i="160"/>
  <c r="T113" i="160"/>
  <c r="T42" i="160"/>
  <c r="T114" i="160"/>
  <c r="T39" i="160"/>
  <c r="T31" i="160"/>
  <c r="T38" i="160"/>
  <c r="T21" i="160"/>
  <c r="T40" i="160"/>
  <c r="T45" i="160"/>
  <c r="T37" i="160"/>
  <c r="T46" i="160"/>
  <c r="T27" i="160"/>
  <c r="T115" i="160"/>
  <c r="T44" i="160"/>
  <c r="T36" i="160"/>
  <c r="T41" i="160"/>
  <c r="T84" i="160"/>
  <c r="T43" i="160"/>
  <c r="T20" i="160"/>
  <c r="R52" i="160"/>
  <c r="Q105" i="160"/>
  <c r="U28" i="160"/>
  <c r="V59" i="160"/>
  <c r="Q111" i="160"/>
  <c r="P105" i="160"/>
  <c r="O107" i="160"/>
  <c r="P107" i="160"/>
  <c r="Q116" i="162"/>
  <c r="R116" i="162"/>
  <c r="R111" i="162"/>
  <c r="S111" i="162"/>
  <c r="S112" i="162"/>
  <c r="T112" i="162"/>
  <c r="V91" i="162"/>
  <c r="V57" i="162"/>
  <c r="V85" i="162"/>
  <c r="V83" i="162"/>
  <c r="V53" i="162"/>
  <c r="V74" i="162"/>
  <c r="V96" i="162"/>
  <c r="V72" i="162"/>
  <c r="V73" i="162"/>
  <c r="V97" i="162"/>
  <c r="V93" i="162"/>
  <c r="V84" i="162"/>
  <c r="V55" i="162"/>
  <c r="V87" i="162"/>
  <c r="V58" i="162"/>
  <c r="V81" i="162"/>
  <c r="V61" i="162"/>
  <c r="V82" i="162"/>
  <c r="V95" i="162"/>
  <c r="V69" i="162"/>
  <c r="V94" i="162"/>
  <c r="V89" i="162"/>
  <c r="V40" i="162"/>
  <c r="V44" i="162"/>
  <c r="V21" i="162"/>
  <c r="V113" i="162"/>
  <c r="V32" i="162"/>
  <c r="V43" i="162"/>
  <c r="V46" i="162"/>
  <c r="V80" i="162"/>
  <c r="V23" i="162"/>
  <c r="V31" i="162"/>
  <c r="V38" i="162"/>
  <c r="V37" i="162"/>
  <c r="V45" i="162"/>
  <c r="V71" i="162"/>
  <c r="V60" i="162"/>
  <c r="V26" i="162"/>
  <c r="V115" i="162"/>
  <c r="V41" i="162"/>
  <c r="V42" i="162"/>
  <c r="V24" i="162"/>
  <c r="V33" i="162"/>
  <c r="V79" i="162"/>
  <c r="V25" i="162"/>
  <c r="V36" i="162"/>
  <c r="V114" i="162"/>
  <c r="V39" i="162"/>
  <c r="V28" i="162"/>
  <c r="V27" i="162"/>
  <c r="V20" i="162"/>
  <c r="Q112" i="178"/>
  <c r="R112" i="178"/>
  <c r="P111" i="178"/>
  <c r="O116" i="178"/>
  <c r="P116" i="178"/>
  <c r="T23" i="178"/>
  <c r="T28" i="178"/>
  <c r="T38" i="178"/>
  <c r="T43" i="178"/>
  <c r="T115" i="178"/>
  <c r="T25" i="178"/>
  <c r="T40" i="178"/>
  <c r="T46" i="178"/>
  <c r="T27" i="178"/>
  <c r="T41" i="178"/>
  <c r="T32" i="178"/>
  <c r="T24" i="178"/>
  <c r="T45" i="178"/>
  <c r="T26" i="178"/>
  <c r="T36" i="178"/>
  <c r="T39" i="178"/>
  <c r="T21" i="178"/>
  <c r="T44" i="178"/>
  <c r="T114" i="178"/>
  <c r="T113" i="178"/>
  <c r="T42" i="178"/>
  <c r="T37" i="178"/>
  <c r="T20" i="178"/>
  <c r="U28" i="178"/>
  <c r="V59" i="178"/>
  <c r="T19" i="178"/>
  <c r="Q111" i="178"/>
  <c r="C33" i="118"/>
  <c r="D89" i="118"/>
  <c r="D100" i="118"/>
  <c r="D93" i="118"/>
  <c r="D80" i="118"/>
  <c r="D72" i="118"/>
  <c r="D52" i="118"/>
  <c r="D81" i="118"/>
  <c r="D85" i="118"/>
  <c r="D84" i="118"/>
  <c r="D96" i="118"/>
  <c r="D62" i="118"/>
  <c r="C112" i="118"/>
  <c r="D53" i="118"/>
  <c r="D79" i="118"/>
  <c r="D71" i="118"/>
  <c r="D83" i="118"/>
  <c r="D103" i="118"/>
  <c r="D95" i="118"/>
  <c r="D104" i="118"/>
  <c r="D82" i="118"/>
  <c r="D74" i="118"/>
  <c r="D69" i="118"/>
  <c r="D91" i="118"/>
  <c r="D61" i="118"/>
  <c r="D94" i="118"/>
  <c r="D58" i="118"/>
  <c r="D73" i="118"/>
  <c r="D102" i="118"/>
  <c r="D97" i="118"/>
  <c r="C111" i="118"/>
  <c r="D87" i="118"/>
  <c r="D60" i="118"/>
  <c r="F32" i="118"/>
  <c r="F21" i="118"/>
  <c r="F24" i="118"/>
  <c r="F26" i="118"/>
  <c r="F36" i="118"/>
  <c r="F38" i="118"/>
  <c r="F40" i="118"/>
  <c r="F42" i="118"/>
  <c r="F44" i="118"/>
  <c r="F46" i="118"/>
  <c r="F23" i="118"/>
  <c r="F39" i="118"/>
  <c r="F25" i="118"/>
  <c r="F37" i="118"/>
  <c r="F45" i="118"/>
  <c r="F19" i="118"/>
  <c r="F27" i="118"/>
  <c r="F28" i="118"/>
  <c r="F43" i="118"/>
  <c r="F41" i="118"/>
  <c r="F113" i="118"/>
  <c r="F115" i="118"/>
  <c r="F114" i="118"/>
  <c r="G28" i="118"/>
  <c r="H20" i="118"/>
  <c r="F20" i="118"/>
  <c r="V59" i="177"/>
  <c r="I10" i="118"/>
  <c r="G13" i="118"/>
  <c r="V19" i="178"/>
  <c r="V33" i="195"/>
  <c r="D33" i="118"/>
  <c r="C12" i="118"/>
  <c r="V19" i="177"/>
  <c r="V19" i="160"/>
  <c r="U111" i="171"/>
  <c r="T105" i="171"/>
  <c r="S107" i="171"/>
  <c r="T107" i="171"/>
  <c r="U105" i="171"/>
  <c r="V52" i="171"/>
  <c r="U112" i="171"/>
  <c r="V112" i="171"/>
  <c r="V62" i="171"/>
  <c r="T111" i="171"/>
  <c r="S116" i="171"/>
  <c r="T116" i="171"/>
  <c r="V94" i="177"/>
  <c r="V91" i="177"/>
  <c r="V97" i="177"/>
  <c r="V61" i="177"/>
  <c r="V69" i="177"/>
  <c r="V82" i="177"/>
  <c r="V79" i="177"/>
  <c r="V95" i="177"/>
  <c r="V96" i="177"/>
  <c r="V73" i="177"/>
  <c r="V84" i="177"/>
  <c r="V93" i="177"/>
  <c r="V85" i="177"/>
  <c r="V58" i="177"/>
  <c r="V71" i="177"/>
  <c r="V57" i="177"/>
  <c r="V101" i="177"/>
  <c r="V83" i="177"/>
  <c r="V72" i="177"/>
  <c r="V81" i="177"/>
  <c r="V55" i="177"/>
  <c r="V80" i="177"/>
  <c r="V23" i="177"/>
  <c r="V25" i="177"/>
  <c r="V36" i="177"/>
  <c r="V32" i="177"/>
  <c r="V38" i="177"/>
  <c r="V46" i="177"/>
  <c r="V40" i="177"/>
  <c r="V74" i="177"/>
  <c r="V89" i="177"/>
  <c r="V53" i="177"/>
  <c r="V27" i="177"/>
  <c r="V43" i="177"/>
  <c r="V31" i="177"/>
  <c r="V45" i="177"/>
  <c r="V115" i="177"/>
  <c r="V87" i="177"/>
  <c r="V33" i="177"/>
  <c r="V60" i="177"/>
  <c r="V42" i="177"/>
  <c r="V37" i="177"/>
  <c r="V26" i="177"/>
  <c r="V44" i="177"/>
  <c r="V41" i="177"/>
  <c r="V28" i="177"/>
  <c r="V24" i="177"/>
  <c r="V39" i="177"/>
  <c r="V113" i="177"/>
  <c r="V21" i="177"/>
  <c r="V114" i="177"/>
  <c r="V20" i="177"/>
  <c r="S111" i="177"/>
  <c r="T52" i="177"/>
  <c r="R111" i="177"/>
  <c r="Q116" i="177"/>
  <c r="R116" i="177"/>
  <c r="T62" i="177"/>
  <c r="S112" i="177"/>
  <c r="T112" i="177"/>
  <c r="S111" i="160"/>
  <c r="Q116" i="160"/>
  <c r="R116" i="160"/>
  <c r="R111" i="160"/>
  <c r="S112" i="160"/>
  <c r="T112" i="160"/>
  <c r="T62" i="160"/>
  <c r="V24" i="160"/>
  <c r="V67" i="160"/>
  <c r="V83" i="160"/>
  <c r="V99" i="160"/>
  <c r="V65" i="160"/>
  <c r="V86" i="160"/>
  <c r="V56" i="160"/>
  <c r="V77" i="160"/>
  <c r="V98" i="160"/>
  <c r="V84" i="160"/>
  <c r="V74" i="160"/>
  <c r="V78" i="160"/>
  <c r="V101" i="160"/>
  <c r="V68" i="160"/>
  <c r="V55" i="160"/>
  <c r="V71" i="160"/>
  <c r="V87" i="160"/>
  <c r="V103" i="160"/>
  <c r="V70" i="160"/>
  <c r="V92" i="160"/>
  <c r="V61" i="160"/>
  <c r="V82" i="160"/>
  <c r="V104" i="160"/>
  <c r="V94" i="160"/>
  <c r="V85" i="160"/>
  <c r="V100" i="160"/>
  <c r="V89" i="160"/>
  <c r="V69" i="160"/>
  <c r="V63" i="160"/>
  <c r="V79" i="160"/>
  <c r="V95" i="160"/>
  <c r="V60" i="160"/>
  <c r="V81" i="160"/>
  <c r="V102" i="160"/>
  <c r="V72" i="160"/>
  <c r="V93" i="160"/>
  <c r="V73" i="160"/>
  <c r="V64" i="160"/>
  <c r="V57" i="160"/>
  <c r="V80" i="160"/>
  <c r="V91" i="160"/>
  <c r="V66" i="160"/>
  <c r="V96" i="160"/>
  <c r="V26" i="160"/>
  <c r="V21" i="160"/>
  <c r="V54" i="160"/>
  <c r="V88" i="160"/>
  <c r="V58" i="160"/>
  <c r="V27" i="160"/>
  <c r="V75" i="160"/>
  <c r="V97" i="160"/>
  <c r="V53" i="160"/>
  <c r="V25" i="160"/>
  <c r="V44" i="160"/>
  <c r="V41" i="160"/>
  <c r="V115" i="160"/>
  <c r="V45" i="160"/>
  <c r="V37" i="160"/>
  <c r="V38" i="160"/>
  <c r="V90" i="160"/>
  <c r="V33" i="160"/>
  <c r="V32" i="160"/>
  <c r="V28" i="160"/>
  <c r="V31" i="160"/>
  <c r="V113" i="160"/>
  <c r="V114" i="160"/>
  <c r="V43" i="160"/>
  <c r="V23" i="160"/>
  <c r="V40" i="160"/>
  <c r="V76" i="160"/>
  <c r="V39" i="160"/>
  <c r="V36" i="160"/>
  <c r="V46" i="160"/>
  <c r="V42" i="160"/>
  <c r="V20" i="160"/>
  <c r="R105" i="160"/>
  <c r="Q107" i="160"/>
  <c r="R107" i="160"/>
  <c r="T52" i="160"/>
  <c r="S105" i="160"/>
  <c r="U111" i="162"/>
  <c r="V52" i="162"/>
  <c r="U112" i="162"/>
  <c r="V112" i="162"/>
  <c r="V62" i="162"/>
  <c r="T111" i="162"/>
  <c r="S116" i="162"/>
  <c r="T116" i="162"/>
  <c r="S112" i="178"/>
  <c r="T112" i="178"/>
  <c r="V83" i="178"/>
  <c r="V53" i="178"/>
  <c r="V85" i="178"/>
  <c r="V96" i="178"/>
  <c r="V81" i="178"/>
  <c r="V58" i="178"/>
  <c r="V74" i="178"/>
  <c r="V71" i="178"/>
  <c r="V87" i="178"/>
  <c r="V84" i="178"/>
  <c r="V61" i="178"/>
  <c r="V93" i="178"/>
  <c r="V72" i="178"/>
  <c r="V89" i="178"/>
  <c r="V94" i="178"/>
  <c r="V60" i="178"/>
  <c r="V69" i="178"/>
  <c r="V80" i="178"/>
  <c r="V57" i="178"/>
  <c r="V91" i="178"/>
  <c r="V73" i="178"/>
  <c r="V79" i="178"/>
  <c r="V113" i="178"/>
  <c r="V41" i="178"/>
  <c r="V28" i="178"/>
  <c r="V38" i="178"/>
  <c r="V21" i="178"/>
  <c r="V82" i="178"/>
  <c r="V95" i="178"/>
  <c r="V39" i="178"/>
  <c r="V27" i="178"/>
  <c r="V44" i="178"/>
  <c r="V36" i="178"/>
  <c r="V23" i="178"/>
  <c r="V37" i="178"/>
  <c r="V42" i="178"/>
  <c r="V45" i="178"/>
  <c r="V114" i="178"/>
  <c r="V97" i="178"/>
  <c r="V115" i="178"/>
  <c r="V32" i="178"/>
  <c r="V40" i="178"/>
  <c r="V25" i="178"/>
  <c r="V24" i="178"/>
  <c r="V43" i="178"/>
  <c r="V26" i="178"/>
  <c r="V46" i="178"/>
  <c r="V20" i="178"/>
  <c r="R111" i="178"/>
  <c r="Q116" i="178"/>
  <c r="R116" i="178"/>
  <c r="S111" i="178"/>
  <c r="D112" i="118"/>
  <c r="D111" i="118"/>
  <c r="C116" i="118"/>
  <c r="D116" i="118"/>
  <c r="F103" i="118"/>
  <c r="F82" i="118"/>
  <c r="F74" i="118"/>
  <c r="F58" i="118"/>
  <c r="I28" i="118"/>
  <c r="F89" i="118"/>
  <c r="F102" i="118"/>
  <c r="F93" i="118"/>
  <c r="F94" i="118"/>
  <c r="F85" i="118"/>
  <c r="F81" i="118"/>
  <c r="F73" i="118"/>
  <c r="F69" i="118"/>
  <c r="F61" i="118"/>
  <c r="F57" i="118"/>
  <c r="F53" i="118"/>
  <c r="F91" i="118"/>
  <c r="F95" i="118"/>
  <c r="F62" i="118"/>
  <c r="E112" i="118"/>
  <c r="F97" i="118"/>
  <c r="F84" i="118"/>
  <c r="F80" i="118"/>
  <c r="F72" i="118"/>
  <c r="F60" i="118"/>
  <c r="F52" i="118"/>
  <c r="H23" i="118"/>
  <c r="H25" i="118"/>
  <c r="H27" i="118"/>
  <c r="H37" i="118"/>
  <c r="H39" i="118"/>
  <c r="H41" i="118"/>
  <c r="H43" i="118"/>
  <c r="H45" i="118"/>
  <c r="H19" i="118"/>
  <c r="H28" i="118"/>
  <c r="H32" i="118"/>
  <c r="H21" i="118"/>
  <c r="H24" i="118"/>
  <c r="H26" i="118"/>
  <c r="H36" i="118"/>
  <c r="H38" i="118"/>
  <c r="H40" i="118"/>
  <c r="H42" i="118"/>
  <c r="H44" i="118"/>
  <c r="H46" i="118"/>
  <c r="H113" i="118"/>
  <c r="H115" i="118"/>
  <c r="H114" i="118"/>
  <c r="F104" i="118"/>
  <c r="F100" i="118"/>
  <c r="F96" i="118"/>
  <c r="F87" i="118"/>
  <c r="F83" i="118"/>
  <c r="F79" i="118"/>
  <c r="F71" i="118"/>
  <c r="F31" i="118"/>
  <c r="G31" i="118"/>
  <c r="E33" i="118"/>
  <c r="E12" i="118"/>
  <c r="F59" i="118"/>
  <c r="E111" i="118"/>
  <c r="K10" i="118"/>
  <c r="I13" i="118"/>
  <c r="J20" i="118"/>
  <c r="I31" i="118"/>
  <c r="V105" i="171"/>
  <c r="U107" i="171"/>
  <c r="V107" i="171"/>
  <c r="V111" i="171"/>
  <c r="U116" i="171"/>
  <c r="V116" i="171"/>
  <c r="U111" i="177"/>
  <c r="V52" i="177"/>
  <c r="T111" i="177"/>
  <c r="S116" i="177"/>
  <c r="T116" i="177"/>
  <c r="U112" i="177"/>
  <c r="V112" i="177"/>
  <c r="V62" i="177"/>
  <c r="V52" i="160"/>
  <c r="U105" i="160"/>
  <c r="U112" i="160"/>
  <c r="V112" i="160"/>
  <c r="V62" i="160"/>
  <c r="T105" i="160"/>
  <c r="S107" i="160"/>
  <c r="T107" i="160"/>
  <c r="U111" i="160"/>
  <c r="T111" i="160"/>
  <c r="S116" i="160"/>
  <c r="T116" i="160"/>
  <c r="V111" i="162"/>
  <c r="U116" i="162"/>
  <c r="V116" i="162"/>
  <c r="U111" i="178"/>
  <c r="V52" i="178"/>
  <c r="T111" i="178"/>
  <c r="S116" i="178"/>
  <c r="T116" i="178"/>
  <c r="U112" i="178"/>
  <c r="V112" i="178"/>
  <c r="V62" i="178"/>
  <c r="H95" i="118"/>
  <c r="H94" i="118"/>
  <c r="H79" i="118"/>
  <c r="F33" i="118"/>
  <c r="H82" i="118"/>
  <c r="H97" i="118"/>
  <c r="H91" i="118"/>
  <c r="H87" i="118"/>
  <c r="H84" i="118"/>
  <c r="H73" i="118"/>
  <c r="H69" i="118"/>
  <c r="H61" i="118"/>
  <c r="H57" i="118"/>
  <c r="H53" i="118"/>
  <c r="E116" i="118"/>
  <c r="F116" i="118"/>
  <c r="F111" i="118"/>
  <c r="H93" i="118"/>
  <c r="H104" i="118"/>
  <c r="H100" i="118"/>
  <c r="H96" i="118"/>
  <c r="H85" i="118"/>
  <c r="H83" i="118"/>
  <c r="H80" i="118"/>
  <c r="H72" i="118"/>
  <c r="H60" i="118"/>
  <c r="H52" i="118"/>
  <c r="H89" i="118"/>
  <c r="H71" i="118"/>
  <c r="H59" i="118"/>
  <c r="G111" i="118"/>
  <c r="F112" i="118"/>
  <c r="H102" i="118"/>
  <c r="H58" i="118"/>
  <c r="H74" i="118"/>
  <c r="H62" i="118"/>
  <c r="G112" i="118"/>
  <c r="H31" i="118"/>
  <c r="G33" i="118"/>
  <c r="G12" i="118"/>
  <c r="J23" i="118"/>
  <c r="J25" i="118"/>
  <c r="J27" i="118"/>
  <c r="J37" i="118"/>
  <c r="J39" i="118"/>
  <c r="J41" i="118"/>
  <c r="J43" i="118"/>
  <c r="J45" i="118"/>
  <c r="J32" i="118"/>
  <c r="J26" i="118"/>
  <c r="J40" i="118"/>
  <c r="J38" i="118"/>
  <c r="J46" i="118"/>
  <c r="J21" i="118"/>
  <c r="J36" i="118"/>
  <c r="J44" i="118"/>
  <c r="J24" i="118"/>
  <c r="J28" i="118"/>
  <c r="J42" i="118"/>
  <c r="J114" i="118"/>
  <c r="J115" i="118"/>
  <c r="J113" i="118"/>
  <c r="J19" i="118"/>
  <c r="H103" i="118"/>
  <c r="H81" i="118"/>
  <c r="K28" i="118"/>
  <c r="L20" i="118"/>
  <c r="M10" i="118"/>
  <c r="K13" i="118"/>
  <c r="V111" i="177"/>
  <c r="U116" i="177"/>
  <c r="V116" i="177"/>
  <c r="U116" i="160"/>
  <c r="V116" i="160"/>
  <c r="V111" i="160"/>
  <c r="V105" i="160"/>
  <c r="U107" i="160"/>
  <c r="V107" i="160"/>
  <c r="U116" i="178"/>
  <c r="V116" i="178"/>
  <c r="V111" i="178"/>
  <c r="J100" i="118"/>
  <c r="J93" i="118"/>
  <c r="J69" i="118"/>
  <c r="M28" i="118"/>
  <c r="N20" i="118"/>
  <c r="L21" i="118"/>
  <c r="L24" i="118"/>
  <c r="L26" i="118"/>
  <c r="L36" i="118"/>
  <c r="L38" i="118"/>
  <c r="L40" i="118"/>
  <c r="L42" i="118"/>
  <c r="L44" i="118"/>
  <c r="L46" i="118"/>
  <c r="L28" i="118"/>
  <c r="L23" i="118"/>
  <c r="L25" i="118"/>
  <c r="L27" i="118"/>
  <c r="L37" i="118"/>
  <c r="L39" i="118"/>
  <c r="L41" i="118"/>
  <c r="L43" i="118"/>
  <c r="L45" i="118"/>
  <c r="L32" i="118"/>
  <c r="L114" i="118"/>
  <c r="L113" i="118"/>
  <c r="L115" i="118"/>
  <c r="L19" i="118"/>
  <c r="J97" i="118"/>
  <c r="J82" i="118"/>
  <c r="J74" i="118"/>
  <c r="J62" i="118"/>
  <c r="I112" i="118"/>
  <c r="J58" i="118"/>
  <c r="J104" i="118"/>
  <c r="J81" i="118"/>
  <c r="J61" i="118"/>
  <c r="J91" i="118"/>
  <c r="J94" i="118"/>
  <c r="J103" i="118"/>
  <c r="J95" i="118"/>
  <c r="J89" i="118"/>
  <c r="J84" i="118"/>
  <c r="J80" i="118"/>
  <c r="J72" i="118"/>
  <c r="J60" i="118"/>
  <c r="J52" i="118"/>
  <c r="H33" i="118"/>
  <c r="H111" i="118"/>
  <c r="G116" i="118"/>
  <c r="H116" i="118"/>
  <c r="J96" i="118"/>
  <c r="J85" i="118"/>
  <c r="J73" i="118"/>
  <c r="J57" i="118"/>
  <c r="J53" i="118"/>
  <c r="H112" i="118"/>
  <c r="J102" i="118"/>
  <c r="J87" i="118"/>
  <c r="J83" i="118"/>
  <c r="J79" i="118"/>
  <c r="J71" i="118"/>
  <c r="J31" i="118"/>
  <c r="K31" i="118"/>
  <c r="I33" i="118"/>
  <c r="I12" i="118"/>
  <c r="J59" i="118"/>
  <c r="I111" i="118"/>
  <c r="O10" i="118"/>
  <c r="M13" i="118"/>
  <c r="L104" i="118"/>
  <c r="L73" i="118"/>
  <c r="L97" i="118"/>
  <c r="L85" i="118"/>
  <c r="L81" i="118"/>
  <c r="L83" i="118"/>
  <c r="L74" i="118"/>
  <c r="L62" i="118"/>
  <c r="K112" i="118"/>
  <c r="N32" i="118"/>
  <c r="N21" i="118"/>
  <c r="N24" i="118"/>
  <c r="N26" i="118"/>
  <c r="N36" i="118"/>
  <c r="N38" i="118"/>
  <c r="N40" i="118"/>
  <c r="N42" i="118"/>
  <c r="N44" i="118"/>
  <c r="N46" i="118"/>
  <c r="N28" i="118"/>
  <c r="N41" i="118"/>
  <c r="N23" i="118"/>
  <c r="N39" i="118"/>
  <c r="N25" i="118"/>
  <c r="N37" i="118"/>
  <c r="N45" i="118"/>
  <c r="N27" i="118"/>
  <c r="N43" i="118"/>
  <c r="N113" i="118"/>
  <c r="N115" i="118"/>
  <c r="N114" i="118"/>
  <c r="N19" i="118"/>
  <c r="L100" i="118"/>
  <c r="L93" i="118"/>
  <c r="L89" i="118"/>
  <c r="L69" i="118"/>
  <c r="L61" i="118"/>
  <c r="J33" i="118"/>
  <c r="J112" i="118"/>
  <c r="L103" i="118"/>
  <c r="L95" i="118"/>
  <c r="L94" i="118"/>
  <c r="L80" i="118"/>
  <c r="L72" i="118"/>
  <c r="L60" i="118"/>
  <c r="L57" i="118"/>
  <c r="L53" i="118"/>
  <c r="L96" i="118"/>
  <c r="L84" i="118"/>
  <c r="L59" i="118"/>
  <c r="K111" i="118"/>
  <c r="L31" i="118"/>
  <c r="M31" i="118"/>
  <c r="K33" i="118"/>
  <c r="K12" i="118"/>
  <c r="I116" i="118"/>
  <c r="J116" i="118"/>
  <c r="J111" i="118"/>
  <c r="L102" i="118"/>
  <c r="L91" i="118"/>
  <c r="L82" i="118"/>
  <c r="L87" i="118"/>
  <c r="L79" i="118"/>
  <c r="L71" i="118"/>
  <c r="L58" i="118"/>
  <c r="L52" i="118"/>
  <c r="O28" i="118"/>
  <c r="Q10" i="118"/>
  <c r="O13" i="118"/>
  <c r="P20" i="118"/>
  <c r="O31" i="118"/>
  <c r="N31" i="118"/>
  <c r="M33" i="118"/>
  <c r="M12" i="118"/>
  <c r="N93" i="118"/>
  <c r="N85" i="118"/>
  <c r="N73" i="118"/>
  <c r="N61" i="118"/>
  <c r="Q28" i="118"/>
  <c r="R20" i="118"/>
  <c r="L33" i="118"/>
  <c r="N104" i="118"/>
  <c r="N100" i="118"/>
  <c r="N96" i="118"/>
  <c r="N89" i="118"/>
  <c r="N82" i="118"/>
  <c r="N74" i="118"/>
  <c r="N62" i="118"/>
  <c r="M112" i="118"/>
  <c r="N58" i="118"/>
  <c r="N103" i="118"/>
  <c r="N95" i="118"/>
  <c r="N57" i="118"/>
  <c r="P23" i="118"/>
  <c r="P25" i="118"/>
  <c r="P27" i="118"/>
  <c r="P37" i="118"/>
  <c r="P39" i="118"/>
  <c r="P41" i="118"/>
  <c r="P43" i="118"/>
  <c r="P45" i="118"/>
  <c r="P28" i="118"/>
  <c r="P32" i="118"/>
  <c r="P21" i="118"/>
  <c r="P24" i="118"/>
  <c r="P26" i="118"/>
  <c r="P36" i="118"/>
  <c r="P38" i="118"/>
  <c r="P40" i="118"/>
  <c r="P42" i="118"/>
  <c r="P44" i="118"/>
  <c r="P46" i="118"/>
  <c r="P113" i="118"/>
  <c r="P115" i="118"/>
  <c r="P114" i="118"/>
  <c r="P19" i="118"/>
  <c r="N102" i="118"/>
  <c r="N91" i="118"/>
  <c r="N84" i="118"/>
  <c r="N80" i="118"/>
  <c r="N72" i="118"/>
  <c r="N60" i="118"/>
  <c r="N52" i="118"/>
  <c r="L111" i="118"/>
  <c r="K116" i="118"/>
  <c r="L116" i="118"/>
  <c r="N81" i="118"/>
  <c r="N69" i="118"/>
  <c r="N53" i="118"/>
  <c r="N94" i="118"/>
  <c r="N97" i="118"/>
  <c r="N87" i="118"/>
  <c r="N83" i="118"/>
  <c r="N79" i="118"/>
  <c r="N71" i="118"/>
  <c r="N59" i="118"/>
  <c r="M111" i="118"/>
  <c r="L112" i="118"/>
  <c r="S10" i="118"/>
  <c r="Q13" i="118"/>
  <c r="P102" i="118"/>
  <c r="P93" i="118"/>
  <c r="P79" i="118"/>
  <c r="P71" i="118"/>
  <c r="P91" i="118"/>
  <c r="P103" i="118"/>
  <c r="P95" i="118"/>
  <c r="P83" i="118"/>
  <c r="P80" i="118"/>
  <c r="P72" i="118"/>
  <c r="P60" i="118"/>
  <c r="P52" i="118"/>
  <c r="M116" i="118"/>
  <c r="N116" i="118"/>
  <c r="N111" i="118"/>
  <c r="P81" i="118"/>
  <c r="P59" i="118"/>
  <c r="O111" i="118"/>
  <c r="P97" i="118"/>
  <c r="P84" i="118"/>
  <c r="P85" i="118"/>
  <c r="P82" i="118"/>
  <c r="P74" i="118"/>
  <c r="P62" i="118"/>
  <c r="O112" i="118"/>
  <c r="P31" i="118"/>
  <c r="Q31" i="118"/>
  <c r="O33" i="118"/>
  <c r="O12" i="118"/>
  <c r="S28" i="118"/>
  <c r="T20" i="118"/>
  <c r="N33" i="118"/>
  <c r="P94" i="118"/>
  <c r="P104" i="118"/>
  <c r="P100" i="118"/>
  <c r="P96" i="118"/>
  <c r="P87" i="118"/>
  <c r="P89" i="118"/>
  <c r="P58" i="118"/>
  <c r="P73" i="118"/>
  <c r="P69" i="118"/>
  <c r="P61" i="118"/>
  <c r="P57" i="118"/>
  <c r="P53" i="118"/>
  <c r="N112" i="118"/>
  <c r="R23" i="118"/>
  <c r="R25" i="118"/>
  <c r="R27" i="118"/>
  <c r="R37" i="118"/>
  <c r="R39" i="118"/>
  <c r="R41" i="118"/>
  <c r="R43" i="118"/>
  <c r="R45" i="118"/>
  <c r="R32" i="118"/>
  <c r="R24" i="118"/>
  <c r="R42" i="118"/>
  <c r="R26" i="118"/>
  <c r="R28" i="118"/>
  <c r="R40" i="118"/>
  <c r="R38" i="118"/>
  <c r="R46" i="118"/>
  <c r="R44" i="118"/>
  <c r="R21" i="118"/>
  <c r="R114" i="118"/>
  <c r="R36" i="118"/>
  <c r="R115" i="118"/>
  <c r="R113" i="118"/>
  <c r="R19" i="118"/>
  <c r="U10" i="118"/>
  <c r="U13" i="118"/>
  <c r="S13" i="118"/>
  <c r="R62" i="118"/>
  <c r="Q112" i="118"/>
  <c r="R31" i="118"/>
  <c r="S31" i="118"/>
  <c r="Q33" i="118"/>
  <c r="Q12" i="118"/>
  <c r="P33" i="118"/>
  <c r="R97" i="118"/>
  <c r="R81" i="118"/>
  <c r="R89" i="118"/>
  <c r="R103" i="118"/>
  <c r="R95" i="118"/>
  <c r="R87" i="118"/>
  <c r="R83" i="118"/>
  <c r="R79" i="118"/>
  <c r="R71" i="118"/>
  <c r="R59" i="118"/>
  <c r="Q111" i="118"/>
  <c r="U28" i="118"/>
  <c r="P112" i="118"/>
  <c r="P111" i="118"/>
  <c r="O116" i="118"/>
  <c r="P116" i="118"/>
  <c r="R94" i="118"/>
  <c r="R58" i="118"/>
  <c r="R85" i="118"/>
  <c r="R69" i="118"/>
  <c r="R61" i="118"/>
  <c r="R57" i="118"/>
  <c r="R53" i="118"/>
  <c r="R102" i="118"/>
  <c r="R82" i="118"/>
  <c r="R74" i="118"/>
  <c r="R73" i="118"/>
  <c r="T21" i="118"/>
  <c r="T24" i="118"/>
  <c r="T26" i="118"/>
  <c r="T36" i="118"/>
  <c r="T38" i="118"/>
  <c r="T40" i="118"/>
  <c r="T42" i="118"/>
  <c r="T44" i="118"/>
  <c r="T46" i="118"/>
  <c r="T28" i="118"/>
  <c r="T23" i="118"/>
  <c r="T25" i="118"/>
  <c r="T27" i="118"/>
  <c r="T37" i="118"/>
  <c r="T39" i="118"/>
  <c r="T41" i="118"/>
  <c r="T43" i="118"/>
  <c r="T45" i="118"/>
  <c r="T32" i="118"/>
  <c r="T114" i="118"/>
  <c r="T113" i="118"/>
  <c r="T115" i="118"/>
  <c r="T19" i="118"/>
  <c r="R93" i="118"/>
  <c r="R104" i="118"/>
  <c r="R100" i="118"/>
  <c r="R96" i="118"/>
  <c r="R91" i="118"/>
  <c r="R84" i="118"/>
  <c r="R80" i="118"/>
  <c r="R72" i="118"/>
  <c r="R60" i="118"/>
  <c r="R52" i="118"/>
  <c r="V20" i="118"/>
  <c r="U31" i="118"/>
  <c r="T104" i="118"/>
  <c r="T96" i="118"/>
  <c r="T84" i="118"/>
  <c r="T59" i="118"/>
  <c r="S111" i="118"/>
  <c r="T94" i="118"/>
  <c r="T91" i="118"/>
  <c r="T85" i="118"/>
  <c r="T73" i="118"/>
  <c r="T69" i="118"/>
  <c r="T61" i="118"/>
  <c r="T53" i="118"/>
  <c r="T97" i="118"/>
  <c r="T93" i="118"/>
  <c r="T82" i="118"/>
  <c r="T31" i="118"/>
  <c r="S33" i="118"/>
  <c r="S12" i="118"/>
  <c r="T80" i="118"/>
  <c r="T72" i="118"/>
  <c r="T60" i="118"/>
  <c r="T52" i="118"/>
  <c r="Q116" i="118"/>
  <c r="R116" i="118"/>
  <c r="R111" i="118"/>
  <c r="T100" i="118"/>
  <c r="T79" i="118"/>
  <c r="T103" i="118"/>
  <c r="T95" i="118"/>
  <c r="T83" i="118"/>
  <c r="T81" i="118"/>
  <c r="T74" i="118"/>
  <c r="T62" i="118"/>
  <c r="S112" i="118"/>
  <c r="T58" i="118"/>
  <c r="V32" i="118"/>
  <c r="V21" i="118"/>
  <c r="V24" i="118"/>
  <c r="V26" i="118"/>
  <c r="V36" i="118"/>
  <c r="V38" i="118"/>
  <c r="V40" i="118"/>
  <c r="V42" i="118"/>
  <c r="V44" i="118"/>
  <c r="V46" i="118"/>
  <c r="V27" i="118"/>
  <c r="V43" i="118"/>
  <c r="V41" i="118"/>
  <c r="V23" i="118"/>
  <c r="V28" i="118"/>
  <c r="V39" i="118"/>
  <c r="V25" i="118"/>
  <c r="V37" i="118"/>
  <c r="V45" i="118"/>
  <c r="V113" i="118"/>
  <c r="V115" i="118"/>
  <c r="V114" i="118"/>
  <c r="V19" i="118"/>
  <c r="R112" i="118"/>
  <c r="T87" i="118"/>
  <c r="T89" i="118"/>
  <c r="T71" i="118"/>
  <c r="T102" i="118"/>
  <c r="T57" i="118"/>
  <c r="R33" i="118"/>
  <c r="V102" i="118"/>
  <c r="V94" i="118"/>
  <c r="V80" i="118"/>
  <c r="V72" i="118"/>
  <c r="V60" i="118"/>
  <c r="V52" i="118"/>
  <c r="V97" i="118"/>
  <c r="V83" i="118"/>
  <c r="V91" i="118"/>
  <c r="V103" i="118"/>
  <c r="V95" i="118"/>
  <c r="V85" i="118"/>
  <c r="V81" i="118"/>
  <c r="V73" i="118"/>
  <c r="V69" i="118"/>
  <c r="V61" i="118"/>
  <c r="V57" i="118"/>
  <c r="V53" i="118"/>
  <c r="T112" i="118"/>
  <c r="T111" i="118"/>
  <c r="S116" i="118"/>
  <c r="T116" i="118"/>
  <c r="V93" i="118"/>
  <c r="V87" i="118"/>
  <c r="V79" i="118"/>
  <c r="V71" i="118"/>
  <c r="V59" i="118"/>
  <c r="U111" i="118"/>
  <c r="V89" i="118"/>
  <c r="V84" i="118"/>
  <c r="V104" i="118"/>
  <c r="V100" i="118"/>
  <c r="V96" i="118"/>
  <c r="V82" i="118"/>
  <c r="V74" i="118"/>
  <c r="V62" i="118"/>
  <c r="U112" i="118"/>
  <c r="V31" i="118"/>
  <c r="U33" i="118"/>
  <c r="U12" i="118"/>
  <c r="V58" i="118"/>
  <c r="T33" i="118"/>
  <c r="V33" i="118"/>
  <c r="U116" i="118"/>
  <c r="V116" i="118"/>
  <c r="V111" i="118"/>
  <c r="V112" i="118"/>
  <c r="C10" i="15"/>
  <c r="C20" i="15"/>
  <c r="C31" i="15"/>
  <c r="C33" i="15"/>
  <c r="C19" i="15"/>
  <c r="C28" i="15"/>
  <c r="D33" i="15"/>
  <c r="D19" i="15"/>
  <c r="D97" i="15"/>
  <c r="D25" i="15"/>
  <c r="D28" i="15"/>
  <c r="D38" i="15"/>
  <c r="D42" i="15"/>
  <c r="D46" i="15"/>
  <c r="D114" i="15"/>
  <c r="D23" i="15"/>
  <c r="D27" i="15"/>
  <c r="D36" i="15"/>
  <c r="D40" i="15"/>
  <c r="D44" i="15"/>
  <c r="D24" i="15"/>
  <c r="D32" i="15"/>
  <c r="D41" i="15"/>
  <c r="D113" i="15"/>
  <c r="D37" i="15"/>
  <c r="D45" i="15"/>
  <c r="D26" i="15"/>
  <c r="D43" i="15"/>
  <c r="D115" i="15"/>
  <c r="D39" i="15"/>
  <c r="D21" i="15"/>
  <c r="D31" i="15"/>
  <c r="D20" i="15"/>
  <c r="D83" i="15"/>
  <c r="D87" i="15"/>
  <c r="D96" i="15"/>
  <c r="D74" i="15"/>
  <c r="D58" i="15"/>
  <c r="D59" i="15"/>
  <c r="C111" i="15"/>
  <c r="D89" i="15"/>
  <c r="D73" i="15"/>
  <c r="D57" i="15"/>
  <c r="D72" i="15"/>
  <c r="D84" i="15"/>
  <c r="D80" i="15"/>
  <c r="D95" i="15"/>
  <c r="D91" i="15"/>
  <c r="D71" i="15"/>
  <c r="D85" i="15"/>
  <c r="D69" i="15"/>
  <c r="D53" i="15"/>
  <c r="D60" i="15"/>
  <c r="D82" i="15"/>
  <c r="D81" i="15"/>
  <c r="D52" i="15"/>
  <c r="D94" i="15"/>
  <c r="D62" i="15"/>
  <c r="C112" i="15"/>
  <c r="D79" i="15"/>
  <c r="D93" i="15"/>
  <c r="D61" i="15"/>
  <c r="D112" i="15"/>
  <c r="D111" i="15"/>
  <c r="C116" i="15"/>
  <c r="D116" i="15"/>
  <c r="E10" i="15"/>
  <c r="E31" i="15"/>
  <c r="E33" i="15"/>
  <c r="E19" i="15"/>
  <c r="E28" i="15"/>
  <c r="F97" i="15"/>
  <c r="F25" i="15"/>
  <c r="F28" i="15"/>
  <c r="F38" i="15"/>
  <c r="F42" i="15"/>
  <c r="F46" i="15"/>
  <c r="F21" i="15"/>
  <c r="F26" i="15"/>
  <c r="F39" i="15"/>
  <c r="F43" i="15"/>
  <c r="F23" i="15"/>
  <c r="F27" i="15"/>
  <c r="F36" i="15"/>
  <c r="F40" i="15"/>
  <c r="F44" i="15"/>
  <c r="F24" i="15"/>
  <c r="F32" i="15"/>
  <c r="F37" i="15"/>
  <c r="F41" i="15"/>
  <c r="F45" i="15"/>
  <c r="F113" i="15"/>
  <c r="F115" i="15"/>
  <c r="F114" i="15"/>
  <c r="F20" i="15"/>
  <c r="F31" i="15"/>
  <c r="F33" i="15"/>
  <c r="H19" i="15"/>
  <c r="F19" i="15"/>
  <c r="F94" i="15"/>
  <c r="F91" i="15"/>
  <c r="F73" i="15"/>
  <c r="F80" i="15"/>
  <c r="F83" i="15"/>
  <c r="F74" i="15"/>
  <c r="F58" i="15"/>
  <c r="F96" i="15"/>
  <c r="F89" i="15"/>
  <c r="F82" i="15"/>
  <c r="F81" i="15"/>
  <c r="F69" i="15"/>
  <c r="F72" i="15"/>
  <c r="F52" i="15"/>
  <c r="F95" i="15"/>
  <c r="F87" i="15"/>
  <c r="F59" i="15"/>
  <c r="E111" i="15"/>
  <c r="F71" i="15"/>
  <c r="F79" i="15"/>
  <c r="F62" i="15"/>
  <c r="E112" i="15"/>
  <c r="F53" i="15"/>
  <c r="H24" i="15"/>
  <c r="H32" i="15"/>
  <c r="H37" i="15"/>
  <c r="H41" i="15"/>
  <c r="H45" i="15"/>
  <c r="H25" i="15"/>
  <c r="H38" i="15"/>
  <c r="H42" i="15"/>
  <c r="H46" i="15"/>
  <c r="H21" i="15"/>
  <c r="H26" i="15"/>
  <c r="H28" i="15"/>
  <c r="H33" i="15"/>
  <c r="H39" i="15"/>
  <c r="H43" i="15"/>
  <c r="H23" i="15"/>
  <c r="H27" i="15"/>
  <c r="H31" i="15"/>
  <c r="H36" i="15"/>
  <c r="H40" i="15"/>
  <c r="H44" i="15"/>
  <c r="H113" i="15"/>
  <c r="H115" i="15"/>
  <c r="H114" i="15"/>
  <c r="H20" i="15"/>
  <c r="F93" i="15"/>
  <c r="F85" i="15"/>
  <c r="F57" i="15"/>
  <c r="F84" i="15"/>
  <c r="F61" i="15"/>
  <c r="F60" i="15"/>
  <c r="E116" i="15"/>
  <c r="F116" i="15"/>
  <c r="F111" i="15"/>
  <c r="H85" i="15"/>
  <c r="H61" i="15"/>
  <c r="J23" i="15"/>
  <c r="J27" i="15"/>
  <c r="J28" i="15"/>
  <c r="J31" i="15"/>
  <c r="J36" i="15"/>
  <c r="J40" i="15"/>
  <c r="J44" i="15"/>
  <c r="J24" i="15"/>
  <c r="J32" i="15"/>
  <c r="J37" i="15"/>
  <c r="J41" i="15"/>
  <c r="J45" i="15"/>
  <c r="J25" i="15"/>
  <c r="J38" i="15"/>
  <c r="J42" i="15"/>
  <c r="J46" i="15"/>
  <c r="J21" i="15"/>
  <c r="J26" i="15"/>
  <c r="J33" i="15"/>
  <c r="J39" i="15"/>
  <c r="J43" i="15"/>
  <c r="J115" i="15"/>
  <c r="J114" i="15"/>
  <c r="J113" i="15"/>
  <c r="J20" i="15"/>
  <c r="H96" i="15"/>
  <c r="H58" i="15"/>
  <c r="H91" i="15"/>
  <c r="H72" i="15"/>
  <c r="H60" i="15"/>
  <c r="H59" i="15"/>
  <c r="G111" i="15"/>
  <c r="H52" i="15"/>
  <c r="H95" i="15"/>
  <c r="H93" i="15"/>
  <c r="H84" i="15"/>
  <c r="H79" i="15"/>
  <c r="H87" i="15"/>
  <c r="H62" i="15"/>
  <c r="G112" i="15"/>
  <c r="H80" i="15"/>
  <c r="H71" i="15"/>
  <c r="H53" i="15"/>
  <c r="H81" i="15"/>
  <c r="H69" i="15"/>
  <c r="F112" i="15"/>
  <c r="H94" i="15"/>
  <c r="H83" i="15"/>
  <c r="H89" i="15"/>
  <c r="H82" i="15"/>
  <c r="H74" i="15"/>
  <c r="H73" i="15"/>
  <c r="H57" i="15"/>
  <c r="J19" i="15"/>
  <c r="H112" i="15"/>
  <c r="L21" i="15"/>
  <c r="L26" i="15"/>
  <c r="L33" i="15"/>
  <c r="L39" i="15"/>
  <c r="L43" i="15"/>
  <c r="L23" i="15"/>
  <c r="L27" i="15"/>
  <c r="L31" i="15"/>
  <c r="L36" i="15"/>
  <c r="L40" i="15"/>
  <c r="L44" i="15"/>
  <c r="L24" i="15"/>
  <c r="L28" i="15"/>
  <c r="L32" i="15"/>
  <c r="L37" i="15"/>
  <c r="L41" i="15"/>
  <c r="L45" i="15"/>
  <c r="L25" i="15"/>
  <c r="L38" i="15"/>
  <c r="L42" i="15"/>
  <c r="L46" i="15"/>
  <c r="L114" i="15"/>
  <c r="L113" i="15"/>
  <c r="L115" i="15"/>
  <c r="L20" i="15"/>
  <c r="J93" i="15"/>
  <c r="J80" i="15"/>
  <c r="N19" i="15"/>
  <c r="J94" i="15"/>
  <c r="J91" i="15"/>
  <c r="J71" i="15"/>
  <c r="J84" i="15"/>
  <c r="J79" i="15"/>
  <c r="J72" i="15"/>
  <c r="J85" i="15"/>
  <c r="J81" i="15"/>
  <c r="J73" i="15"/>
  <c r="J74" i="15"/>
  <c r="J58" i="15"/>
  <c r="L19" i="15"/>
  <c r="H111" i="15"/>
  <c r="G116" i="15"/>
  <c r="H116" i="15"/>
  <c r="J89" i="15"/>
  <c r="J69" i="15"/>
  <c r="J57" i="15"/>
  <c r="J62" i="15"/>
  <c r="I112" i="15"/>
  <c r="J52" i="15"/>
  <c r="J96" i="15"/>
  <c r="J95" i="15"/>
  <c r="J87" i="15"/>
  <c r="J82" i="15"/>
  <c r="J61" i="15"/>
  <c r="J83" i="15"/>
  <c r="J59" i="15"/>
  <c r="I111" i="15"/>
  <c r="J60" i="15"/>
  <c r="J53" i="15"/>
  <c r="L96" i="15"/>
  <c r="L81" i="15"/>
  <c r="L87" i="15"/>
  <c r="L83" i="15"/>
  <c r="L80" i="15"/>
  <c r="L62" i="15"/>
  <c r="K112" i="15"/>
  <c r="L71" i="15"/>
  <c r="L53" i="15"/>
  <c r="J112" i="15"/>
  <c r="L94" i="15"/>
  <c r="L85" i="15"/>
  <c r="L79" i="15"/>
  <c r="L74" i="15"/>
  <c r="L58" i="15"/>
  <c r="L69" i="15"/>
  <c r="L61" i="15"/>
  <c r="L52" i="15"/>
  <c r="J111" i="15"/>
  <c r="I116" i="15"/>
  <c r="J116" i="15"/>
  <c r="L95" i="15"/>
  <c r="L84" i="15"/>
  <c r="L91" i="15"/>
  <c r="L57" i="15"/>
  <c r="L59" i="15"/>
  <c r="K111" i="15"/>
  <c r="N25" i="15"/>
  <c r="N28" i="15"/>
  <c r="N38" i="15"/>
  <c r="N42" i="15"/>
  <c r="N46" i="15"/>
  <c r="N21" i="15"/>
  <c r="N26" i="15"/>
  <c r="N33" i="15"/>
  <c r="N39" i="15"/>
  <c r="N43" i="15"/>
  <c r="N23" i="15"/>
  <c r="N27" i="15"/>
  <c r="N31" i="15"/>
  <c r="N36" i="15"/>
  <c r="N40" i="15"/>
  <c r="N44" i="15"/>
  <c r="N24" i="15"/>
  <c r="N32" i="15"/>
  <c r="N37" i="15"/>
  <c r="N41" i="15"/>
  <c r="N45" i="15"/>
  <c r="N113" i="15"/>
  <c r="N115" i="15"/>
  <c r="N114" i="15"/>
  <c r="N20" i="15"/>
  <c r="L93" i="15"/>
  <c r="L89" i="15"/>
  <c r="L60" i="15"/>
  <c r="L82" i="15"/>
  <c r="L72" i="15"/>
  <c r="L73" i="15"/>
  <c r="N73" i="15"/>
  <c r="P24" i="15"/>
  <c r="P32" i="15"/>
  <c r="P37" i="15"/>
  <c r="P41" i="15"/>
  <c r="P45" i="15"/>
  <c r="P25" i="15"/>
  <c r="P38" i="15"/>
  <c r="P42" i="15"/>
  <c r="P46" i="15"/>
  <c r="P21" i="15"/>
  <c r="P26" i="15"/>
  <c r="P28" i="15"/>
  <c r="P33" i="15"/>
  <c r="P39" i="15"/>
  <c r="P43" i="15"/>
  <c r="P23" i="15"/>
  <c r="P27" i="15"/>
  <c r="P31" i="15"/>
  <c r="P36" i="15"/>
  <c r="P40" i="15"/>
  <c r="P44" i="15"/>
  <c r="P115" i="15"/>
  <c r="P114" i="15"/>
  <c r="P113" i="15"/>
  <c r="P20" i="15"/>
  <c r="N85" i="15"/>
  <c r="N82" i="15"/>
  <c r="N74" i="15"/>
  <c r="N96" i="15"/>
  <c r="N94" i="15"/>
  <c r="N91" i="15"/>
  <c r="N69" i="15"/>
  <c r="N72" i="15"/>
  <c r="N57" i="15"/>
  <c r="U20" i="15"/>
  <c r="N89" i="15"/>
  <c r="N80" i="15"/>
  <c r="N59" i="15"/>
  <c r="M111" i="15"/>
  <c r="N83" i="15"/>
  <c r="N62" i="15"/>
  <c r="M112" i="15"/>
  <c r="L112" i="15"/>
  <c r="R19" i="15"/>
  <c r="N93" i="15"/>
  <c r="N84" i="15"/>
  <c r="N79" i="15"/>
  <c r="N58" i="15"/>
  <c r="N52" i="15"/>
  <c r="N95" i="15"/>
  <c r="N87" i="15"/>
  <c r="N81" i="15"/>
  <c r="N71" i="15"/>
  <c r="N61" i="15"/>
  <c r="N60" i="15"/>
  <c r="N53" i="15"/>
  <c r="L111" i="15"/>
  <c r="K116" i="15"/>
  <c r="L116" i="15"/>
  <c r="P19" i="15"/>
  <c r="P96" i="15"/>
  <c r="P62" i="15"/>
  <c r="O112" i="15"/>
  <c r="P74" i="15"/>
  <c r="P85" i="15"/>
  <c r="P71" i="15"/>
  <c r="M116" i="15"/>
  <c r="N116" i="15"/>
  <c r="N111" i="15"/>
  <c r="P94" i="15"/>
  <c r="P83" i="15"/>
  <c r="P91" i="15"/>
  <c r="P82" i="15"/>
  <c r="P57" i="15"/>
  <c r="P69" i="15"/>
  <c r="P61" i="15"/>
  <c r="P52" i="15"/>
  <c r="U19" i="15"/>
  <c r="T19" i="15"/>
  <c r="P95" i="15"/>
  <c r="P93" i="15"/>
  <c r="P87" i="15"/>
  <c r="P81" i="15"/>
  <c r="P72" i="15"/>
  <c r="P73" i="15"/>
  <c r="R23" i="15"/>
  <c r="R27" i="15"/>
  <c r="R28" i="15"/>
  <c r="R31" i="15"/>
  <c r="R36" i="15"/>
  <c r="R40" i="15"/>
  <c r="R44" i="15"/>
  <c r="R24" i="15"/>
  <c r="R32" i="15"/>
  <c r="R37" i="15"/>
  <c r="R41" i="15"/>
  <c r="R45" i="15"/>
  <c r="R25" i="15"/>
  <c r="R38" i="15"/>
  <c r="R42" i="15"/>
  <c r="R46" i="15"/>
  <c r="R21" i="15"/>
  <c r="R26" i="15"/>
  <c r="R33" i="15"/>
  <c r="R39" i="15"/>
  <c r="R43" i="15"/>
  <c r="R115" i="15"/>
  <c r="R113" i="15"/>
  <c r="R114" i="15"/>
  <c r="R20" i="15"/>
  <c r="N112" i="15"/>
  <c r="P84" i="15"/>
  <c r="P79" i="15"/>
  <c r="P89" i="15"/>
  <c r="P58" i="15"/>
  <c r="P80" i="15"/>
  <c r="P60" i="15"/>
  <c r="P59" i="15"/>
  <c r="O111" i="15"/>
  <c r="P53" i="15"/>
  <c r="R57" i="15"/>
  <c r="R85" i="15"/>
  <c r="R81" i="15"/>
  <c r="R74" i="15"/>
  <c r="R58" i="15"/>
  <c r="P111" i="15"/>
  <c r="O116" i="15"/>
  <c r="P116" i="15"/>
  <c r="R96" i="15"/>
  <c r="R91" i="15"/>
  <c r="R69" i="15"/>
  <c r="R79" i="15"/>
  <c r="R72" i="15"/>
  <c r="R94" i="15"/>
  <c r="R89" i="15"/>
  <c r="R61" i="15"/>
  <c r="R84" i="15"/>
  <c r="R73" i="15"/>
  <c r="R62" i="15"/>
  <c r="Q112" i="15"/>
  <c r="R52" i="15"/>
  <c r="T21" i="15"/>
  <c r="T26" i="15"/>
  <c r="T33" i="15"/>
  <c r="T39" i="15"/>
  <c r="T43" i="15"/>
  <c r="T23" i="15"/>
  <c r="T27" i="15"/>
  <c r="T31" i="15"/>
  <c r="T36" i="15"/>
  <c r="T40" i="15"/>
  <c r="T44" i="15"/>
  <c r="T24" i="15"/>
  <c r="T28" i="15"/>
  <c r="T32" i="15"/>
  <c r="T37" i="15"/>
  <c r="T41" i="15"/>
  <c r="T45" i="15"/>
  <c r="T25" i="15"/>
  <c r="T38" i="15"/>
  <c r="T42" i="15"/>
  <c r="T46" i="15"/>
  <c r="T114" i="15"/>
  <c r="T113" i="15"/>
  <c r="T115" i="15"/>
  <c r="T20" i="15"/>
  <c r="P112" i="15"/>
  <c r="R93" i="15"/>
  <c r="R80" i="15"/>
  <c r="R71" i="15"/>
  <c r="R95" i="15"/>
  <c r="R87" i="15"/>
  <c r="R82" i="15"/>
  <c r="R83" i="15"/>
  <c r="R59" i="15"/>
  <c r="Q111" i="15"/>
  <c r="R60" i="15"/>
  <c r="R53" i="15"/>
  <c r="U28" i="15"/>
  <c r="V19" i="15"/>
  <c r="T96" i="15"/>
  <c r="T72" i="15"/>
  <c r="V25" i="15"/>
  <c r="V28" i="15"/>
  <c r="V38" i="15"/>
  <c r="V42" i="15"/>
  <c r="V46" i="15"/>
  <c r="V21" i="15"/>
  <c r="V26" i="15"/>
  <c r="V33" i="15"/>
  <c r="V39" i="15"/>
  <c r="V43" i="15"/>
  <c r="V23" i="15"/>
  <c r="V27" i="15"/>
  <c r="V31" i="15"/>
  <c r="V36" i="15"/>
  <c r="V40" i="15"/>
  <c r="V44" i="15"/>
  <c r="V24" i="15"/>
  <c r="V32" i="15"/>
  <c r="V37" i="15"/>
  <c r="V41" i="15"/>
  <c r="V45" i="15"/>
  <c r="V113" i="15"/>
  <c r="V114" i="15"/>
  <c r="V115" i="15"/>
  <c r="V20" i="15"/>
  <c r="T74" i="15"/>
  <c r="T87" i="15"/>
  <c r="T79" i="15"/>
  <c r="T62" i="15"/>
  <c r="S112" i="15"/>
  <c r="T69" i="15"/>
  <c r="T61" i="15"/>
  <c r="T85" i="15"/>
  <c r="T58" i="15"/>
  <c r="T95" i="15"/>
  <c r="T94" i="15"/>
  <c r="T60" i="15"/>
  <c r="T91" i="15"/>
  <c r="T83" i="15"/>
  <c r="T82" i="15"/>
  <c r="T73" i="15"/>
  <c r="T57" i="15"/>
  <c r="T52" i="15"/>
  <c r="T59" i="15"/>
  <c r="S111" i="15"/>
  <c r="T53" i="15"/>
  <c r="Q116" i="15"/>
  <c r="R116" i="15"/>
  <c r="R111" i="15"/>
  <c r="T93" i="15"/>
  <c r="T84" i="15"/>
  <c r="T81" i="15"/>
  <c r="T89" i="15"/>
  <c r="T80" i="15"/>
  <c r="T71" i="15"/>
  <c r="R112" i="15"/>
  <c r="V97" i="15"/>
  <c r="V89" i="15"/>
  <c r="V73" i="15"/>
  <c r="V71" i="15"/>
  <c r="V57" i="15"/>
  <c r="V60" i="15"/>
  <c r="V53" i="15"/>
  <c r="T112" i="15"/>
  <c r="V94" i="15"/>
  <c r="V91" i="15"/>
  <c r="V61" i="15"/>
  <c r="V62" i="15"/>
  <c r="U112" i="15"/>
  <c r="T111" i="15"/>
  <c r="S116" i="15"/>
  <c r="T116" i="15"/>
  <c r="V95" i="15"/>
  <c r="V87" i="15"/>
  <c r="V59" i="15"/>
  <c r="U111" i="15"/>
  <c r="V81" i="15"/>
  <c r="V69" i="15"/>
  <c r="V74" i="15"/>
  <c r="V58" i="15"/>
  <c r="V52" i="15"/>
  <c r="V96" i="15"/>
  <c r="V83" i="15"/>
  <c r="V84" i="15"/>
  <c r="V93" i="15"/>
  <c r="V85" i="15"/>
  <c r="V80" i="15"/>
  <c r="V82" i="15"/>
  <c r="V79" i="15"/>
  <c r="V72" i="15"/>
  <c r="V112" i="15"/>
  <c r="U116" i="15"/>
  <c r="V116" i="15"/>
  <c r="V111" i="15"/>
  <c r="C10" i="176"/>
  <c r="C31" i="176"/>
  <c r="C33" i="176"/>
  <c r="D19" i="176"/>
  <c r="D21" i="176"/>
  <c r="D24" i="176"/>
  <c r="D26" i="176"/>
  <c r="D32" i="176"/>
  <c r="D37" i="176"/>
  <c r="D39" i="176"/>
  <c r="D41" i="176"/>
  <c r="D43" i="176"/>
  <c r="D45" i="176"/>
  <c r="D38" i="176"/>
  <c r="D42" i="176"/>
  <c r="D25" i="176"/>
  <c r="D27" i="176"/>
  <c r="D46" i="176"/>
  <c r="D28" i="176"/>
  <c r="D40" i="176"/>
  <c r="D44" i="176"/>
  <c r="D23" i="176"/>
  <c r="D31" i="176"/>
  <c r="D36" i="176"/>
  <c r="D20" i="176"/>
  <c r="D113" i="176"/>
  <c r="D114" i="176"/>
  <c r="D115" i="176"/>
  <c r="D33" i="176"/>
  <c r="C111" i="176"/>
  <c r="C112" i="176"/>
  <c r="D111" i="176"/>
  <c r="C116" i="176"/>
  <c r="D116" i="176"/>
  <c r="D112" i="176"/>
  <c r="E10" i="176"/>
  <c r="E31" i="176"/>
  <c r="E33" i="176"/>
  <c r="E28" i="176"/>
  <c r="F19" i="176"/>
  <c r="F93" i="176"/>
  <c r="F85" i="176"/>
  <c r="F81" i="176"/>
  <c r="F73" i="176"/>
  <c r="F62" i="176"/>
  <c r="F96" i="176"/>
  <c r="F91" i="176"/>
  <c r="F84" i="176"/>
  <c r="F80" i="176"/>
  <c r="F72" i="176"/>
  <c r="F61" i="176"/>
  <c r="F95" i="176"/>
  <c r="F89" i="176"/>
  <c r="F83" i="176"/>
  <c r="F79" i="176"/>
  <c r="F71" i="176"/>
  <c r="F60" i="176"/>
  <c r="F58" i="176"/>
  <c r="F53" i="176"/>
  <c r="F55" i="176"/>
  <c r="F94" i="176"/>
  <c r="F87" i="176"/>
  <c r="F82" i="176"/>
  <c r="F74" i="176"/>
  <c r="F69" i="176"/>
  <c r="F57" i="176"/>
  <c r="F52" i="176"/>
  <c r="F97" i="176"/>
  <c r="F59" i="176"/>
  <c r="F33" i="176"/>
  <c r="F20" i="176"/>
  <c r="F25" i="176"/>
  <c r="F28" i="176"/>
  <c r="F38" i="176"/>
  <c r="F42" i="176"/>
  <c r="F46" i="176"/>
  <c r="F21" i="176"/>
  <c r="F26" i="176"/>
  <c r="F39" i="176"/>
  <c r="F43" i="176"/>
  <c r="F24" i="176"/>
  <c r="F32" i="176"/>
  <c r="F37" i="176"/>
  <c r="F41" i="176"/>
  <c r="F45" i="176"/>
  <c r="F23" i="176"/>
  <c r="F36" i="176"/>
  <c r="F44" i="176"/>
  <c r="F31" i="176"/>
  <c r="F40" i="176"/>
  <c r="F113" i="176"/>
  <c r="F114" i="176"/>
  <c r="F115" i="176"/>
  <c r="F27" i="176"/>
  <c r="H19" i="176"/>
  <c r="H36" i="176"/>
  <c r="E111" i="176"/>
  <c r="H24" i="176"/>
  <c r="H32" i="176"/>
  <c r="H37" i="176"/>
  <c r="H41" i="176"/>
  <c r="H45" i="176"/>
  <c r="H25" i="176"/>
  <c r="H38" i="176"/>
  <c r="H42" i="176"/>
  <c r="H46" i="176"/>
  <c r="H23" i="176"/>
  <c r="H27" i="176"/>
  <c r="H31" i="176"/>
  <c r="H40" i="176"/>
  <c r="H44" i="176"/>
  <c r="H26" i="176"/>
  <c r="H39" i="176"/>
  <c r="H28" i="176"/>
  <c r="H43" i="176"/>
  <c r="H21" i="176"/>
  <c r="H33" i="176"/>
  <c r="H113" i="176"/>
  <c r="H115" i="176"/>
  <c r="H114" i="176"/>
  <c r="H20" i="176"/>
  <c r="E112" i="176"/>
  <c r="J20" i="176"/>
  <c r="J19" i="176"/>
  <c r="G111" i="176"/>
  <c r="G112" i="176"/>
  <c r="F112" i="176"/>
  <c r="J23" i="176"/>
  <c r="J27" i="176"/>
  <c r="J28" i="176"/>
  <c r="J31" i="176"/>
  <c r="J36" i="176"/>
  <c r="J40" i="176"/>
  <c r="J44" i="176"/>
  <c r="J24" i="176"/>
  <c r="J32" i="176"/>
  <c r="J37" i="176"/>
  <c r="J41" i="176"/>
  <c r="J45" i="176"/>
  <c r="J21" i="176"/>
  <c r="J26" i="176"/>
  <c r="J33" i="176"/>
  <c r="J39" i="176"/>
  <c r="J43" i="176"/>
  <c r="J46" i="176"/>
  <c r="J42" i="176"/>
  <c r="J38" i="176"/>
  <c r="J25" i="176"/>
  <c r="J115" i="176"/>
  <c r="J114" i="176"/>
  <c r="J113" i="176"/>
  <c r="F111" i="176"/>
  <c r="E116" i="176"/>
  <c r="F116" i="176"/>
  <c r="L20" i="176"/>
  <c r="L19" i="176"/>
  <c r="I112" i="176"/>
  <c r="G116" i="176"/>
  <c r="H116" i="176"/>
  <c r="H111" i="176"/>
  <c r="I111" i="176"/>
  <c r="L21" i="176"/>
  <c r="L26" i="176"/>
  <c r="L33" i="176"/>
  <c r="L39" i="176"/>
  <c r="L43" i="176"/>
  <c r="L23" i="176"/>
  <c r="L27" i="176"/>
  <c r="L31" i="176"/>
  <c r="L36" i="176"/>
  <c r="L40" i="176"/>
  <c r="L44" i="176"/>
  <c r="L25" i="176"/>
  <c r="L38" i="176"/>
  <c r="L42" i="176"/>
  <c r="L46" i="176"/>
  <c r="L24" i="176"/>
  <c r="L37" i="176"/>
  <c r="L32" i="176"/>
  <c r="L41" i="176"/>
  <c r="L45" i="176"/>
  <c r="L28" i="176"/>
  <c r="L114" i="176"/>
  <c r="L115" i="176"/>
  <c r="L113" i="176"/>
  <c r="H112" i="176"/>
  <c r="N19" i="176"/>
  <c r="N20" i="176"/>
  <c r="K111" i="176"/>
  <c r="J112" i="176"/>
  <c r="J111" i="176"/>
  <c r="I116" i="176"/>
  <c r="J116" i="176"/>
  <c r="K112" i="176"/>
  <c r="N25" i="176"/>
  <c r="N28" i="176"/>
  <c r="N38" i="176"/>
  <c r="N42" i="176"/>
  <c r="N46" i="176"/>
  <c r="N21" i="176"/>
  <c r="N26" i="176"/>
  <c r="N33" i="176"/>
  <c r="N39" i="176"/>
  <c r="N43" i="176"/>
  <c r="N24" i="176"/>
  <c r="N32" i="176"/>
  <c r="N37" i="176"/>
  <c r="N41" i="176"/>
  <c r="N45" i="176"/>
  <c r="N44" i="176"/>
  <c r="N27" i="176"/>
  <c r="N31" i="176"/>
  <c r="N40" i="176"/>
  <c r="N23" i="176"/>
  <c r="N36" i="176"/>
  <c r="N113" i="176"/>
  <c r="N114" i="176"/>
  <c r="N115" i="176"/>
  <c r="P19" i="176"/>
  <c r="M111" i="176"/>
  <c r="K116" i="176"/>
  <c r="L116" i="176"/>
  <c r="L111" i="176"/>
  <c r="P24" i="176"/>
  <c r="P32" i="176"/>
  <c r="P37" i="176"/>
  <c r="P41" i="176"/>
  <c r="P45" i="176"/>
  <c r="P25" i="176"/>
  <c r="P38" i="176"/>
  <c r="P42" i="176"/>
  <c r="P46" i="176"/>
  <c r="P23" i="176"/>
  <c r="P27" i="176"/>
  <c r="P31" i="176"/>
  <c r="P36" i="176"/>
  <c r="P40" i="176"/>
  <c r="P44" i="176"/>
  <c r="P21" i="176"/>
  <c r="P33" i="176"/>
  <c r="P26" i="176"/>
  <c r="P39" i="176"/>
  <c r="P28" i="176"/>
  <c r="P43" i="176"/>
  <c r="P113" i="176"/>
  <c r="P115" i="176"/>
  <c r="P114" i="176"/>
  <c r="L112" i="176"/>
  <c r="M112" i="176"/>
  <c r="P20" i="176"/>
  <c r="R19" i="176"/>
  <c r="R20" i="176"/>
  <c r="N112" i="176"/>
  <c r="O111" i="176"/>
  <c r="T20" i="176"/>
  <c r="O112" i="176"/>
  <c r="N111" i="176"/>
  <c r="M116" i="176"/>
  <c r="N116" i="176"/>
  <c r="R23" i="176"/>
  <c r="R27" i="176"/>
  <c r="R28" i="176"/>
  <c r="R31" i="176"/>
  <c r="R36" i="176"/>
  <c r="R40" i="176"/>
  <c r="R44" i="176"/>
  <c r="R24" i="176"/>
  <c r="R32" i="176"/>
  <c r="R37" i="176"/>
  <c r="R41" i="176"/>
  <c r="R45" i="176"/>
  <c r="R21" i="176"/>
  <c r="R26" i="176"/>
  <c r="R33" i="176"/>
  <c r="R39" i="176"/>
  <c r="R43" i="176"/>
  <c r="R42" i="176"/>
  <c r="R46" i="176"/>
  <c r="R25" i="176"/>
  <c r="R38" i="176"/>
  <c r="R115" i="176"/>
  <c r="R114" i="176"/>
  <c r="R113" i="176"/>
  <c r="T19" i="176"/>
  <c r="Q111" i="176"/>
  <c r="P112" i="176"/>
  <c r="T21" i="176"/>
  <c r="T26" i="176"/>
  <c r="T33" i="176"/>
  <c r="T39" i="176"/>
  <c r="T43" i="176"/>
  <c r="T23" i="176"/>
  <c r="T27" i="176"/>
  <c r="T31" i="176"/>
  <c r="T36" i="176"/>
  <c r="T40" i="176"/>
  <c r="T44" i="176"/>
  <c r="T25" i="176"/>
  <c r="T38" i="176"/>
  <c r="T42" i="176"/>
  <c r="T46" i="176"/>
  <c r="T28" i="176"/>
  <c r="T24" i="176"/>
  <c r="T37" i="176"/>
  <c r="T45" i="176"/>
  <c r="T32" i="176"/>
  <c r="T114" i="176"/>
  <c r="T41" i="176"/>
  <c r="T115" i="176"/>
  <c r="T113" i="176"/>
  <c r="O116" i="176"/>
  <c r="P116" i="176"/>
  <c r="P111" i="176"/>
  <c r="U28" i="176"/>
  <c r="V59" i="176"/>
  <c r="Q112" i="176"/>
  <c r="V20" i="176"/>
  <c r="V19" i="176"/>
  <c r="S112" i="176"/>
  <c r="R111" i="176"/>
  <c r="Q116" i="176"/>
  <c r="R116" i="176"/>
  <c r="R112" i="176"/>
  <c r="V25" i="176"/>
  <c r="V28" i="176"/>
  <c r="V38" i="176"/>
  <c r="V42" i="176"/>
  <c r="V46" i="176"/>
  <c r="V21" i="176"/>
  <c r="V26" i="176"/>
  <c r="V33" i="176"/>
  <c r="V39" i="176"/>
  <c r="V43" i="176"/>
  <c r="V24" i="176"/>
  <c r="V32" i="176"/>
  <c r="V37" i="176"/>
  <c r="V41" i="176"/>
  <c r="V45" i="176"/>
  <c r="V27" i="176"/>
  <c r="V31" i="176"/>
  <c r="V40" i="176"/>
  <c r="V44" i="176"/>
  <c r="V23" i="176"/>
  <c r="V36" i="176"/>
  <c r="V113" i="176"/>
  <c r="V114" i="176"/>
  <c r="V115" i="176"/>
  <c r="S111" i="176"/>
  <c r="V93" i="176"/>
  <c r="V97" i="176"/>
  <c r="V73" i="176"/>
  <c r="U111" i="176"/>
  <c r="V96" i="176"/>
  <c r="V91" i="176"/>
  <c r="V83" i="176"/>
  <c r="V84" i="176"/>
  <c r="V72" i="176"/>
  <c r="V71" i="176"/>
  <c r="V94" i="176"/>
  <c r="V89" i="176"/>
  <c r="V81" i="176"/>
  <c r="V82" i="176"/>
  <c r="V62" i="176"/>
  <c r="U112" i="176"/>
  <c r="V57" i="176"/>
  <c r="V79" i="176"/>
  <c r="V85" i="176"/>
  <c r="V74" i="176"/>
  <c r="V58" i="176"/>
  <c r="V53" i="176"/>
  <c r="S116" i="176"/>
  <c r="T116" i="176"/>
  <c r="T111" i="176"/>
  <c r="V95" i="176"/>
  <c r="V87" i="176"/>
  <c r="V80" i="176"/>
  <c r="V60" i="176"/>
  <c r="V69" i="176"/>
  <c r="V61" i="176"/>
  <c r="V52" i="176"/>
  <c r="T112" i="176"/>
  <c r="V112" i="176"/>
  <c r="V111" i="176"/>
  <c r="U116" i="176"/>
  <c r="V116" i="176"/>
  <c r="C10" i="178"/>
  <c r="C31" i="178"/>
  <c r="D19" i="178"/>
  <c r="D20" i="178"/>
  <c r="D31" i="178"/>
  <c r="C33" i="178"/>
  <c r="D33" i="178"/>
  <c r="D23" i="178"/>
  <c r="D27" i="178"/>
  <c r="D36" i="178"/>
  <c r="D40" i="178"/>
  <c r="D44" i="178"/>
  <c r="D25" i="178"/>
  <c r="D28" i="178"/>
  <c r="D38" i="178"/>
  <c r="D42" i="178"/>
  <c r="D46" i="178"/>
  <c r="D114" i="178"/>
  <c r="D21" i="178"/>
  <c r="D39" i="178"/>
  <c r="D24" i="178"/>
  <c r="D32" i="178"/>
  <c r="D41" i="178"/>
  <c r="D113" i="178"/>
  <c r="D37" i="178"/>
  <c r="D45" i="178"/>
  <c r="D43" i="178"/>
  <c r="D26" i="178"/>
  <c r="D115" i="178"/>
  <c r="C112" i="178"/>
  <c r="C111" i="178"/>
  <c r="D112" i="178"/>
  <c r="C116" i="178"/>
  <c r="D116" i="178"/>
  <c r="D111" i="178"/>
  <c r="G10" i="178"/>
  <c r="G31" i="178"/>
  <c r="G33" i="178"/>
  <c r="H33" i="178"/>
  <c r="H31" i="178"/>
  <c r="I10" i="178"/>
  <c r="I31" i="178"/>
  <c r="I33" i="178"/>
  <c r="J31" i="178"/>
  <c r="J33" i="178"/>
  <c r="K10" i="178"/>
  <c r="K31" i="178"/>
  <c r="L31" i="178"/>
  <c r="K33" i="178"/>
  <c r="L33" i="178"/>
  <c r="M10" i="178"/>
  <c r="M31" i="178"/>
  <c r="N31" i="178"/>
  <c r="M33" i="178"/>
  <c r="N33" i="178"/>
  <c r="O10" i="178"/>
  <c r="O31" i="178"/>
  <c r="O33" i="178"/>
  <c r="P31" i="178"/>
  <c r="P33" i="178"/>
  <c r="Q10" i="178"/>
  <c r="Q31" i="178"/>
  <c r="Q33" i="178"/>
  <c r="R33" i="178"/>
  <c r="R31" i="178"/>
  <c r="S10" i="178"/>
  <c r="S31" i="178"/>
  <c r="S33" i="178"/>
  <c r="T31" i="178"/>
  <c r="T33" i="178"/>
  <c r="U10" i="178"/>
  <c r="V31" i="178"/>
  <c r="U33" i="178"/>
  <c r="V33" i="178"/>
  <c r="C10" i="179"/>
  <c r="C31" i="179"/>
  <c r="C33" i="179"/>
  <c r="C28" i="179"/>
  <c r="D96" i="179"/>
  <c r="D91" i="179"/>
  <c r="D84" i="179"/>
  <c r="D80" i="179"/>
  <c r="D72" i="179"/>
  <c r="D61" i="179"/>
  <c r="D58" i="179"/>
  <c r="D52" i="179"/>
  <c r="D95" i="179"/>
  <c r="D89" i="179"/>
  <c r="D83" i="179"/>
  <c r="D79" i="179"/>
  <c r="D71" i="179"/>
  <c r="D60" i="179"/>
  <c r="D57" i="179"/>
  <c r="D55" i="179"/>
  <c r="D94" i="179"/>
  <c r="D87" i="179"/>
  <c r="D82" i="179"/>
  <c r="D74" i="179"/>
  <c r="D69" i="179"/>
  <c r="D93" i="179"/>
  <c r="D85" i="179"/>
  <c r="D81" i="179"/>
  <c r="D73" i="179"/>
  <c r="D62" i="179"/>
  <c r="D53" i="179"/>
  <c r="D97" i="179"/>
  <c r="D59" i="179"/>
  <c r="D19" i="179"/>
  <c r="D28" i="179"/>
  <c r="D25" i="179"/>
  <c r="D38" i="179"/>
  <c r="D42" i="179"/>
  <c r="D46" i="179"/>
  <c r="D114" i="179"/>
  <c r="D23" i="179"/>
  <c r="D27" i="179"/>
  <c r="D36" i="179"/>
  <c r="D40" i="179"/>
  <c r="D44" i="179"/>
  <c r="D37" i="179"/>
  <c r="D45" i="179"/>
  <c r="D24" i="179"/>
  <c r="D32" i="179"/>
  <c r="D41" i="179"/>
  <c r="D113" i="179"/>
  <c r="D26" i="179"/>
  <c r="D43" i="179"/>
  <c r="D115" i="179"/>
  <c r="D21" i="179"/>
  <c r="D39" i="179"/>
  <c r="D33" i="179"/>
  <c r="D20" i="179"/>
  <c r="D31" i="179"/>
  <c r="C111" i="179"/>
  <c r="C112" i="179"/>
  <c r="D111" i="179"/>
  <c r="C116" i="179"/>
  <c r="D116" i="179"/>
  <c r="D112" i="179"/>
  <c r="E10" i="179"/>
  <c r="E19" i="179"/>
  <c r="E31" i="179"/>
  <c r="G20" i="179"/>
  <c r="G19" i="179"/>
  <c r="E33" i="179"/>
  <c r="I20" i="179"/>
  <c r="I19" i="179"/>
  <c r="E28" i="179"/>
  <c r="F55" i="179"/>
  <c r="F57" i="179"/>
  <c r="F52" i="179"/>
  <c r="F96" i="179"/>
  <c r="F95" i="179"/>
  <c r="F94" i="179"/>
  <c r="F93" i="179"/>
  <c r="F91" i="179"/>
  <c r="F89" i="179"/>
  <c r="F87" i="179"/>
  <c r="F85" i="179"/>
  <c r="F84" i="179"/>
  <c r="F83" i="179"/>
  <c r="F82" i="179"/>
  <c r="F81" i="179"/>
  <c r="F80" i="179"/>
  <c r="F79" i="179"/>
  <c r="F74" i="179"/>
  <c r="F73" i="179"/>
  <c r="F72" i="179"/>
  <c r="F71" i="179"/>
  <c r="F69" i="179"/>
  <c r="F62" i="179"/>
  <c r="F61" i="179"/>
  <c r="F60" i="179"/>
  <c r="F58" i="179"/>
  <c r="F53" i="179"/>
  <c r="F97" i="179"/>
  <c r="F59" i="179"/>
  <c r="F21" i="179"/>
  <c r="F26" i="179"/>
  <c r="F39" i="179"/>
  <c r="F43" i="179"/>
  <c r="F23" i="179"/>
  <c r="F27" i="179"/>
  <c r="F36" i="179"/>
  <c r="F40" i="179"/>
  <c r="F44" i="179"/>
  <c r="F25" i="179"/>
  <c r="F28" i="179"/>
  <c r="F38" i="179"/>
  <c r="F42" i="179"/>
  <c r="F46" i="179"/>
  <c r="F114" i="179"/>
  <c r="F32" i="179"/>
  <c r="F24" i="179"/>
  <c r="F37" i="179"/>
  <c r="F113" i="179"/>
  <c r="F45" i="179"/>
  <c r="F41" i="179"/>
  <c r="F115" i="179"/>
  <c r="F31" i="179"/>
  <c r="F20" i="179"/>
  <c r="K20" i="179"/>
  <c r="K19" i="179"/>
  <c r="G28" i="179"/>
  <c r="F33" i="179"/>
  <c r="F19" i="179"/>
  <c r="H55" i="179"/>
  <c r="H93" i="179"/>
  <c r="H85" i="179"/>
  <c r="H81" i="179"/>
  <c r="H73" i="179"/>
  <c r="H62" i="179"/>
  <c r="H57" i="179"/>
  <c r="H91" i="179"/>
  <c r="H72" i="179"/>
  <c r="H94" i="179"/>
  <c r="H87" i="179"/>
  <c r="H82" i="179"/>
  <c r="H74" i="179"/>
  <c r="H69" i="179"/>
  <c r="H58" i="179"/>
  <c r="H96" i="179"/>
  <c r="H61" i="179"/>
  <c r="H95" i="179"/>
  <c r="H89" i="179"/>
  <c r="H83" i="179"/>
  <c r="H79" i="179"/>
  <c r="H71" i="179"/>
  <c r="H60" i="179"/>
  <c r="H52" i="179"/>
  <c r="H84" i="179"/>
  <c r="H80" i="179"/>
  <c r="H53" i="179"/>
  <c r="H97" i="179"/>
  <c r="H59" i="179"/>
  <c r="H25" i="179"/>
  <c r="H38" i="179"/>
  <c r="H42" i="179"/>
  <c r="H46" i="179"/>
  <c r="H21" i="179"/>
  <c r="H26" i="179"/>
  <c r="H28" i="179"/>
  <c r="H39" i="179"/>
  <c r="H43" i="179"/>
  <c r="H24" i="179"/>
  <c r="H32" i="179"/>
  <c r="H37" i="179"/>
  <c r="H41" i="179"/>
  <c r="H45" i="179"/>
  <c r="H113" i="179"/>
  <c r="H27" i="179"/>
  <c r="H40" i="179"/>
  <c r="H114" i="179"/>
  <c r="H44" i="179"/>
  <c r="H23" i="179"/>
  <c r="H36" i="179"/>
  <c r="H115" i="179"/>
  <c r="H20" i="179"/>
  <c r="H19" i="179"/>
  <c r="M20" i="179"/>
  <c r="M19" i="179"/>
  <c r="I28" i="179"/>
  <c r="E112" i="179"/>
  <c r="E111" i="179"/>
  <c r="J58" i="179"/>
  <c r="J55" i="179"/>
  <c r="J93" i="179"/>
  <c r="J83" i="179"/>
  <c r="J73" i="179"/>
  <c r="J62" i="179"/>
  <c r="J96" i="179"/>
  <c r="J94" i="179"/>
  <c r="J91" i="179"/>
  <c r="J87" i="179"/>
  <c r="J84" i="179"/>
  <c r="J82" i="179"/>
  <c r="J80" i="179"/>
  <c r="J74" i="179"/>
  <c r="J72" i="179"/>
  <c r="J69" i="179"/>
  <c r="J61" i="179"/>
  <c r="J52" i="179"/>
  <c r="J89" i="179"/>
  <c r="J81" i="179"/>
  <c r="J71" i="179"/>
  <c r="J57" i="179"/>
  <c r="J95" i="179"/>
  <c r="J85" i="179"/>
  <c r="J79" i="179"/>
  <c r="J60" i="179"/>
  <c r="J53" i="179"/>
  <c r="J59" i="179"/>
  <c r="J97" i="179"/>
  <c r="J19" i="179"/>
  <c r="O20" i="179"/>
  <c r="O19" i="179"/>
  <c r="F111" i="179"/>
  <c r="E116" i="179"/>
  <c r="F116" i="179"/>
  <c r="F112" i="179"/>
  <c r="K28" i="179"/>
  <c r="G111" i="179"/>
  <c r="G112" i="179"/>
  <c r="J24" i="179"/>
  <c r="J32" i="179"/>
  <c r="J37" i="179"/>
  <c r="J41" i="179"/>
  <c r="J45" i="179"/>
  <c r="J25" i="179"/>
  <c r="J38" i="179"/>
  <c r="J42" i="179"/>
  <c r="J46" i="179"/>
  <c r="J23" i="179"/>
  <c r="J27" i="179"/>
  <c r="J28" i="179"/>
  <c r="J36" i="179"/>
  <c r="J40" i="179"/>
  <c r="J44" i="179"/>
  <c r="J115" i="179"/>
  <c r="J21" i="179"/>
  <c r="J114" i="179"/>
  <c r="J43" i="179"/>
  <c r="J113" i="179"/>
  <c r="J26" i="179"/>
  <c r="J39" i="179"/>
  <c r="J20" i="179"/>
  <c r="L19" i="179"/>
  <c r="L95" i="179"/>
  <c r="L89" i="179"/>
  <c r="L83" i="179"/>
  <c r="L79" i="179"/>
  <c r="L71" i="179"/>
  <c r="L60" i="179"/>
  <c r="L57" i="179"/>
  <c r="L53" i="179"/>
  <c r="L94" i="179"/>
  <c r="L87" i="179"/>
  <c r="L82" i="179"/>
  <c r="L74" i="179"/>
  <c r="L69" i="179"/>
  <c r="L52" i="179"/>
  <c r="L55" i="179"/>
  <c r="L93" i="179"/>
  <c r="L85" i="179"/>
  <c r="L81" i="179"/>
  <c r="L73" i="179"/>
  <c r="L62" i="179"/>
  <c r="L96" i="179"/>
  <c r="L91" i="179"/>
  <c r="L84" i="179"/>
  <c r="L80" i="179"/>
  <c r="L72" i="179"/>
  <c r="L61" i="179"/>
  <c r="L58" i="179"/>
  <c r="L59" i="179"/>
  <c r="L97" i="179"/>
  <c r="L23" i="179"/>
  <c r="L27" i="179"/>
  <c r="L36" i="179"/>
  <c r="L40" i="179"/>
  <c r="L44" i="179"/>
  <c r="L24" i="179"/>
  <c r="L28" i="179"/>
  <c r="L32" i="179"/>
  <c r="L37" i="179"/>
  <c r="L41" i="179"/>
  <c r="L45" i="179"/>
  <c r="L21" i="179"/>
  <c r="L26" i="179"/>
  <c r="L39" i="179"/>
  <c r="L43" i="179"/>
  <c r="L115" i="179"/>
  <c r="L25" i="179"/>
  <c r="L38" i="179"/>
  <c r="L42" i="179"/>
  <c r="L113" i="179"/>
  <c r="L46" i="179"/>
  <c r="L114" i="179"/>
  <c r="L20" i="179"/>
  <c r="G116" i="179"/>
  <c r="H116" i="179"/>
  <c r="H111" i="179"/>
  <c r="H112" i="179"/>
  <c r="M28" i="179"/>
  <c r="I112" i="179"/>
  <c r="I111" i="179"/>
  <c r="Q20" i="179"/>
  <c r="Q19" i="179"/>
  <c r="N19" i="179"/>
  <c r="N53" i="179"/>
  <c r="N52" i="179"/>
  <c r="N55" i="179"/>
  <c r="N96" i="179"/>
  <c r="N95" i="179"/>
  <c r="N94" i="179"/>
  <c r="N93" i="179"/>
  <c r="N91" i="179"/>
  <c r="N89" i="179"/>
  <c r="N87" i="179"/>
  <c r="N85" i="179"/>
  <c r="N84" i="179"/>
  <c r="N83" i="179"/>
  <c r="N82" i="179"/>
  <c r="N81" i="179"/>
  <c r="N80" i="179"/>
  <c r="N79" i="179"/>
  <c r="N74" i="179"/>
  <c r="N73" i="179"/>
  <c r="N72" i="179"/>
  <c r="N71" i="179"/>
  <c r="N69" i="179"/>
  <c r="N62" i="179"/>
  <c r="N61" i="179"/>
  <c r="N60" i="179"/>
  <c r="N58" i="179"/>
  <c r="N57" i="179"/>
  <c r="N59" i="179"/>
  <c r="N97" i="179"/>
  <c r="J112" i="179"/>
  <c r="S20" i="179"/>
  <c r="S19" i="179"/>
  <c r="J111" i="179"/>
  <c r="I116" i="179"/>
  <c r="J116" i="179"/>
  <c r="N21" i="179"/>
  <c r="N26" i="179"/>
  <c r="N39" i="179"/>
  <c r="N43" i="179"/>
  <c r="N23" i="179"/>
  <c r="N27" i="179"/>
  <c r="N36" i="179"/>
  <c r="N40" i="179"/>
  <c r="N44" i="179"/>
  <c r="N25" i="179"/>
  <c r="N28" i="179"/>
  <c r="N38" i="179"/>
  <c r="N42" i="179"/>
  <c r="N46" i="179"/>
  <c r="N114" i="179"/>
  <c r="N45" i="179"/>
  <c r="N113" i="179"/>
  <c r="N32" i="179"/>
  <c r="N115" i="179"/>
  <c r="N41" i="179"/>
  <c r="N37" i="179"/>
  <c r="N24" i="179"/>
  <c r="N20" i="179"/>
  <c r="O28" i="179"/>
  <c r="K112" i="179"/>
  <c r="K111" i="179"/>
  <c r="P55" i="179"/>
  <c r="P94" i="179"/>
  <c r="P87" i="179"/>
  <c r="P82" i="179"/>
  <c r="P74" i="179"/>
  <c r="P69" i="179"/>
  <c r="P58" i="179"/>
  <c r="P53" i="179"/>
  <c r="P85" i="179"/>
  <c r="P62" i="179"/>
  <c r="P95" i="179"/>
  <c r="P89" i="179"/>
  <c r="P83" i="179"/>
  <c r="P79" i="179"/>
  <c r="P71" i="179"/>
  <c r="P60" i="179"/>
  <c r="P81" i="179"/>
  <c r="P57" i="179"/>
  <c r="P96" i="179"/>
  <c r="P91" i="179"/>
  <c r="P84" i="179"/>
  <c r="P80" i="179"/>
  <c r="P72" i="179"/>
  <c r="P61" i="179"/>
  <c r="P93" i="179"/>
  <c r="P73" i="179"/>
  <c r="P52" i="179"/>
  <c r="P21" i="179"/>
  <c r="P59" i="179"/>
  <c r="P97" i="179"/>
  <c r="P25" i="179"/>
  <c r="P38" i="179"/>
  <c r="P42" i="179"/>
  <c r="P46" i="179"/>
  <c r="P26" i="179"/>
  <c r="P28" i="179"/>
  <c r="P39" i="179"/>
  <c r="P43" i="179"/>
  <c r="P24" i="179"/>
  <c r="P32" i="179"/>
  <c r="P37" i="179"/>
  <c r="P41" i="179"/>
  <c r="P45" i="179"/>
  <c r="P113" i="179"/>
  <c r="P23" i="179"/>
  <c r="P36" i="179"/>
  <c r="P27" i="179"/>
  <c r="P40" i="179"/>
  <c r="P114" i="179"/>
  <c r="P115" i="179"/>
  <c r="P44" i="179"/>
  <c r="P20" i="179"/>
  <c r="P19" i="179"/>
  <c r="U20" i="179"/>
  <c r="U19" i="179"/>
  <c r="K116" i="179"/>
  <c r="L116" i="179"/>
  <c r="L111" i="179"/>
  <c r="Q28" i="179"/>
  <c r="M112" i="179"/>
  <c r="L112" i="179"/>
  <c r="M111" i="179"/>
  <c r="R96" i="179"/>
  <c r="R94" i="179"/>
  <c r="R91" i="179"/>
  <c r="R87" i="179"/>
  <c r="R84" i="179"/>
  <c r="R82" i="179"/>
  <c r="R80" i="179"/>
  <c r="R74" i="179"/>
  <c r="R72" i="179"/>
  <c r="R69" i="179"/>
  <c r="R61" i="179"/>
  <c r="R53" i="179"/>
  <c r="R57" i="179"/>
  <c r="R95" i="179"/>
  <c r="R93" i="179"/>
  <c r="R89" i="179"/>
  <c r="R85" i="179"/>
  <c r="R83" i="179"/>
  <c r="R81" i="179"/>
  <c r="R79" i="179"/>
  <c r="R73" i="179"/>
  <c r="R71" i="179"/>
  <c r="R62" i="179"/>
  <c r="R60" i="179"/>
  <c r="R52" i="179"/>
  <c r="R55" i="179"/>
  <c r="R58" i="179"/>
  <c r="R59" i="179"/>
  <c r="R97" i="179"/>
  <c r="O111" i="179"/>
  <c r="N111" i="179"/>
  <c r="M116" i="179"/>
  <c r="N116" i="179"/>
  <c r="S28" i="179"/>
  <c r="O112" i="179"/>
  <c r="N112" i="179"/>
  <c r="R24" i="179"/>
  <c r="R32" i="179"/>
  <c r="R37" i="179"/>
  <c r="R41" i="179"/>
  <c r="R45" i="179"/>
  <c r="R25" i="179"/>
  <c r="R38" i="179"/>
  <c r="R42" i="179"/>
  <c r="R46" i="179"/>
  <c r="R23" i="179"/>
  <c r="R27" i="179"/>
  <c r="R28" i="179"/>
  <c r="R36" i="179"/>
  <c r="R40" i="179"/>
  <c r="R44" i="179"/>
  <c r="R43" i="179"/>
  <c r="R114" i="179"/>
  <c r="R113" i="179"/>
  <c r="R26" i="179"/>
  <c r="R39" i="179"/>
  <c r="R115" i="179"/>
  <c r="R21" i="179"/>
  <c r="R20" i="179"/>
  <c r="R19" i="179"/>
  <c r="T19" i="179"/>
  <c r="T94" i="179"/>
  <c r="T87" i="179"/>
  <c r="T82" i="179"/>
  <c r="T74" i="179"/>
  <c r="T69" i="179"/>
  <c r="T91" i="179"/>
  <c r="T80" i="179"/>
  <c r="T61" i="179"/>
  <c r="T58" i="179"/>
  <c r="T95" i="179"/>
  <c r="T83" i="179"/>
  <c r="T71" i="179"/>
  <c r="T57" i="179"/>
  <c r="T93" i="179"/>
  <c r="T85" i="179"/>
  <c r="T81" i="179"/>
  <c r="T73" i="179"/>
  <c r="T62" i="179"/>
  <c r="T53" i="179"/>
  <c r="T55" i="179"/>
  <c r="T96" i="179"/>
  <c r="T84" i="179"/>
  <c r="T72" i="179"/>
  <c r="T52" i="179"/>
  <c r="T89" i="179"/>
  <c r="T79" i="179"/>
  <c r="T60" i="179"/>
  <c r="T59" i="179"/>
  <c r="T97" i="179"/>
  <c r="O116" i="179"/>
  <c r="P116" i="179"/>
  <c r="P111" i="179"/>
  <c r="P112" i="179"/>
  <c r="Q111" i="179"/>
  <c r="T23" i="179"/>
  <c r="T27" i="179"/>
  <c r="T36" i="179"/>
  <c r="T40" i="179"/>
  <c r="T44" i="179"/>
  <c r="T24" i="179"/>
  <c r="T28" i="179"/>
  <c r="T32" i="179"/>
  <c r="T37" i="179"/>
  <c r="T41" i="179"/>
  <c r="T45" i="179"/>
  <c r="T21" i="179"/>
  <c r="T26" i="179"/>
  <c r="T39" i="179"/>
  <c r="T43" i="179"/>
  <c r="T115" i="179"/>
  <c r="T25" i="179"/>
  <c r="T38" i="179"/>
  <c r="T114" i="179"/>
  <c r="T46" i="179"/>
  <c r="T42" i="179"/>
  <c r="T113" i="179"/>
  <c r="T20" i="179"/>
  <c r="Q112" i="179"/>
  <c r="U28" i="179"/>
  <c r="V59" i="179"/>
  <c r="V19" i="179"/>
  <c r="R112" i="179"/>
  <c r="S111" i="179"/>
  <c r="R111" i="179"/>
  <c r="Q116" i="179"/>
  <c r="R116" i="179"/>
  <c r="V21" i="179"/>
  <c r="V26" i="179"/>
  <c r="V39" i="179"/>
  <c r="V43" i="179"/>
  <c r="V23" i="179"/>
  <c r="V27" i="179"/>
  <c r="V36" i="179"/>
  <c r="V40" i="179"/>
  <c r="V44" i="179"/>
  <c r="V25" i="179"/>
  <c r="V28" i="179"/>
  <c r="V38" i="179"/>
  <c r="V42" i="179"/>
  <c r="V46" i="179"/>
  <c r="V114" i="179"/>
  <c r="V41" i="179"/>
  <c r="V115" i="179"/>
  <c r="V45" i="179"/>
  <c r="V24" i="179"/>
  <c r="V37" i="179"/>
  <c r="V113" i="179"/>
  <c r="V32" i="179"/>
  <c r="V20" i="179"/>
  <c r="S112" i="179"/>
  <c r="V94" i="179"/>
  <c r="V84" i="179"/>
  <c r="V96" i="179"/>
  <c r="V80" i="179"/>
  <c r="V55" i="179"/>
  <c r="V87" i="179"/>
  <c r="V71" i="179"/>
  <c r="V53" i="179"/>
  <c r="T112" i="179"/>
  <c r="V83" i="179"/>
  <c r="V89" i="179"/>
  <c r="V73" i="179"/>
  <c r="U111" i="179"/>
  <c r="V85" i="179"/>
  <c r="V69" i="179"/>
  <c r="V74" i="179"/>
  <c r="V61" i="179"/>
  <c r="V62" i="179"/>
  <c r="U112" i="179"/>
  <c r="V57" i="179"/>
  <c r="V97" i="179"/>
  <c r="V81" i="179"/>
  <c r="V93" i="179"/>
  <c r="V82" i="179"/>
  <c r="V60" i="179"/>
  <c r="V52" i="179"/>
  <c r="V91" i="179"/>
  <c r="V72" i="179"/>
  <c r="V95" i="179"/>
  <c r="V79" i="179"/>
  <c r="V58" i="179"/>
  <c r="S116" i="179"/>
  <c r="T116" i="179"/>
  <c r="T111" i="179"/>
  <c r="V111" i="179"/>
  <c r="U116" i="179"/>
  <c r="V116" i="179"/>
  <c r="V112" i="179"/>
  <c r="G10" i="179"/>
  <c r="G31" i="179"/>
  <c r="H31" i="179"/>
  <c r="I10" i="179"/>
  <c r="I31" i="179"/>
  <c r="J31" i="179"/>
  <c r="G33" i="179"/>
  <c r="H33" i="179"/>
  <c r="I33" i="179"/>
  <c r="J33" i="179"/>
  <c r="K10" i="179"/>
  <c r="K31" i="179"/>
  <c r="K33" i="179"/>
  <c r="L33" i="179"/>
  <c r="M10" i="179"/>
  <c r="M31" i="179"/>
  <c r="M33" i="179"/>
  <c r="L31" i="179"/>
  <c r="N31" i="179"/>
  <c r="N33" i="179"/>
  <c r="O10" i="179"/>
  <c r="O31" i="179"/>
  <c r="P31" i="179"/>
  <c r="O33" i="179"/>
  <c r="P33" i="179"/>
  <c r="Q10" i="179"/>
  <c r="Q31" i="179"/>
  <c r="R31" i="179"/>
  <c r="Q33" i="179"/>
  <c r="R33" i="179"/>
  <c r="S10" i="179"/>
  <c r="S31" i="179"/>
  <c r="T31" i="179"/>
  <c r="S33" i="179"/>
  <c r="T33" i="179"/>
  <c r="U10" i="179"/>
  <c r="U31" i="179"/>
  <c r="U33" i="179"/>
  <c r="V31" i="179"/>
  <c r="V33" i="179"/>
  <c r="C10" i="180"/>
  <c r="D21" i="180"/>
  <c r="C31" i="180"/>
  <c r="C111" i="180"/>
  <c r="D114" i="180"/>
  <c r="D41" i="180"/>
  <c r="D113" i="180"/>
  <c r="D39" i="180"/>
  <c r="D111" i="180"/>
  <c r="D45" i="180"/>
  <c r="D37" i="180"/>
  <c r="D23" i="180"/>
  <c r="D115" i="180"/>
  <c r="D43" i="180"/>
  <c r="D32" i="180"/>
  <c r="C112" i="180"/>
  <c r="D31" i="180"/>
  <c r="C33" i="180"/>
  <c r="D20" i="180"/>
  <c r="D26" i="180"/>
  <c r="D27" i="180"/>
  <c r="D28" i="180"/>
  <c r="D36" i="180"/>
  <c r="D38" i="180"/>
  <c r="D40" i="180"/>
  <c r="D42" i="180"/>
  <c r="D44" i="180"/>
  <c r="D46" i="180"/>
  <c r="D24" i="180"/>
  <c r="D25" i="180"/>
  <c r="D19" i="180"/>
  <c r="D33" i="180"/>
  <c r="D112" i="180"/>
  <c r="C116" i="180"/>
  <c r="D116" i="180"/>
  <c r="E31" i="180"/>
  <c r="E33" i="180"/>
  <c r="F19" i="180"/>
  <c r="F21" i="180"/>
  <c r="F26" i="180"/>
  <c r="F39" i="180"/>
  <c r="F43" i="180"/>
  <c r="F24" i="180"/>
  <c r="F27" i="180"/>
  <c r="F28" i="180"/>
  <c r="F42" i="180"/>
  <c r="F45" i="180"/>
  <c r="F46" i="180"/>
  <c r="F114" i="180"/>
  <c r="F25" i="180"/>
  <c r="F32" i="180"/>
  <c r="F37" i="180"/>
  <c r="F41" i="180"/>
  <c r="F115" i="180"/>
  <c r="F23" i="180"/>
  <c r="F31" i="180"/>
  <c r="F113" i="180"/>
  <c r="F40" i="180"/>
  <c r="F36" i="180"/>
  <c r="F44" i="180"/>
  <c r="F20" i="180"/>
  <c r="F38" i="180"/>
  <c r="F33" i="180"/>
  <c r="H19" i="180"/>
  <c r="E112" i="180"/>
  <c r="H25" i="180"/>
  <c r="H38" i="180"/>
  <c r="H42" i="180"/>
  <c r="H32" i="180"/>
  <c r="H36" i="180"/>
  <c r="H39" i="180"/>
  <c r="H113" i="180"/>
  <c r="H28" i="180"/>
  <c r="H40" i="180"/>
  <c r="H44" i="180"/>
  <c r="H26" i="180"/>
  <c r="H27" i="180"/>
  <c r="H37" i="180"/>
  <c r="H24" i="180"/>
  <c r="H43" i="180"/>
  <c r="H41" i="180"/>
  <c r="H23" i="180"/>
  <c r="H46" i="180"/>
  <c r="H114" i="180"/>
  <c r="H45" i="180"/>
  <c r="H115" i="180"/>
  <c r="H21" i="180"/>
  <c r="H20" i="180"/>
  <c r="E111" i="180"/>
  <c r="J19" i="180"/>
  <c r="F111" i="180"/>
  <c r="E116" i="180"/>
  <c r="F116" i="180"/>
  <c r="L19" i="180"/>
  <c r="J24" i="180"/>
  <c r="J32" i="180"/>
  <c r="J37" i="180"/>
  <c r="J41" i="180"/>
  <c r="J45" i="180"/>
  <c r="J21" i="180"/>
  <c r="J25" i="180"/>
  <c r="J40" i="180"/>
  <c r="J43" i="180"/>
  <c r="J36" i="180"/>
  <c r="J46" i="180"/>
  <c r="J113" i="180"/>
  <c r="J44" i="180"/>
  <c r="J23" i="180"/>
  <c r="J26" i="180"/>
  <c r="J38" i="180"/>
  <c r="J114" i="180"/>
  <c r="J28" i="180"/>
  <c r="J27" i="180"/>
  <c r="J39" i="180"/>
  <c r="J115" i="180"/>
  <c r="J42" i="180"/>
  <c r="J20" i="180"/>
  <c r="G112" i="180"/>
  <c r="G111" i="180"/>
  <c r="F112" i="180"/>
  <c r="L23" i="180"/>
  <c r="L27" i="180"/>
  <c r="L36" i="180"/>
  <c r="L40" i="180"/>
  <c r="L44" i="180"/>
  <c r="L26" i="180"/>
  <c r="L28" i="180"/>
  <c r="L37" i="180"/>
  <c r="L115" i="180"/>
  <c r="L24" i="180"/>
  <c r="L39" i="180"/>
  <c r="L43" i="180"/>
  <c r="L114" i="180"/>
  <c r="L32" i="180"/>
  <c r="L38" i="180"/>
  <c r="L21" i="180"/>
  <c r="L25" i="180"/>
  <c r="L41" i="180"/>
  <c r="L46" i="180"/>
  <c r="L45" i="180"/>
  <c r="L42" i="180"/>
  <c r="L113" i="180"/>
  <c r="L20" i="180"/>
  <c r="N19" i="180"/>
  <c r="G116" i="180"/>
  <c r="H116" i="180"/>
  <c r="H111" i="180"/>
  <c r="H112" i="180"/>
  <c r="I112" i="180"/>
  <c r="I111" i="180"/>
  <c r="J112" i="180"/>
  <c r="N21" i="180"/>
  <c r="N26" i="180"/>
  <c r="N39" i="180"/>
  <c r="N43" i="180"/>
  <c r="N23" i="180"/>
  <c r="N38" i="180"/>
  <c r="N41" i="180"/>
  <c r="N44" i="180"/>
  <c r="N46" i="180"/>
  <c r="N114" i="180"/>
  <c r="N27" i="180"/>
  <c r="N28" i="180"/>
  <c r="N42" i="180"/>
  <c r="N36" i="180"/>
  <c r="N37" i="180"/>
  <c r="N115" i="180"/>
  <c r="N45" i="180"/>
  <c r="N113" i="180"/>
  <c r="N25" i="180"/>
  <c r="N32" i="180"/>
  <c r="N40" i="180"/>
  <c r="N24" i="180"/>
  <c r="N20" i="180"/>
  <c r="J111" i="180"/>
  <c r="I116" i="180"/>
  <c r="J116" i="180"/>
  <c r="K112" i="180"/>
  <c r="K111" i="180"/>
  <c r="M111" i="180"/>
  <c r="P25" i="180"/>
  <c r="P38" i="180"/>
  <c r="P42" i="180"/>
  <c r="P24" i="180"/>
  <c r="P27" i="180"/>
  <c r="P45" i="180"/>
  <c r="P113" i="180"/>
  <c r="P23" i="180"/>
  <c r="P115" i="180"/>
  <c r="P28" i="180"/>
  <c r="P39" i="180"/>
  <c r="P40" i="180"/>
  <c r="P41" i="180"/>
  <c r="P46" i="180"/>
  <c r="P26" i="180"/>
  <c r="P114" i="180"/>
  <c r="P21" i="180"/>
  <c r="P37" i="180"/>
  <c r="P44" i="180"/>
  <c r="P43" i="180"/>
  <c r="P32" i="180"/>
  <c r="P36" i="180"/>
  <c r="P20" i="180"/>
  <c r="M112" i="180"/>
  <c r="K116" i="180"/>
  <c r="L116" i="180"/>
  <c r="L111" i="180"/>
  <c r="L112" i="180"/>
  <c r="U20" i="180"/>
  <c r="P19" i="180"/>
  <c r="R19" i="180"/>
  <c r="R24" i="180"/>
  <c r="R32" i="180"/>
  <c r="R37" i="180"/>
  <c r="R41" i="180"/>
  <c r="R36" i="180"/>
  <c r="R39" i="180"/>
  <c r="R42" i="180"/>
  <c r="R21" i="180"/>
  <c r="R26" i="180"/>
  <c r="R38" i="180"/>
  <c r="R45" i="180"/>
  <c r="R43" i="180"/>
  <c r="R44" i="180"/>
  <c r="R114" i="180"/>
  <c r="R23" i="180"/>
  <c r="R28" i="180"/>
  <c r="R46" i="180"/>
  <c r="R115" i="180"/>
  <c r="R113" i="180"/>
  <c r="R25" i="180"/>
  <c r="R40" i="180"/>
  <c r="R27" i="180"/>
  <c r="R20" i="180"/>
  <c r="N111" i="180"/>
  <c r="M116" i="180"/>
  <c r="N116" i="180"/>
  <c r="O112" i="180"/>
  <c r="N112" i="180"/>
  <c r="O111" i="180"/>
  <c r="T23" i="180"/>
  <c r="T27" i="180"/>
  <c r="T36" i="180"/>
  <c r="T40" i="180"/>
  <c r="T44" i="180"/>
  <c r="T21" i="180"/>
  <c r="T25" i="180"/>
  <c r="T32" i="180"/>
  <c r="T43" i="180"/>
  <c r="T115" i="180"/>
  <c r="T37" i="180"/>
  <c r="T41" i="180"/>
  <c r="T46" i="180"/>
  <c r="T113" i="180"/>
  <c r="T42" i="180"/>
  <c r="T45" i="180"/>
  <c r="T38" i="180"/>
  <c r="T26" i="180"/>
  <c r="T28" i="180"/>
  <c r="T114" i="180"/>
  <c r="T39" i="180"/>
  <c r="T24" i="180"/>
  <c r="T20" i="180"/>
  <c r="O116" i="180"/>
  <c r="P116" i="180"/>
  <c r="P111" i="180"/>
  <c r="Q112" i="180"/>
  <c r="T19" i="180"/>
  <c r="P112" i="180"/>
  <c r="Q111" i="180"/>
  <c r="S112" i="180"/>
  <c r="R111" i="180"/>
  <c r="Q116" i="180"/>
  <c r="R116" i="180"/>
  <c r="R112" i="180"/>
  <c r="S111" i="180"/>
  <c r="S116" i="180"/>
  <c r="T116" i="180"/>
  <c r="T111" i="180"/>
  <c r="T112" i="180"/>
  <c r="G31" i="180"/>
  <c r="H31" i="180"/>
  <c r="G33" i="180"/>
  <c r="H33" i="180"/>
  <c r="I31" i="180"/>
  <c r="J31" i="180"/>
  <c r="I33" i="180"/>
  <c r="J33" i="180"/>
  <c r="K31" i="180"/>
  <c r="L31" i="180"/>
  <c r="K33" i="180"/>
  <c r="L33" i="180"/>
  <c r="M31" i="180"/>
  <c r="M33" i="180"/>
  <c r="N31" i="180"/>
  <c r="N33" i="180"/>
  <c r="O31" i="180"/>
  <c r="O33" i="180"/>
  <c r="P31" i="180"/>
  <c r="P33" i="180"/>
  <c r="Q31" i="180"/>
  <c r="Q33" i="180"/>
  <c r="R31" i="180"/>
  <c r="R33" i="180"/>
  <c r="S31" i="180"/>
  <c r="T31" i="180"/>
  <c r="S33" i="180"/>
  <c r="T33" i="180"/>
  <c r="C31" i="181"/>
  <c r="E31" i="181"/>
  <c r="G31" i="181"/>
  <c r="G33" i="181"/>
  <c r="I31" i="181"/>
  <c r="I33" i="181"/>
  <c r="K31" i="181"/>
  <c r="M31" i="181"/>
  <c r="M33" i="181"/>
  <c r="O31" i="181"/>
  <c r="O33" i="181"/>
  <c r="Q31" i="181"/>
  <c r="S31" i="181"/>
  <c r="S33" i="181"/>
  <c r="U31" i="181"/>
  <c r="C33" i="181"/>
  <c r="D19" i="181"/>
  <c r="K33" i="181"/>
  <c r="U33" i="181"/>
  <c r="E33" i="181"/>
  <c r="D33" i="181"/>
  <c r="Q33" i="181"/>
  <c r="I20" i="181"/>
  <c r="I19" i="181"/>
  <c r="E28" i="181"/>
  <c r="D21" i="181"/>
  <c r="D23" i="181"/>
  <c r="D39" i="181"/>
  <c r="D40" i="181"/>
  <c r="D37" i="181"/>
  <c r="D38" i="181"/>
  <c r="D45" i="181"/>
  <c r="D46" i="181"/>
  <c r="D24" i="181"/>
  <c r="D25" i="181"/>
  <c r="D32" i="181"/>
  <c r="D41" i="181"/>
  <c r="D42" i="181"/>
  <c r="D43" i="181"/>
  <c r="D115" i="181"/>
  <c r="D27" i="181"/>
  <c r="D113" i="181"/>
  <c r="D114" i="181"/>
  <c r="D20" i="181"/>
  <c r="D26" i="181"/>
  <c r="D28" i="181"/>
  <c r="D36" i="181"/>
  <c r="D44" i="181"/>
  <c r="D31" i="181"/>
  <c r="F33" i="181"/>
  <c r="F96" i="181"/>
  <c r="F91" i="181"/>
  <c r="F84" i="181"/>
  <c r="F80" i="181"/>
  <c r="F72" i="181"/>
  <c r="F61" i="181"/>
  <c r="F52" i="181"/>
  <c r="F97" i="181"/>
  <c r="F95" i="181"/>
  <c r="F89" i="181"/>
  <c r="F83" i="181"/>
  <c r="F79" i="181"/>
  <c r="F71" i="181"/>
  <c r="F60" i="181"/>
  <c r="F58" i="181"/>
  <c r="F94" i="181"/>
  <c r="F87" i="181"/>
  <c r="F82" i="181"/>
  <c r="F74" i="181"/>
  <c r="F69" i="181"/>
  <c r="F57" i="181"/>
  <c r="F93" i="181"/>
  <c r="F85" i="181"/>
  <c r="F81" i="181"/>
  <c r="F73" i="181"/>
  <c r="F62" i="181"/>
  <c r="F53" i="181"/>
  <c r="F59" i="181"/>
  <c r="K20" i="181"/>
  <c r="K19" i="181"/>
  <c r="F23" i="181"/>
  <c r="F25" i="181"/>
  <c r="F27" i="181"/>
  <c r="F28" i="181"/>
  <c r="F36" i="181"/>
  <c r="F38" i="181"/>
  <c r="F40" i="181"/>
  <c r="F42" i="181"/>
  <c r="F44" i="181"/>
  <c r="F46" i="181"/>
  <c r="F114" i="181"/>
  <c r="F24" i="181"/>
  <c r="F32" i="181"/>
  <c r="F41" i="181"/>
  <c r="F113" i="181"/>
  <c r="F21" i="181"/>
  <c r="F39" i="181"/>
  <c r="F26" i="181"/>
  <c r="F43" i="181"/>
  <c r="F45" i="181"/>
  <c r="F37" i="181"/>
  <c r="F115" i="181"/>
  <c r="F31" i="181"/>
  <c r="F20" i="181"/>
  <c r="G28" i="181"/>
  <c r="C112" i="181"/>
  <c r="C111" i="181"/>
  <c r="F19" i="181"/>
  <c r="H58" i="181"/>
  <c r="H57" i="181"/>
  <c r="H53" i="181"/>
  <c r="H52" i="181"/>
  <c r="H96" i="181"/>
  <c r="H95" i="181"/>
  <c r="H94" i="181"/>
  <c r="H93" i="181"/>
  <c r="H91" i="181"/>
  <c r="H89" i="181"/>
  <c r="H87" i="181"/>
  <c r="H85" i="181"/>
  <c r="H84" i="181"/>
  <c r="H83" i="181"/>
  <c r="H82" i="181"/>
  <c r="H81" i="181"/>
  <c r="H80" i="181"/>
  <c r="H79" i="181"/>
  <c r="H74" i="181"/>
  <c r="H73" i="181"/>
  <c r="H72" i="181"/>
  <c r="H71" i="181"/>
  <c r="H69" i="181"/>
  <c r="H62" i="181"/>
  <c r="H61" i="181"/>
  <c r="H60" i="181"/>
  <c r="H97" i="181"/>
  <c r="H59" i="181"/>
  <c r="H19" i="181"/>
  <c r="E111" i="181"/>
  <c r="D112" i="181"/>
  <c r="H25" i="181"/>
  <c r="H26" i="181"/>
  <c r="H42" i="181"/>
  <c r="H43" i="181"/>
  <c r="H114" i="181"/>
  <c r="H115" i="181"/>
  <c r="H23" i="181"/>
  <c r="H24" i="181"/>
  <c r="H28" i="181"/>
  <c r="H32" i="181"/>
  <c r="H40" i="181"/>
  <c r="H41" i="181"/>
  <c r="H113" i="181"/>
  <c r="H27" i="181"/>
  <c r="H36" i="181"/>
  <c r="H37" i="181"/>
  <c r="H44" i="181"/>
  <c r="H45" i="181"/>
  <c r="H21" i="181"/>
  <c r="H39" i="181"/>
  <c r="H38" i="181"/>
  <c r="H46" i="181"/>
  <c r="H31" i="181"/>
  <c r="H33" i="181"/>
  <c r="H20" i="181"/>
  <c r="C116" i="181"/>
  <c r="D116" i="181"/>
  <c r="D111" i="181"/>
  <c r="I28" i="181"/>
  <c r="E112" i="181"/>
  <c r="M20" i="181"/>
  <c r="M19" i="181"/>
  <c r="J97" i="181"/>
  <c r="J96" i="181"/>
  <c r="J95" i="181"/>
  <c r="J94" i="181"/>
  <c r="J93" i="181"/>
  <c r="J91" i="181"/>
  <c r="J89" i="181"/>
  <c r="J87" i="181"/>
  <c r="J85" i="181"/>
  <c r="J84" i="181"/>
  <c r="J83" i="181"/>
  <c r="J82" i="181"/>
  <c r="J81" i="181"/>
  <c r="J80" i="181"/>
  <c r="J79" i="181"/>
  <c r="J74" i="181"/>
  <c r="J73" i="181"/>
  <c r="J72" i="181"/>
  <c r="J71" i="181"/>
  <c r="J69" i="181"/>
  <c r="J62" i="181"/>
  <c r="J61" i="181"/>
  <c r="J60" i="181"/>
  <c r="J57" i="181"/>
  <c r="J52" i="181"/>
  <c r="J53" i="181"/>
  <c r="J58" i="181"/>
  <c r="J59" i="181"/>
  <c r="J19" i="181"/>
  <c r="F112" i="181"/>
  <c r="J21" i="181"/>
  <c r="J24" i="181"/>
  <c r="J26" i="181"/>
  <c r="J28" i="181"/>
  <c r="J32" i="181"/>
  <c r="J37" i="181"/>
  <c r="J39" i="181"/>
  <c r="J41" i="181"/>
  <c r="J43" i="181"/>
  <c r="J45" i="181"/>
  <c r="J113" i="181"/>
  <c r="J115" i="181"/>
  <c r="J27" i="181"/>
  <c r="J36" i="181"/>
  <c r="J44" i="181"/>
  <c r="J25" i="181"/>
  <c r="J42" i="181"/>
  <c r="J114" i="181"/>
  <c r="J38" i="181"/>
  <c r="J46" i="181"/>
  <c r="J40" i="181"/>
  <c r="J23" i="181"/>
  <c r="J33" i="181"/>
  <c r="J31" i="181"/>
  <c r="J20" i="181"/>
  <c r="F111" i="181"/>
  <c r="E116" i="181"/>
  <c r="F116" i="181"/>
  <c r="G112" i="181"/>
  <c r="O20" i="181"/>
  <c r="O19" i="181"/>
  <c r="K28" i="181"/>
  <c r="G111" i="181"/>
  <c r="L97" i="181"/>
  <c r="L52" i="181"/>
  <c r="L93" i="181"/>
  <c r="L91" i="181"/>
  <c r="L89" i="181"/>
  <c r="L87" i="181"/>
  <c r="L85" i="181"/>
  <c r="L58" i="181"/>
  <c r="L57" i="181"/>
  <c r="L53" i="181"/>
  <c r="L96" i="181"/>
  <c r="L95" i="181"/>
  <c r="L94" i="181"/>
  <c r="L84" i="181"/>
  <c r="L83" i="181"/>
  <c r="L79" i="181"/>
  <c r="L71" i="181"/>
  <c r="L60" i="181"/>
  <c r="L81" i="181"/>
  <c r="L82" i="181"/>
  <c r="L74" i="181"/>
  <c r="L69" i="181"/>
  <c r="L80" i="181"/>
  <c r="L72" i="181"/>
  <c r="L61" i="181"/>
  <c r="L73" i="181"/>
  <c r="L62" i="181"/>
  <c r="L59" i="181"/>
  <c r="L19" i="181"/>
  <c r="H112" i="181"/>
  <c r="M28" i="181"/>
  <c r="Q20" i="181"/>
  <c r="Q19" i="181"/>
  <c r="H111" i="181"/>
  <c r="G116" i="181"/>
  <c r="H116" i="181"/>
  <c r="I111" i="181"/>
  <c r="I112" i="181"/>
  <c r="L28" i="181"/>
  <c r="L37" i="181"/>
  <c r="L38" i="181"/>
  <c r="L45" i="181"/>
  <c r="L46" i="181"/>
  <c r="L26" i="181"/>
  <c r="L27" i="181"/>
  <c r="L36" i="181"/>
  <c r="L43" i="181"/>
  <c r="L44" i="181"/>
  <c r="L115" i="181"/>
  <c r="L21" i="181"/>
  <c r="L23" i="181"/>
  <c r="L39" i="181"/>
  <c r="L40" i="181"/>
  <c r="L24" i="181"/>
  <c r="L41" i="181"/>
  <c r="L42" i="181"/>
  <c r="L25" i="181"/>
  <c r="L113" i="181"/>
  <c r="L114" i="181"/>
  <c r="L32" i="181"/>
  <c r="L31" i="181"/>
  <c r="L33" i="181"/>
  <c r="L20" i="181"/>
  <c r="N97" i="181"/>
  <c r="N96" i="181"/>
  <c r="N94" i="181"/>
  <c r="N91" i="181"/>
  <c r="N87" i="181"/>
  <c r="N84" i="181"/>
  <c r="N82" i="181"/>
  <c r="N80" i="181"/>
  <c r="N74" i="181"/>
  <c r="N72" i="181"/>
  <c r="N69" i="181"/>
  <c r="N61" i="181"/>
  <c r="N58" i="181"/>
  <c r="N57" i="181"/>
  <c r="N53" i="181"/>
  <c r="N52" i="181"/>
  <c r="N95" i="181"/>
  <c r="N93" i="181"/>
  <c r="N89" i="181"/>
  <c r="N85" i="181"/>
  <c r="N83" i="181"/>
  <c r="N81" i="181"/>
  <c r="N79" i="181"/>
  <c r="N73" i="181"/>
  <c r="N71" i="181"/>
  <c r="N62" i="181"/>
  <c r="N60" i="181"/>
  <c r="N59" i="181"/>
  <c r="N19" i="181"/>
  <c r="J112" i="181"/>
  <c r="K111" i="181"/>
  <c r="K112" i="181"/>
  <c r="S20" i="181"/>
  <c r="S19" i="181"/>
  <c r="O28" i="181"/>
  <c r="J111" i="181"/>
  <c r="I116" i="181"/>
  <c r="J116" i="181"/>
  <c r="N23" i="181"/>
  <c r="N25" i="181"/>
  <c r="N27" i="181"/>
  <c r="N28" i="181"/>
  <c r="N36" i="181"/>
  <c r="N38" i="181"/>
  <c r="N40" i="181"/>
  <c r="N42" i="181"/>
  <c r="N44" i="181"/>
  <c r="N46" i="181"/>
  <c r="N114" i="181"/>
  <c r="N21" i="181"/>
  <c r="N39" i="181"/>
  <c r="N37" i="181"/>
  <c r="N45" i="181"/>
  <c r="N24" i="181"/>
  <c r="N32" i="181"/>
  <c r="N41" i="181"/>
  <c r="N26" i="181"/>
  <c r="N43" i="181"/>
  <c r="N113" i="181"/>
  <c r="N115" i="181"/>
  <c r="N33" i="181"/>
  <c r="N31" i="181"/>
  <c r="N20" i="181"/>
  <c r="P58" i="181"/>
  <c r="P57" i="181"/>
  <c r="P53" i="181"/>
  <c r="P52" i="181"/>
  <c r="P97" i="181"/>
  <c r="P96" i="181"/>
  <c r="P95" i="181"/>
  <c r="P94" i="181"/>
  <c r="P93" i="181"/>
  <c r="P91" i="181"/>
  <c r="P89" i="181"/>
  <c r="P87" i="181"/>
  <c r="P85" i="181"/>
  <c r="P84" i="181"/>
  <c r="P83" i="181"/>
  <c r="P82" i="181"/>
  <c r="P81" i="181"/>
  <c r="P80" i="181"/>
  <c r="P79" i="181"/>
  <c r="P74" i="181"/>
  <c r="P73" i="181"/>
  <c r="P72" i="181"/>
  <c r="P71" i="181"/>
  <c r="P69" i="181"/>
  <c r="P62" i="181"/>
  <c r="P61" i="181"/>
  <c r="P60" i="181"/>
  <c r="P59" i="181"/>
  <c r="P19" i="181"/>
  <c r="L111" i="181"/>
  <c r="K116" i="181"/>
  <c r="L116" i="181"/>
  <c r="M111" i="181"/>
  <c r="M112" i="181"/>
  <c r="P23" i="181"/>
  <c r="P24" i="181"/>
  <c r="P32" i="181"/>
  <c r="P40" i="181"/>
  <c r="P41" i="181"/>
  <c r="P113" i="181"/>
  <c r="P21" i="181"/>
  <c r="P38" i="181"/>
  <c r="P39" i="181"/>
  <c r="P46" i="181"/>
  <c r="P25" i="181"/>
  <c r="P26" i="181"/>
  <c r="P28" i="181"/>
  <c r="P42" i="181"/>
  <c r="P43" i="181"/>
  <c r="P36" i="181"/>
  <c r="P45" i="181"/>
  <c r="P44" i="181"/>
  <c r="P114" i="181"/>
  <c r="P115" i="181"/>
  <c r="P27" i="181"/>
  <c r="P31" i="181"/>
  <c r="P37" i="181"/>
  <c r="P33" i="181"/>
  <c r="P20" i="181"/>
  <c r="L112" i="181"/>
  <c r="Q28" i="181"/>
  <c r="U20" i="181"/>
  <c r="U19" i="181"/>
  <c r="R97" i="181"/>
  <c r="R96" i="181"/>
  <c r="R95" i="181"/>
  <c r="R94" i="181"/>
  <c r="R93" i="181"/>
  <c r="R91" i="181"/>
  <c r="R89" i="181"/>
  <c r="R87" i="181"/>
  <c r="R85" i="181"/>
  <c r="R84" i="181"/>
  <c r="R83" i="181"/>
  <c r="R82" i="181"/>
  <c r="R81" i="181"/>
  <c r="R80" i="181"/>
  <c r="R79" i="181"/>
  <c r="R74" i="181"/>
  <c r="R73" i="181"/>
  <c r="R72" i="181"/>
  <c r="R71" i="181"/>
  <c r="R69" i="181"/>
  <c r="R62" i="181"/>
  <c r="R61" i="181"/>
  <c r="R60" i="181"/>
  <c r="R58" i="181"/>
  <c r="R52" i="181"/>
  <c r="R53" i="181"/>
  <c r="R57" i="181"/>
  <c r="R59" i="181"/>
  <c r="R19" i="181"/>
  <c r="O112" i="181"/>
  <c r="R21" i="181"/>
  <c r="R24" i="181"/>
  <c r="R26" i="181"/>
  <c r="R28" i="181"/>
  <c r="R32" i="181"/>
  <c r="R37" i="181"/>
  <c r="R39" i="181"/>
  <c r="R41" i="181"/>
  <c r="R43" i="181"/>
  <c r="R45" i="181"/>
  <c r="R113" i="181"/>
  <c r="R115" i="181"/>
  <c r="R25" i="181"/>
  <c r="R42" i="181"/>
  <c r="R114" i="181"/>
  <c r="R23" i="181"/>
  <c r="R40" i="181"/>
  <c r="R27" i="181"/>
  <c r="R36" i="181"/>
  <c r="R44" i="181"/>
  <c r="R38" i="181"/>
  <c r="R46" i="181"/>
  <c r="R31" i="181"/>
  <c r="R33" i="181"/>
  <c r="R20" i="181"/>
  <c r="O111" i="181"/>
  <c r="N112" i="181"/>
  <c r="N111" i="181"/>
  <c r="M116" i="181"/>
  <c r="N116" i="181"/>
  <c r="S28" i="181"/>
  <c r="T96" i="181"/>
  <c r="T95" i="181"/>
  <c r="T94" i="181"/>
  <c r="T93" i="181"/>
  <c r="T84" i="181"/>
  <c r="T83" i="181"/>
  <c r="T97" i="181"/>
  <c r="T58" i="181"/>
  <c r="T57" i="181"/>
  <c r="T53" i="181"/>
  <c r="T52" i="181"/>
  <c r="T91" i="181"/>
  <c r="T89" i="181"/>
  <c r="T87" i="181"/>
  <c r="T85" i="181"/>
  <c r="T80" i="181"/>
  <c r="T72" i="181"/>
  <c r="T61" i="181"/>
  <c r="T74" i="181"/>
  <c r="T69" i="181"/>
  <c r="T81" i="181"/>
  <c r="T73" i="181"/>
  <c r="T62" i="181"/>
  <c r="T82" i="181"/>
  <c r="T79" i="181"/>
  <c r="T71" i="181"/>
  <c r="T60" i="181"/>
  <c r="T59" i="181"/>
  <c r="O116" i="181"/>
  <c r="P116" i="181"/>
  <c r="P111" i="181"/>
  <c r="U28" i="181"/>
  <c r="V59" i="181"/>
  <c r="T26" i="181"/>
  <c r="T27" i="181"/>
  <c r="T36" i="181"/>
  <c r="T43" i="181"/>
  <c r="T44" i="181"/>
  <c r="T115" i="181"/>
  <c r="T24" i="181"/>
  <c r="T25" i="181"/>
  <c r="T32" i="181"/>
  <c r="T41" i="181"/>
  <c r="T42" i="181"/>
  <c r="T113" i="181"/>
  <c r="T114" i="181"/>
  <c r="T37" i="181"/>
  <c r="T38" i="181"/>
  <c r="T45" i="181"/>
  <c r="T46" i="181"/>
  <c r="T40" i="181"/>
  <c r="T21" i="181"/>
  <c r="T23" i="181"/>
  <c r="T39" i="181"/>
  <c r="T28" i="181"/>
  <c r="T31" i="181"/>
  <c r="T33" i="181"/>
  <c r="T20" i="181"/>
  <c r="Q111" i="181"/>
  <c r="T19" i="181"/>
  <c r="Q112" i="181"/>
  <c r="P112" i="181"/>
  <c r="V19" i="181"/>
  <c r="R111" i="181"/>
  <c r="Q116" i="181"/>
  <c r="R116" i="181"/>
  <c r="V23" i="181"/>
  <c r="V25" i="181"/>
  <c r="V27" i="181"/>
  <c r="V28" i="181"/>
  <c r="V36" i="181"/>
  <c r="V38" i="181"/>
  <c r="V40" i="181"/>
  <c r="V42" i="181"/>
  <c r="V44" i="181"/>
  <c r="V46" i="181"/>
  <c r="V114" i="181"/>
  <c r="V37" i="181"/>
  <c r="V45" i="181"/>
  <c r="V26" i="181"/>
  <c r="V43" i="181"/>
  <c r="V115" i="181"/>
  <c r="V21" i="181"/>
  <c r="V39" i="181"/>
  <c r="V113" i="181"/>
  <c r="V24" i="181"/>
  <c r="V32" i="181"/>
  <c r="V41" i="181"/>
  <c r="V31" i="181"/>
  <c r="V33" i="181"/>
  <c r="V20" i="181"/>
  <c r="R112" i="181"/>
  <c r="S112" i="181"/>
  <c r="S111" i="181"/>
  <c r="T112" i="181"/>
  <c r="V72" i="181"/>
  <c r="V96" i="181"/>
  <c r="V83" i="181"/>
  <c r="V97" i="181"/>
  <c r="V81" i="181"/>
  <c r="V82" i="181"/>
  <c r="T111" i="181"/>
  <c r="S116" i="181"/>
  <c r="T116" i="181"/>
  <c r="V52" i="181"/>
  <c r="V60" i="181"/>
  <c r="V80" i="181"/>
  <c r="V95" i="181"/>
  <c r="V79" i="181"/>
  <c r="V93" i="181"/>
  <c r="V61" i="181"/>
  <c r="V94" i="181"/>
  <c r="V62" i="181"/>
  <c r="U112" i="181"/>
  <c r="V84" i="181"/>
  <c r="V87" i="181"/>
  <c r="V71" i="181"/>
  <c r="V85" i="181"/>
  <c r="V69" i="181"/>
  <c r="V53" i="181"/>
  <c r="V91" i="181"/>
  <c r="U111" i="181"/>
  <c r="V89" i="181"/>
  <c r="V73" i="181"/>
  <c r="V57" i="181"/>
  <c r="V74" i="181"/>
  <c r="V58" i="181"/>
  <c r="V111" i="181"/>
  <c r="U116" i="181"/>
  <c r="V116" i="181"/>
  <c r="V112" i="181"/>
  <c r="C14" i="182"/>
  <c r="I31" i="182"/>
  <c r="Q31" i="182"/>
  <c r="C20" i="182"/>
  <c r="E28" i="182"/>
  <c r="F28" i="182"/>
  <c r="G28" i="182"/>
  <c r="C31" i="182"/>
  <c r="E31" i="182"/>
  <c r="G31" i="182"/>
  <c r="K31" i="182"/>
  <c r="M31" i="182"/>
  <c r="O31" i="182"/>
  <c r="S31" i="182"/>
  <c r="U31" i="182"/>
  <c r="E33" i="182"/>
  <c r="I33" i="182"/>
  <c r="M33" i="182"/>
  <c r="Q33" i="182"/>
  <c r="U33" i="182"/>
  <c r="H66" i="182"/>
  <c r="H67" i="182"/>
  <c r="H81" i="182"/>
  <c r="H89" i="182"/>
  <c r="H93" i="182"/>
  <c r="E111" i="182"/>
  <c r="F114" i="182"/>
  <c r="H78" i="182"/>
  <c r="F111" i="182"/>
  <c r="F78" i="182"/>
  <c r="F94" i="182"/>
  <c r="F86" i="182"/>
  <c r="F91" i="182"/>
  <c r="F74" i="182"/>
  <c r="F99" i="182"/>
  <c r="F81" i="182"/>
  <c r="F70" i="182"/>
  <c r="F104" i="182"/>
  <c r="F101" i="182"/>
  <c r="F98" i="182"/>
  <c r="F89" i="182"/>
  <c r="F83" i="182"/>
  <c r="F77" i="182"/>
  <c r="F69" i="182"/>
  <c r="F65" i="182"/>
  <c r="F60" i="182"/>
  <c r="F56" i="182"/>
  <c r="F52" i="182"/>
  <c r="F43" i="182"/>
  <c r="F39" i="182"/>
  <c r="F24" i="182"/>
  <c r="F103" i="182"/>
  <c r="F100" i="182"/>
  <c r="F96" i="182"/>
  <c r="F93" i="182"/>
  <c r="F90" i="182"/>
  <c r="F88" i="182"/>
  <c r="F85" i="182"/>
  <c r="F82" i="182"/>
  <c r="F79" i="182"/>
  <c r="F76" i="182"/>
  <c r="F72" i="182"/>
  <c r="F68" i="182"/>
  <c r="F64" i="182"/>
  <c r="F58" i="182"/>
  <c r="F55" i="182"/>
  <c r="F46" i="182"/>
  <c r="F42" i="182"/>
  <c r="F38" i="182"/>
  <c r="F57" i="182"/>
  <c r="F53" i="182"/>
  <c r="F44" i="182"/>
  <c r="F40" i="182"/>
  <c r="F32" i="182"/>
  <c r="F113" i="182"/>
  <c r="F80" i="182"/>
  <c r="F73" i="182"/>
  <c r="F67" i="182"/>
  <c r="F115" i="182"/>
  <c r="F102" i="182"/>
  <c r="F95" i="182"/>
  <c r="F92" i="182"/>
  <c r="F87" i="182"/>
  <c r="F84" i="182"/>
  <c r="F75" i="182"/>
  <c r="F71" i="182"/>
  <c r="F66" i="182"/>
  <c r="F63" i="182"/>
  <c r="F61" i="182"/>
  <c r="F54" i="182"/>
  <c r="F45" i="182"/>
  <c r="F41" i="182"/>
  <c r="F31" i="182"/>
  <c r="F23" i="182"/>
  <c r="F97" i="182"/>
  <c r="F59" i="182"/>
  <c r="F21" i="182"/>
  <c r="F37" i="182"/>
  <c r="F27" i="182"/>
  <c r="F36" i="182"/>
  <c r="H97" i="182"/>
  <c r="H59" i="182"/>
  <c r="F25" i="182"/>
  <c r="H85" i="182"/>
  <c r="H101" i="182"/>
  <c r="H62" i="182"/>
  <c r="G112" i="182"/>
  <c r="S33" i="182"/>
  <c r="C33" i="182"/>
  <c r="H21" i="182"/>
  <c r="H23" i="182"/>
  <c r="H28" i="182"/>
  <c r="H26" i="182"/>
  <c r="H32" i="182"/>
  <c r="H37" i="182"/>
  <c r="H39" i="182"/>
  <c r="H41" i="182"/>
  <c r="H43" i="182"/>
  <c r="H45" i="182"/>
  <c r="H113" i="182"/>
  <c r="H115" i="182"/>
  <c r="H27" i="182"/>
  <c r="H24" i="182"/>
  <c r="H25" i="182"/>
  <c r="H42" i="182"/>
  <c r="H40" i="182"/>
  <c r="H44" i="182"/>
  <c r="H114" i="182"/>
  <c r="H36" i="182"/>
  <c r="H46" i="182"/>
  <c r="H38" i="182"/>
  <c r="C19" i="182"/>
  <c r="O33" i="182"/>
  <c r="F33" i="182"/>
  <c r="H20" i="182"/>
  <c r="H19" i="182"/>
  <c r="H31" i="182"/>
  <c r="G33" i="182"/>
  <c r="H33" i="182"/>
  <c r="K33" i="182"/>
  <c r="F19" i="182"/>
  <c r="F26" i="182"/>
  <c r="F20" i="182"/>
  <c r="E105" i="182"/>
  <c r="F105" i="182"/>
  <c r="E112" i="182"/>
  <c r="F62" i="182"/>
  <c r="H90" i="182"/>
  <c r="H79" i="182"/>
  <c r="H58" i="182"/>
  <c r="H57" i="182"/>
  <c r="C28" i="182"/>
  <c r="D19" i="182"/>
  <c r="H100" i="182"/>
  <c r="H72" i="182"/>
  <c r="H104" i="182"/>
  <c r="H71" i="182"/>
  <c r="H102" i="182"/>
  <c r="H86" i="182"/>
  <c r="H64" i="182"/>
  <c r="H91" i="182"/>
  <c r="H74" i="182"/>
  <c r="H52" i="182"/>
  <c r="G105" i="182"/>
  <c r="H105" i="182"/>
  <c r="H69" i="182"/>
  <c r="H53" i="182"/>
  <c r="H112" i="182"/>
  <c r="I28" i="182"/>
  <c r="J19" i="182"/>
  <c r="H84" i="182"/>
  <c r="H88" i="182"/>
  <c r="H56" i="182"/>
  <c r="H94" i="182"/>
  <c r="H75" i="182"/>
  <c r="H54" i="182"/>
  <c r="H99" i="182"/>
  <c r="H83" i="182"/>
  <c r="H63" i="182"/>
  <c r="H77" i="182"/>
  <c r="H61" i="182"/>
  <c r="H76" i="182"/>
  <c r="H80" i="182"/>
  <c r="H70" i="182"/>
  <c r="H95" i="182"/>
  <c r="H73" i="182"/>
  <c r="H92" i="182"/>
  <c r="H55" i="182"/>
  <c r="H96" i="182"/>
  <c r="H60" i="182"/>
  <c r="H98" i="182"/>
  <c r="H82" i="182"/>
  <c r="G111" i="182"/>
  <c r="H103" i="182"/>
  <c r="H87" i="182"/>
  <c r="H68" i="182"/>
  <c r="H65" i="182"/>
  <c r="E107" i="182"/>
  <c r="F107" i="182"/>
  <c r="F112" i="182"/>
  <c r="E116" i="182"/>
  <c r="F116" i="182"/>
  <c r="D97" i="182"/>
  <c r="D59" i="182"/>
  <c r="D33" i="182"/>
  <c r="J97" i="182"/>
  <c r="J59" i="182"/>
  <c r="H111" i="182"/>
  <c r="G116" i="182"/>
  <c r="H116" i="182"/>
  <c r="K28" i="182"/>
  <c r="J21" i="182"/>
  <c r="J24" i="182"/>
  <c r="J25" i="182"/>
  <c r="J27" i="182"/>
  <c r="J36" i="182"/>
  <c r="J38" i="182"/>
  <c r="J40" i="182"/>
  <c r="J42" i="182"/>
  <c r="J44" i="182"/>
  <c r="J46" i="182"/>
  <c r="J114" i="182"/>
  <c r="J23" i="182"/>
  <c r="J28" i="182"/>
  <c r="J32" i="182"/>
  <c r="J39" i="182"/>
  <c r="J113" i="182"/>
  <c r="J41" i="182"/>
  <c r="J43" i="182"/>
  <c r="J115" i="182"/>
  <c r="J26" i="182"/>
  <c r="J45" i="182"/>
  <c r="J31" i="182"/>
  <c r="J37" i="182"/>
  <c r="J33" i="182"/>
  <c r="G107" i="182"/>
  <c r="H107" i="182"/>
  <c r="D23" i="182"/>
  <c r="D28" i="182"/>
  <c r="D24" i="182"/>
  <c r="D25" i="182"/>
  <c r="D27" i="182"/>
  <c r="D36" i="182"/>
  <c r="D38" i="182"/>
  <c r="D40" i="182"/>
  <c r="D42" i="182"/>
  <c r="D44" i="182"/>
  <c r="D46" i="182"/>
  <c r="D114" i="182"/>
  <c r="D32" i="182"/>
  <c r="D26" i="182"/>
  <c r="D43" i="182"/>
  <c r="D45" i="182"/>
  <c r="D37" i="182"/>
  <c r="D115" i="182"/>
  <c r="D39" i="182"/>
  <c r="D113" i="182"/>
  <c r="D21" i="182"/>
  <c r="D41" i="182"/>
  <c r="D20" i="182"/>
  <c r="D31" i="182"/>
  <c r="J20" i="182"/>
  <c r="L19" i="182"/>
  <c r="L97" i="182"/>
  <c r="L59" i="182"/>
  <c r="D75" i="182"/>
  <c r="D85" i="182"/>
  <c r="D95" i="182"/>
  <c r="D79" i="182"/>
  <c r="D100" i="182"/>
  <c r="D84" i="182"/>
  <c r="D67" i="182"/>
  <c r="D62" i="182"/>
  <c r="C112" i="182"/>
  <c r="J104" i="182"/>
  <c r="J100" i="182"/>
  <c r="J96" i="182"/>
  <c r="J92" i="182"/>
  <c r="J88" i="182"/>
  <c r="J84" i="182"/>
  <c r="J80" i="182"/>
  <c r="J72" i="182"/>
  <c r="J68" i="182"/>
  <c r="J64" i="182"/>
  <c r="J60" i="182"/>
  <c r="I105" i="182"/>
  <c r="J52" i="182"/>
  <c r="D69" i="182"/>
  <c r="D91" i="182"/>
  <c r="D52" i="182"/>
  <c r="C105" i="182"/>
  <c r="D96" i="182"/>
  <c r="D61" i="182"/>
  <c r="D74" i="182"/>
  <c r="D58" i="182"/>
  <c r="J103" i="182"/>
  <c r="J99" i="182"/>
  <c r="J95" i="182"/>
  <c r="J91" i="182"/>
  <c r="J83" i="182"/>
  <c r="J79" i="182"/>
  <c r="J75" i="182"/>
  <c r="J71" i="182"/>
  <c r="J67" i="182"/>
  <c r="J63" i="182"/>
  <c r="I111" i="182"/>
  <c r="J55" i="182"/>
  <c r="D55" i="182"/>
  <c r="D94" i="182"/>
  <c r="D90" i="182"/>
  <c r="D60" i="182"/>
  <c r="D101" i="182"/>
  <c r="D64" i="182"/>
  <c r="D103" i="182"/>
  <c r="D87" i="182"/>
  <c r="D68" i="182"/>
  <c r="D92" i="182"/>
  <c r="D56" i="182"/>
  <c r="D70" i="182"/>
  <c r="D54" i="182"/>
  <c r="D76" i="182"/>
  <c r="D71" i="182"/>
  <c r="C111" i="182"/>
  <c r="D93" i="182"/>
  <c r="D53" i="182"/>
  <c r="D99" i="182"/>
  <c r="D83" i="182"/>
  <c r="D63" i="182"/>
  <c r="D104" i="182"/>
  <c r="D88" i="182"/>
  <c r="D72" i="182"/>
  <c r="D66" i="182"/>
  <c r="J101" i="182"/>
  <c r="J93" i="182"/>
  <c r="J89" i="182"/>
  <c r="J85" i="182"/>
  <c r="J81" i="182"/>
  <c r="J77" i="182"/>
  <c r="J73" i="182"/>
  <c r="J69" i="182"/>
  <c r="J65" i="182"/>
  <c r="J61" i="182"/>
  <c r="J57" i="182"/>
  <c r="J53" i="182"/>
  <c r="D98" i="182"/>
  <c r="D102" i="182"/>
  <c r="D89" i="182"/>
  <c r="D57" i="182"/>
  <c r="D78" i="182"/>
  <c r="J76" i="182"/>
  <c r="J56" i="182"/>
  <c r="M28" i="182"/>
  <c r="N20" i="182"/>
  <c r="D82" i="182"/>
  <c r="D86" i="182"/>
  <c r="D81" i="182"/>
  <c r="D73" i="182"/>
  <c r="D80" i="182"/>
  <c r="J87" i="182"/>
  <c r="D65" i="182"/>
  <c r="D77" i="182"/>
  <c r="J102" i="182"/>
  <c r="J98" i="182"/>
  <c r="J94" i="182"/>
  <c r="J90" i="182"/>
  <c r="J86" i="182"/>
  <c r="J82" i="182"/>
  <c r="J78" i="182"/>
  <c r="J74" i="182"/>
  <c r="J70" i="182"/>
  <c r="J66" i="182"/>
  <c r="I112" i="182"/>
  <c r="J62" i="182"/>
  <c r="J58" i="182"/>
  <c r="J54" i="182"/>
  <c r="L23" i="182"/>
  <c r="L21" i="182"/>
  <c r="L24" i="182"/>
  <c r="L28" i="182"/>
  <c r="L25" i="182"/>
  <c r="L27" i="182"/>
  <c r="L36" i="182"/>
  <c r="L38" i="182"/>
  <c r="L40" i="182"/>
  <c r="L42" i="182"/>
  <c r="L44" i="182"/>
  <c r="L46" i="182"/>
  <c r="L114" i="182"/>
  <c r="L26" i="182"/>
  <c r="L41" i="182"/>
  <c r="L37" i="182"/>
  <c r="L39" i="182"/>
  <c r="L115" i="182"/>
  <c r="L113" i="182"/>
  <c r="L45" i="182"/>
  <c r="L32" i="182"/>
  <c r="L43" i="182"/>
  <c r="L31" i="182"/>
  <c r="L33" i="182"/>
  <c r="L20" i="182"/>
  <c r="N19" i="182"/>
  <c r="N97" i="182"/>
  <c r="N59" i="182"/>
  <c r="L103" i="182"/>
  <c r="L70" i="182"/>
  <c r="L74" i="182"/>
  <c r="L81" i="182"/>
  <c r="L62" i="182"/>
  <c r="K112" i="182"/>
  <c r="L63" i="182"/>
  <c r="L102" i="182"/>
  <c r="L94" i="182"/>
  <c r="L69" i="182"/>
  <c r="L79" i="182"/>
  <c r="L52" i="182"/>
  <c r="K105" i="182"/>
  <c r="L83" i="182"/>
  <c r="L96" i="182"/>
  <c r="L80" i="182"/>
  <c r="L58" i="182"/>
  <c r="L101" i="182"/>
  <c r="L85" i="182"/>
  <c r="L76" i="182"/>
  <c r="L67" i="182"/>
  <c r="N23" i="182"/>
  <c r="N26" i="182"/>
  <c r="N32" i="182"/>
  <c r="N37" i="182"/>
  <c r="N39" i="182"/>
  <c r="N41" i="182"/>
  <c r="N43" i="182"/>
  <c r="N45" i="182"/>
  <c r="N113" i="182"/>
  <c r="N115" i="182"/>
  <c r="N21" i="182"/>
  <c r="N24" i="182"/>
  <c r="N28" i="182"/>
  <c r="N31" i="182"/>
  <c r="N36" i="182"/>
  <c r="N44" i="182"/>
  <c r="N38" i="182"/>
  <c r="N25" i="182"/>
  <c r="N40" i="182"/>
  <c r="N42" i="182"/>
  <c r="N114" i="182"/>
  <c r="N46" i="182"/>
  <c r="N27" i="182"/>
  <c r="N33" i="182"/>
  <c r="D105" i="182"/>
  <c r="C107" i="182"/>
  <c r="D107" i="182"/>
  <c r="J105" i="182"/>
  <c r="I107" i="182"/>
  <c r="J107" i="182"/>
  <c r="D112" i="182"/>
  <c r="L98" i="182"/>
  <c r="J112" i="182"/>
  <c r="L66" i="182"/>
  <c r="D111" i="182"/>
  <c r="C116" i="182"/>
  <c r="D116" i="182"/>
  <c r="J111" i="182"/>
  <c r="I116" i="182"/>
  <c r="J116" i="182"/>
  <c r="L53" i="182"/>
  <c r="L68" i="182"/>
  <c r="L92" i="182"/>
  <c r="L57" i="182"/>
  <c r="L86" i="182"/>
  <c r="L95" i="182"/>
  <c r="L99" i="182"/>
  <c r="L65" i="182"/>
  <c r="L104" i="182"/>
  <c r="L88" i="182"/>
  <c r="L73" i="182"/>
  <c r="L56" i="182"/>
  <c r="L93" i="182"/>
  <c r="L78" i="182"/>
  <c r="L61" i="182"/>
  <c r="L75" i="182"/>
  <c r="K111" i="182"/>
  <c r="L82" i="182"/>
  <c r="L90" i="182"/>
  <c r="L87" i="182"/>
  <c r="L64" i="182"/>
  <c r="L91" i="182"/>
  <c r="L54" i="182"/>
  <c r="L100" i="182"/>
  <c r="L84" i="182"/>
  <c r="L72" i="182"/>
  <c r="L89" i="182"/>
  <c r="L77" i="182"/>
  <c r="L60" i="182"/>
  <c r="L71" i="182"/>
  <c r="L55" i="182"/>
  <c r="O28" i="182"/>
  <c r="P19" i="182"/>
  <c r="P97" i="182"/>
  <c r="P59" i="182"/>
  <c r="N104" i="182"/>
  <c r="N100" i="182"/>
  <c r="N96" i="182"/>
  <c r="N92" i="182"/>
  <c r="N88" i="182"/>
  <c r="N84" i="182"/>
  <c r="N80" i="182"/>
  <c r="N76" i="182"/>
  <c r="N72" i="182"/>
  <c r="N68" i="182"/>
  <c r="N64" i="182"/>
  <c r="N60" i="182"/>
  <c r="N56" i="182"/>
  <c r="M105" i="182"/>
  <c r="N52" i="182"/>
  <c r="N102" i="182"/>
  <c r="N98" i="182"/>
  <c r="N94" i="182"/>
  <c r="N90" i="182"/>
  <c r="N86" i="182"/>
  <c r="N82" i="182"/>
  <c r="N78" i="182"/>
  <c r="N74" i="182"/>
  <c r="N70" i="182"/>
  <c r="N66" i="182"/>
  <c r="M112" i="182"/>
  <c r="N62" i="182"/>
  <c r="N58" i="182"/>
  <c r="N54" i="182"/>
  <c r="L105" i="182"/>
  <c r="K107" i="182"/>
  <c r="L107" i="182"/>
  <c r="L112" i="182"/>
  <c r="P21" i="182"/>
  <c r="P28" i="182"/>
  <c r="P26" i="182"/>
  <c r="P32" i="182"/>
  <c r="P37" i="182"/>
  <c r="P39" i="182"/>
  <c r="P41" i="182"/>
  <c r="P43" i="182"/>
  <c r="P45" i="182"/>
  <c r="P113" i="182"/>
  <c r="P115" i="182"/>
  <c r="P25" i="182"/>
  <c r="P27" i="182"/>
  <c r="P38" i="182"/>
  <c r="P46" i="182"/>
  <c r="P23" i="182"/>
  <c r="P24" i="182"/>
  <c r="P40" i="182"/>
  <c r="P44" i="182"/>
  <c r="P114" i="182"/>
  <c r="P42" i="182"/>
  <c r="P36" i="182"/>
  <c r="P31" i="182"/>
  <c r="P33" i="182"/>
  <c r="L111" i="182"/>
  <c r="K116" i="182"/>
  <c r="L116" i="182"/>
  <c r="N101" i="182"/>
  <c r="N93" i="182"/>
  <c r="N89" i="182"/>
  <c r="N85" i="182"/>
  <c r="N81" i="182"/>
  <c r="N77" i="182"/>
  <c r="N73" i="182"/>
  <c r="N69" i="182"/>
  <c r="N65" i="182"/>
  <c r="N61" i="182"/>
  <c r="N57" i="182"/>
  <c r="N53" i="182"/>
  <c r="Q28" i="182"/>
  <c r="R19" i="182"/>
  <c r="N103" i="182"/>
  <c r="N99" i="182"/>
  <c r="N95" i="182"/>
  <c r="N91" i="182"/>
  <c r="N87" i="182"/>
  <c r="N83" i="182"/>
  <c r="N79" i="182"/>
  <c r="N75" i="182"/>
  <c r="N71" i="182"/>
  <c r="N67" i="182"/>
  <c r="N63" i="182"/>
  <c r="M111" i="182"/>
  <c r="N55" i="182"/>
  <c r="P20" i="182"/>
  <c r="R97" i="182"/>
  <c r="R59" i="182"/>
  <c r="R20" i="182"/>
  <c r="P63" i="182"/>
  <c r="P68" i="182"/>
  <c r="P80" i="182"/>
  <c r="P56" i="182"/>
  <c r="P104" i="182"/>
  <c r="P78" i="182"/>
  <c r="P100" i="182"/>
  <c r="P90" i="182"/>
  <c r="P71" i="182"/>
  <c r="P95" i="182"/>
  <c r="P79" i="182"/>
  <c r="O111" i="182"/>
  <c r="P69" i="182"/>
  <c r="P53" i="182"/>
  <c r="N105" i="182"/>
  <c r="M107" i="182"/>
  <c r="N107" i="182"/>
  <c r="P81" i="182"/>
  <c r="P85" i="182"/>
  <c r="P89" i="182"/>
  <c r="P96" i="182"/>
  <c r="P58" i="182"/>
  <c r="P92" i="182"/>
  <c r="P62" i="182"/>
  <c r="O112" i="182"/>
  <c r="P102" i="182"/>
  <c r="P86" i="182"/>
  <c r="P66" i="182"/>
  <c r="P91" i="182"/>
  <c r="P75" i="182"/>
  <c r="P54" i="182"/>
  <c r="P65" i="182"/>
  <c r="N112" i="182"/>
  <c r="S28" i="182"/>
  <c r="P74" i="182"/>
  <c r="P94" i="182"/>
  <c r="P76" i="182"/>
  <c r="P55" i="182"/>
  <c r="P99" i="182"/>
  <c r="P83" i="182"/>
  <c r="P64" i="182"/>
  <c r="P73" i="182"/>
  <c r="P57" i="182"/>
  <c r="P101" i="182"/>
  <c r="P67" i="182"/>
  <c r="M116" i="182"/>
  <c r="N116" i="182"/>
  <c r="N111" i="182"/>
  <c r="R21" i="182"/>
  <c r="R24" i="182"/>
  <c r="R25" i="182"/>
  <c r="R27" i="182"/>
  <c r="R36" i="182"/>
  <c r="R38" i="182"/>
  <c r="R40" i="182"/>
  <c r="R42" i="182"/>
  <c r="R44" i="182"/>
  <c r="R46" i="182"/>
  <c r="R114" i="182"/>
  <c r="R23" i="182"/>
  <c r="R28" i="182"/>
  <c r="R32" i="182"/>
  <c r="R43" i="182"/>
  <c r="R26" i="182"/>
  <c r="R45" i="182"/>
  <c r="R37" i="182"/>
  <c r="R39" i="182"/>
  <c r="R115" i="182"/>
  <c r="R113" i="182"/>
  <c r="R41" i="182"/>
  <c r="R33" i="182"/>
  <c r="R31" i="182"/>
  <c r="P52" i="182"/>
  <c r="O105" i="182"/>
  <c r="P93" i="182"/>
  <c r="P72" i="182"/>
  <c r="P88" i="182"/>
  <c r="P84" i="182"/>
  <c r="P98" i="182"/>
  <c r="P82" i="182"/>
  <c r="P60" i="182"/>
  <c r="P103" i="182"/>
  <c r="P87" i="182"/>
  <c r="P70" i="182"/>
  <c r="P77" i="182"/>
  <c r="P61" i="182"/>
  <c r="T20" i="182"/>
  <c r="T97" i="182"/>
  <c r="T59" i="182"/>
  <c r="R103" i="182"/>
  <c r="R99" i="182"/>
  <c r="R95" i="182"/>
  <c r="R91" i="182"/>
  <c r="R87" i="182"/>
  <c r="R83" i="182"/>
  <c r="R79" i="182"/>
  <c r="R75" i="182"/>
  <c r="R71" i="182"/>
  <c r="R67" i="182"/>
  <c r="R63" i="182"/>
  <c r="Q111" i="182"/>
  <c r="R55" i="182"/>
  <c r="R102" i="182"/>
  <c r="R94" i="182"/>
  <c r="R78" i="182"/>
  <c r="P111" i="182"/>
  <c r="O116" i="182"/>
  <c r="P116" i="182"/>
  <c r="P105" i="182"/>
  <c r="O107" i="182"/>
  <c r="P107" i="182"/>
  <c r="R104" i="182"/>
  <c r="R100" i="182"/>
  <c r="R96" i="182"/>
  <c r="R92" i="182"/>
  <c r="R88" i="182"/>
  <c r="R84" i="182"/>
  <c r="R80" i="182"/>
  <c r="R76" i="182"/>
  <c r="R72" i="182"/>
  <c r="R68" i="182"/>
  <c r="R64" i="182"/>
  <c r="R60" i="182"/>
  <c r="R56" i="182"/>
  <c r="Q105" i="182"/>
  <c r="R52" i="182"/>
  <c r="T23" i="182"/>
  <c r="T28" i="182"/>
  <c r="T25" i="182"/>
  <c r="T27" i="182"/>
  <c r="T36" i="182"/>
  <c r="T38" i="182"/>
  <c r="T40" i="182"/>
  <c r="T42" i="182"/>
  <c r="T44" i="182"/>
  <c r="T46" i="182"/>
  <c r="T114" i="182"/>
  <c r="T24" i="182"/>
  <c r="T26" i="182"/>
  <c r="T37" i="182"/>
  <c r="T45" i="182"/>
  <c r="T21" i="182"/>
  <c r="T41" i="182"/>
  <c r="T39" i="182"/>
  <c r="T43" i="182"/>
  <c r="T32" i="182"/>
  <c r="T115" i="182"/>
  <c r="T113" i="182"/>
  <c r="T31" i="182"/>
  <c r="T33" i="182"/>
  <c r="P112" i="182"/>
  <c r="R98" i="182"/>
  <c r="R90" i="182"/>
  <c r="R86" i="182"/>
  <c r="R82" i="182"/>
  <c r="R74" i="182"/>
  <c r="R70" i="182"/>
  <c r="R66" i="182"/>
  <c r="Q112" i="182"/>
  <c r="R62" i="182"/>
  <c r="R58" i="182"/>
  <c r="R54" i="182"/>
  <c r="T19" i="182"/>
  <c r="R101" i="182"/>
  <c r="R93" i="182"/>
  <c r="R89" i="182"/>
  <c r="R85" i="182"/>
  <c r="R81" i="182"/>
  <c r="R77" i="182"/>
  <c r="R73" i="182"/>
  <c r="R69" i="182"/>
  <c r="R65" i="182"/>
  <c r="R61" i="182"/>
  <c r="R57" i="182"/>
  <c r="R53" i="182"/>
  <c r="U28" i="182"/>
  <c r="V59" i="182"/>
  <c r="V20" i="182"/>
  <c r="T98" i="182"/>
  <c r="T99" i="182"/>
  <c r="T87" i="182"/>
  <c r="T104" i="182"/>
  <c r="T88" i="182"/>
  <c r="T69" i="182"/>
  <c r="T52" i="182"/>
  <c r="S105" i="182"/>
  <c r="T89" i="182"/>
  <c r="T73" i="182"/>
  <c r="T56" i="182"/>
  <c r="T67" i="182"/>
  <c r="V23" i="182"/>
  <c r="V24" i="182"/>
  <c r="V26" i="182"/>
  <c r="V32" i="182"/>
  <c r="V37" i="182"/>
  <c r="V39" i="182"/>
  <c r="V41" i="182"/>
  <c r="V43" i="182"/>
  <c r="V45" i="182"/>
  <c r="V113" i="182"/>
  <c r="V115" i="182"/>
  <c r="V21" i="182"/>
  <c r="V28" i="182"/>
  <c r="V40" i="182"/>
  <c r="V31" i="182"/>
  <c r="V36" i="182"/>
  <c r="V46" i="182"/>
  <c r="V114" i="182"/>
  <c r="V38" i="182"/>
  <c r="V25" i="182"/>
  <c r="V27" i="182"/>
  <c r="V42" i="182"/>
  <c r="V44" i="182"/>
  <c r="V33" i="182"/>
  <c r="T78" i="182"/>
  <c r="T82" i="182"/>
  <c r="T102" i="182"/>
  <c r="T79" i="182"/>
  <c r="T100" i="182"/>
  <c r="T68" i="182"/>
  <c r="T101" i="182"/>
  <c r="T85" i="182"/>
  <c r="T72" i="182"/>
  <c r="T63" i="182"/>
  <c r="R105" i="182"/>
  <c r="Q107" i="182"/>
  <c r="R107" i="182"/>
  <c r="R111" i="182"/>
  <c r="Q116" i="182"/>
  <c r="R116" i="182"/>
  <c r="V19" i="182"/>
  <c r="T66" i="182"/>
  <c r="T62" i="182"/>
  <c r="S112" i="182"/>
  <c r="T64" i="182"/>
  <c r="T86" i="182"/>
  <c r="T83" i="182"/>
  <c r="T103" i="182"/>
  <c r="T61" i="182"/>
  <c r="T96" i="182"/>
  <c r="T80" i="182"/>
  <c r="T54" i="182"/>
  <c r="T81" i="182"/>
  <c r="T58" i="182"/>
  <c r="T75" i="182"/>
  <c r="S111" i="182"/>
  <c r="R112" i="182"/>
  <c r="T94" i="182"/>
  <c r="T76" i="182"/>
  <c r="T91" i="182"/>
  <c r="T84" i="182"/>
  <c r="T65" i="182"/>
  <c r="T90" i="182"/>
  <c r="T60" i="182"/>
  <c r="T77" i="182"/>
  <c r="T95" i="182"/>
  <c r="T92" i="182"/>
  <c r="T70" i="182"/>
  <c r="T53" i="182"/>
  <c r="T93" i="182"/>
  <c r="T74" i="182"/>
  <c r="T57" i="182"/>
  <c r="T71" i="182"/>
  <c r="T55" i="182"/>
  <c r="V104" i="182"/>
  <c r="V101" i="182"/>
  <c r="V97" i="182"/>
  <c r="V93" i="182"/>
  <c r="V89" i="182"/>
  <c r="V85" i="182"/>
  <c r="V81" i="182"/>
  <c r="V77" i="182"/>
  <c r="V73" i="182"/>
  <c r="V69" i="182"/>
  <c r="V65" i="182"/>
  <c r="V61" i="182"/>
  <c r="V57" i="182"/>
  <c r="V53" i="182"/>
  <c r="V96" i="182"/>
  <c r="V88" i="182"/>
  <c r="V80" i="182"/>
  <c r="V72" i="182"/>
  <c r="T111" i="182"/>
  <c r="S116" i="182"/>
  <c r="T116" i="182"/>
  <c r="V103" i="182"/>
  <c r="V99" i="182"/>
  <c r="V95" i="182"/>
  <c r="V91" i="182"/>
  <c r="V87" i="182"/>
  <c r="V83" i="182"/>
  <c r="V79" i="182"/>
  <c r="V75" i="182"/>
  <c r="V71" i="182"/>
  <c r="V67" i="182"/>
  <c r="V63" i="182"/>
  <c r="U111" i="182"/>
  <c r="V55" i="182"/>
  <c r="T105" i="182"/>
  <c r="S107" i="182"/>
  <c r="T107" i="182"/>
  <c r="T112" i="182"/>
  <c r="V100" i="182"/>
  <c r="V92" i="182"/>
  <c r="V84" i="182"/>
  <c r="V76" i="182"/>
  <c r="V68" i="182"/>
  <c r="V64" i="182"/>
  <c r="V60" i="182"/>
  <c r="V56" i="182"/>
  <c r="U105" i="182"/>
  <c r="V52" i="182"/>
  <c r="V102" i="182"/>
  <c r="V98" i="182"/>
  <c r="V94" i="182"/>
  <c r="V90" i="182"/>
  <c r="V86" i="182"/>
  <c r="V82" i="182"/>
  <c r="V78" i="182"/>
  <c r="V74" i="182"/>
  <c r="V70" i="182"/>
  <c r="V66" i="182"/>
  <c r="U112" i="182"/>
  <c r="V62" i="182"/>
  <c r="V58" i="182"/>
  <c r="V54" i="182"/>
  <c r="V105" i="182"/>
  <c r="U107" i="182"/>
  <c r="V107" i="182"/>
  <c r="V112" i="182"/>
  <c r="U116" i="182"/>
  <c r="V116" i="182"/>
  <c r="V111" i="182"/>
  <c r="C31" i="183"/>
  <c r="C33" i="183"/>
  <c r="K31" i="183"/>
  <c r="M31" i="183"/>
  <c r="U31" i="183"/>
  <c r="G31" i="183"/>
  <c r="G33" i="183"/>
  <c r="I31" i="183"/>
  <c r="I33" i="183"/>
  <c r="O31" i="183"/>
  <c r="Q31" i="183"/>
  <c r="Q33" i="183"/>
  <c r="S31" i="183"/>
  <c r="U33" i="183"/>
  <c r="M33" i="183"/>
  <c r="S33" i="183"/>
  <c r="O33" i="183"/>
  <c r="K33" i="183"/>
  <c r="E31" i="183"/>
  <c r="E19" i="183"/>
  <c r="D19" i="183"/>
  <c r="E28" i="183"/>
  <c r="E33" i="183"/>
  <c r="G20" i="183"/>
  <c r="G19" i="183"/>
  <c r="F96" i="183"/>
  <c r="F91" i="183"/>
  <c r="F84" i="183"/>
  <c r="F80" i="183"/>
  <c r="F72" i="183"/>
  <c r="F61" i="183"/>
  <c r="F52" i="183"/>
  <c r="F97" i="183"/>
  <c r="F95" i="183"/>
  <c r="F89" i="183"/>
  <c r="F83" i="183"/>
  <c r="F79" i="183"/>
  <c r="F71" i="183"/>
  <c r="F60" i="183"/>
  <c r="F93" i="183"/>
  <c r="F62" i="183"/>
  <c r="F69" i="183"/>
  <c r="F94" i="183"/>
  <c r="F87" i="183"/>
  <c r="F82" i="183"/>
  <c r="F53" i="183"/>
  <c r="F85" i="183"/>
  <c r="F81" i="183"/>
  <c r="F73" i="183"/>
  <c r="F57" i="183"/>
  <c r="F74" i="183"/>
  <c r="F58" i="183"/>
  <c r="F59" i="183"/>
  <c r="F20" i="183"/>
  <c r="F31" i="183"/>
  <c r="F19" i="183"/>
  <c r="F33" i="183"/>
  <c r="G28" i="183"/>
  <c r="H59" i="183"/>
  <c r="D21" i="183"/>
  <c r="D24" i="183"/>
  <c r="D26" i="183"/>
  <c r="D32" i="183"/>
  <c r="D37" i="183"/>
  <c r="D39" i="183"/>
  <c r="D41" i="183"/>
  <c r="D43" i="183"/>
  <c r="D45" i="183"/>
  <c r="D113" i="183"/>
  <c r="D115" i="183"/>
  <c r="D28" i="183"/>
  <c r="D114" i="183"/>
  <c r="D23" i="183"/>
  <c r="D25" i="183"/>
  <c r="D27" i="183"/>
  <c r="D36" i="183"/>
  <c r="D38" i="183"/>
  <c r="D40" i="183"/>
  <c r="D42" i="183"/>
  <c r="D44" i="183"/>
  <c r="D46" i="183"/>
  <c r="D33" i="183"/>
  <c r="D31" i="183"/>
  <c r="D20" i="183"/>
  <c r="I20" i="183"/>
  <c r="I19" i="183"/>
  <c r="F27" i="183"/>
  <c r="F36" i="183"/>
  <c r="F40" i="183"/>
  <c r="F44" i="183"/>
  <c r="F21" i="183"/>
  <c r="F24" i="183"/>
  <c r="F26" i="183"/>
  <c r="F32" i="183"/>
  <c r="F37" i="183"/>
  <c r="F39" i="183"/>
  <c r="F41" i="183"/>
  <c r="F43" i="183"/>
  <c r="F45" i="183"/>
  <c r="F113" i="183"/>
  <c r="F115" i="183"/>
  <c r="F25" i="183"/>
  <c r="F38" i="183"/>
  <c r="F23" i="183"/>
  <c r="F28" i="183"/>
  <c r="F42" i="183"/>
  <c r="F46" i="183"/>
  <c r="F114" i="183"/>
  <c r="H20" i="183"/>
  <c r="H95" i="183"/>
  <c r="H89" i="183"/>
  <c r="H83" i="183"/>
  <c r="H79" i="183"/>
  <c r="H71" i="183"/>
  <c r="H60" i="183"/>
  <c r="H58" i="183"/>
  <c r="H94" i="183"/>
  <c r="H87" i="183"/>
  <c r="H82" i="183"/>
  <c r="H53" i="183"/>
  <c r="H52" i="183"/>
  <c r="H69" i="183"/>
  <c r="H96" i="183"/>
  <c r="H91" i="183"/>
  <c r="H84" i="183"/>
  <c r="H80" i="183"/>
  <c r="H93" i="183"/>
  <c r="H85" i="183"/>
  <c r="H81" i="183"/>
  <c r="H73" i="183"/>
  <c r="H72" i="183"/>
  <c r="H62" i="183"/>
  <c r="H61" i="183"/>
  <c r="H57" i="183"/>
  <c r="H74" i="183"/>
  <c r="H97" i="183"/>
  <c r="H19" i="183"/>
  <c r="C112" i="183"/>
  <c r="I28" i="183"/>
  <c r="J59" i="183"/>
  <c r="C111" i="183"/>
  <c r="E111" i="183"/>
  <c r="E112" i="183"/>
  <c r="K20" i="183"/>
  <c r="K19" i="183"/>
  <c r="H23" i="183"/>
  <c r="H25" i="183"/>
  <c r="H27" i="183"/>
  <c r="H36" i="183"/>
  <c r="H38" i="183"/>
  <c r="H40" i="183"/>
  <c r="H42" i="183"/>
  <c r="H44" i="183"/>
  <c r="H46" i="183"/>
  <c r="H114" i="183"/>
  <c r="H33" i="183"/>
  <c r="H28" i="183"/>
  <c r="H115" i="183"/>
  <c r="H21" i="183"/>
  <c r="H24" i="183"/>
  <c r="H26" i="183"/>
  <c r="H32" i="183"/>
  <c r="H37" i="183"/>
  <c r="H39" i="183"/>
  <c r="H41" i="183"/>
  <c r="H43" i="183"/>
  <c r="H45" i="183"/>
  <c r="H113" i="183"/>
  <c r="H31" i="183"/>
  <c r="J94" i="183"/>
  <c r="J87" i="183"/>
  <c r="J82" i="183"/>
  <c r="J74" i="183"/>
  <c r="J69" i="183"/>
  <c r="J57" i="183"/>
  <c r="J93" i="183"/>
  <c r="J85" i="183"/>
  <c r="J81" i="183"/>
  <c r="J95" i="183"/>
  <c r="J89" i="183"/>
  <c r="J83" i="183"/>
  <c r="J79" i="183"/>
  <c r="J73" i="183"/>
  <c r="J72" i="183"/>
  <c r="J62" i="183"/>
  <c r="J61" i="183"/>
  <c r="J96" i="183"/>
  <c r="J84" i="183"/>
  <c r="J80" i="183"/>
  <c r="J71" i="183"/>
  <c r="J60" i="183"/>
  <c r="J91" i="183"/>
  <c r="J58" i="183"/>
  <c r="J53" i="183"/>
  <c r="J52" i="183"/>
  <c r="J97" i="183"/>
  <c r="J20" i="183"/>
  <c r="J21" i="183"/>
  <c r="J31" i="183"/>
  <c r="J32" i="183"/>
  <c r="J37" i="183"/>
  <c r="J45" i="183"/>
  <c r="J113" i="183"/>
  <c r="J23" i="183"/>
  <c r="J25" i="183"/>
  <c r="J27" i="183"/>
  <c r="J36" i="183"/>
  <c r="J38" i="183"/>
  <c r="J40" i="183"/>
  <c r="J42" i="183"/>
  <c r="J44" i="183"/>
  <c r="J46" i="183"/>
  <c r="J114" i="183"/>
  <c r="J26" i="183"/>
  <c r="J28" i="183"/>
  <c r="J39" i="183"/>
  <c r="J41" i="183"/>
  <c r="J24" i="183"/>
  <c r="J43" i="183"/>
  <c r="J115" i="183"/>
  <c r="J33" i="183"/>
  <c r="M20" i="183"/>
  <c r="M19" i="183"/>
  <c r="K28" i="183"/>
  <c r="F112" i="183"/>
  <c r="D112" i="183"/>
  <c r="G111" i="183"/>
  <c r="E116" i="183"/>
  <c r="F116" i="183"/>
  <c r="F111" i="183"/>
  <c r="G112" i="183"/>
  <c r="D111" i="183"/>
  <c r="C116" i="183"/>
  <c r="D116" i="183"/>
  <c r="J19" i="183"/>
  <c r="L93" i="183"/>
  <c r="L85" i="183"/>
  <c r="L81" i="183"/>
  <c r="L73" i="183"/>
  <c r="L62" i="183"/>
  <c r="L53" i="183"/>
  <c r="L96" i="183"/>
  <c r="L91" i="183"/>
  <c r="L84" i="183"/>
  <c r="L80" i="183"/>
  <c r="L94" i="183"/>
  <c r="L87" i="183"/>
  <c r="L82" i="183"/>
  <c r="L57" i="183"/>
  <c r="L71" i="183"/>
  <c r="L52" i="183"/>
  <c r="L72" i="183"/>
  <c r="L61" i="183"/>
  <c r="L74" i="183"/>
  <c r="L69" i="183"/>
  <c r="L58" i="183"/>
  <c r="L60" i="183"/>
  <c r="L95" i="183"/>
  <c r="L89" i="183"/>
  <c r="L83" i="183"/>
  <c r="L79" i="183"/>
  <c r="L97" i="183"/>
  <c r="L59" i="183"/>
  <c r="L20" i="183"/>
  <c r="H111" i="183"/>
  <c r="G116" i="183"/>
  <c r="H116" i="183"/>
  <c r="M28" i="183"/>
  <c r="N20" i="183"/>
  <c r="O20" i="183"/>
  <c r="O19" i="183"/>
  <c r="H112" i="183"/>
  <c r="L19" i="183"/>
  <c r="I111" i="183"/>
  <c r="L21" i="183"/>
  <c r="L24" i="183"/>
  <c r="L26" i="183"/>
  <c r="L32" i="183"/>
  <c r="L37" i="183"/>
  <c r="L39" i="183"/>
  <c r="L41" i="183"/>
  <c r="L43" i="183"/>
  <c r="L45" i="183"/>
  <c r="L113" i="183"/>
  <c r="L115" i="183"/>
  <c r="L28" i="183"/>
  <c r="L23" i="183"/>
  <c r="L25" i="183"/>
  <c r="L27" i="183"/>
  <c r="L36" i="183"/>
  <c r="L38" i="183"/>
  <c r="L40" i="183"/>
  <c r="L42" i="183"/>
  <c r="L44" i="183"/>
  <c r="L46" i="183"/>
  <c r="L114" i="183"/>
  <c r="L31" i="183"/>
  <c r="L33" i="183"/>
  <c r="I112" i="183"/>
  <c r="N59" i="183"/>
  <c r="N96" i="183"/>
  <c r="N91" i="183"/>
  <c r="N84" i="183"/>
  <c r="N80" i="183"/>
  <c r="N72" i="183"/>
  <c r="N61" i="183"/>
  <c r="N52" i="183"/>
  <c r="N95" i="183"/>
  <c r="N89" i="183"/>
  <c r="N83" i="183"/>
  <c r="N79" i="183"/>
  <c r="N93" i="183"/>
  <c r="N85" i="183"/>
  <c r="N81" i="183"/>
  <c r="N74" i="183"/>
  <c r="N69" i="183"/>
  <c r="N58" i="183"/>
  <c r="N53" i="183"/>
  <c r="N94" i="183"/>
  <c r="N87" i="183"/>
  <c r="N82" i="183"/>
  <c r="N73" i="183"/>
  <c r="N57" i="183"/>
  <c r="N71" i="183"/>
  <c r="N60" i="183"/>
  <c r="N62" i="183"/>
  <c r="N97" i="183"/>
  <c r="N19" i="183"/>
  <c r="I116" i="183"/>
  <c r="J116" i="183"/>
  <c r="J111" i="183"/>
  <c r="Q20" i="183"/>
  <c r="Q19" i="183"/>
  <c r="O28" i="183"/>
  <c r="J112" i="183"/>
  <c r="K111" i="183"/>
  <c r="K112" i="183"/>
  <c r="N23" i="183"/>
  <c r="N28" i="183"/>
  <c r="N21" i="183"/>
  <c r="N24" i="183"/>
  <c r="N26" i="183"/>
  <c r="N32" i="183"/>
  <c r="N37" i="183"/>
  <c r="N39" i="183"/>
  <c r="N41" i="183"/>
  <c r="N43" i="183"/>
  <c r="N45" i="183"/>
  <c r="N113" i="183"/>
  <c r="N115" i="183"/>
  <c r="N27" i="183"/>
  <c r="N36" i="183"/>
  <c r="N40" i="183"/>
  <c r="N42" i="183"/>
  <c r="N46" i="183"/>
  <c r="N114" i="183"/>
  <c r="N25" i="183"/>
  <c r="N38" i="183"/>
  <c r="N44" i="183"/>
  <c r="N31" i="183"/>
  <c r="N33" i="183"/>
  <c r="P19" i="183"/>
  <c r="P95" i="183"/>
  <c r="P89" i="183"/>
  <c r="P83" i="183"/>
  <c r="P79" i="183"/>
  <c r="P71" i="183"/>
  <c r="P60" i="183"/>
  <c r="P58" i="183"/>
  <c r="P94" i="183"/>
  <c r="P87" i="183"/>
  <c r="P82" i="183"/>
  <c r="P73" i="183"/>
  <c r="P72" i="183"/>
  <c r="P57" i="183"/>
  <c r="P74" i="183"/>
  <c r="P96" i="183"/>
  <c r="P91" i="183"/>
  <c r="P84" i="183"/>
  <c r="P80" i="183"/>
  <c r="P53" i="183"/>
  <c r="P52" i="183"/>
  <c r="P62" i="183"/>
  <c r="P61" i="183"/>
  <c r="P93" i="183"/>
  <c r="P85" i="183"/>
  <c r="P81" i="183"/>
  <c r="P69" i="183"/>
  <c r="P97" i="183"/>
  <c r="P59" i="183"/>
  <c r="P20" i="183"/>
  <c r="P23" i="183"/>
  <c r="P25" i="183"/>
  <c r="P27" i="183"/>
  <c r="P36" i="183"/>
  <c r="P38" i="183"/>
  <c r="P40" i="183"/>
  <c r="P42" i="183"/>
  <c r="P44" i="183"/>
  <c r="P46" i="183"/>
  <c r="P114" i="183"/>
  <c r="P28" i="183"/>
  <c r="P113" i="183"/>
  <c r="P21" i="183"/>
  <c r="P24" i="183"/>
  <c r="P26" i="183"/>
  <c r="P32" i="183"/>
  <c r="P37" i="183"/>
  <c r="P39" i="183"/>
  <c r="P41" i="183"/>
  <c r="P43" i="183"/>
  <c r="P45" i="183"/>
  <c r="P115" i="183"/>
  <c r="P31" i="183"/>
  <c r="P33" i="183"/>
  <c r="L112" i="183"/>
  <c r="M112" i="183"/>
  <c r="M111" i="183"/>
  <c r="L111" i="183"/>
  <c r="K116" i="183"/>
  <c r="L116" i="183"/>
  <c r="Q28" i="183"/>
  <c r="S20" i="183"/>
  <c r="S19" i="183"/>
  <c r="R94" i="183"/>
  <c r="R87" i="183"/>
  <c r="R82" i="183"/>
  <c r="R74" i="183"/>
  <c r="R69" i="183"/>
  <c r="R57" i="183"/>
  <c r="R93" i="183"/>
  <c r="R85" i="183"/>
  <c r="R81" i="183"/>
  <c r="R96" i="183"/>
  <c r="R91" i="183"/>
  <c r="R84" i="183"/>
  <c r="R80" i="183"/>
  <c r="R71" i="183"/>
  <c r="R60" i="183"/>
  <c r="R53" i="183"/>
  <c r="R52" i="183"/>
  <c r="R89" i="183"/>
  <c r="R73" i="183"/>
  <c r="R72" i="183"/>
  <c r="R62" i="183"/>
  <c r="R61" i="183"/>
  <c r="R95" i="183"/>
  <c r="R83" i="183"/>
  <c r="R79" i="183"/>
  <c r="R58" i="183"/>
  <c r="R97" i="183"/>
  <c r="R59" i="183"/>
  <c r="R24" i="183"/>
  <c r="R41" i="183"/>
  <c r="R23" i="183"/>
  <c r="R25" i="183"/>
  <c r="R27" i="183"/>
  <c r="R36" i="183"/>
  <c r="R38" i="183"/>
  <c r="R40" i="183"/>
  <c r="R42" i="183"/>
  <c r="R44" i="183"/>
  <c r="R46" i="183"/>
  <c r="R114" i="183"/>
  <c r="R21" i="183"/>
  <c r="R31" i="183"/>
  <c r="R32" i="183"/>
  <c r="R37" i="183"/>
  <c r="R43" i="183"/>
  <c r="R45" i="183"/>
  <c r="R113" i="183"/>
  <c r="R115" i="183"/>
  <c r="R26" i="183"/>
  <c r="R28" i="183"/>
  <c r="R39" i="183"/>
  <c r="R33" i="183"/>
  <c r="R20" i="183"/>
  <c r="R19" i="183"/>
  <c r="N112" i="183"/>
  <c r="O111" i="183"/>
  <c r="U20" i="183"/>
  <c r="U19" i="183"/>
  <c r="S28" i="183"/>
  <c r="M116" i="183"/>
  <c r="N116" i="183"/>
  <c r="N111" i="183"/>
  <c r="O112" i="183"/>
  <c r="T93" i="183"/>
  <c r="T85" i="183"/>
  <c r="T81" i="183"/>
  <c r="T73" i="183"/>
  <c r="T62" i="183"/>
  <c r="T53" i="183"/>
  <c r="T96" i="183"/>
  <c r="T91" i="183"/>
  <c r="T84" i="183"/>
  <c r="T80" i="183"/>
  <c r="T72" i="183"/>
  <c r="T61" i="183"/>
  <c r="T82" i="183"/>
  <c r="T74" i="183"/>
  <c r="T58" i="183"/>
  <c r="T52" i="183"/>
  <c r="T95" i="183"/>
  <c r="T89" i="183"/>
  <c r="T83" i="183"/>
  <c r="T79" i="183"/>
  <c r="T57" i="183"/>
  <c r="T94" i="183"/>
  <c r="T87" i="183"/>
  <c r="T69" i="183"/>
  <c r="T71" i="183"/>
  <c r="T60" i="183"/>
  <c r="T97" i="183"/>
  <c r="T59" i="183"/>
  <c r="T20" i="183"/>
  <c r="U28" i="183"/>
  <c r="V59" i="183"/>
  <c r="P111" i="183"/>
  <c r="O116" i="183"/>
  <c r="P116" i="183"/>
  <c r="T19" i="183"/>
  <c r="P112" i="183"/>
  <c r="T21" i="183"/>
  <c r="T24" i="183"/>
  <c r="T26" i="183"/>
  <c r="T32" i="183"/>
  <c r="T37" i="183"/>
  <c r="T39" i="183"/>
  <c r="T41" i="183"/>
  <c r="T43" i="183"/>
  <c r="T45" i="183"/>
  <c r="T113" i="183"/>
  <c r="T115" i="183"/>
  <c r="T28" i="183"/>
  <c r="T114" i="183"/>
  <c r="T23" i="183"/>
  <c r="T25" i="183"/>
  <c r="T27" i="183"/>
  <c r="T36" i="183"/>
  <c r="T38" i="183"/>
  <c r="T40" i="183"/>
  <c r="T42" i="183"/>
  <c r="T44" i="183"/>
  <c r="T46" i="183"/>
  <c r="T31" i="183"/>
  <c r="T33" i="183"/>
  <c r="Q111" i="183"/>
  <c r="Q112" i="183"/>
  <c r="V20" i="183"/>
  <c r="R112" i="183"/>
  <c r="Q116" i="183"/>
  <c r="R116" i="183"/>
  <c r="R111" i="183"/>
  <c r="S111" i="183"/>
  <c r="V25" i="183"/>
  <c r="V27" i="183"/>
  <c r="V38" i="183"/>
  <c r="V42" i="183"/>
  <c r="V46" i="183"/>
  <c r="V114" i="183"/>
  <c r="V21" i="183"/>
  <c r="V24" i="183"/>
  <c r="V26" i="183"/>
  <c r="V32" i="183"/>
  <c r="V37" i="183"/>
  <c r="V39" i="183"/>
  <c r="V41" i="183"/>
  <c r="V43" i="183"/>
  <c r="V45" i="183"/>
  <c r="V113" i="183"/>
  <c r="V115" i="183"/>
  <c r="V23" i="183"/>
  <c r="V28" i="183"/>
  <c r="V44" i="183"/>
  <c r="V36" i="183"/>
  <c r="V40" i="183"/>
  <c r="V31" i="183"/>
  <c r="V33" i="183"/>
  <c r="S112" i="183"/>
  <c r="V19" i="183"/>
  <c r="V96" i="183"/>
  <c r="V91" i="183"/>
  <c r="V82" i="183"/>
  <c r="V61" i="183"/>
  <c r="V57" i="183"/>
  <c r="V53" i="183"/>
  <c r="V85" i="183"/>
  <c r="V80" i="183"/>
  <c r="V72" i="183"/>
  <c r="T111" i="183"/>
  <c r="S116" i="183"/>
  <c r="T116" i="183"/>
  <c r="V95" i="183"/>
  <c r="V60" i="183"/>
  <c r="V52" i="183"/>
  <c r="V93" i="183"/>
  <c r="V84" i="183"/>
  <c r="V79" i="183"/>
  <c r="V71" i="183"/>
  <c r="V94" i="183"/>
  <c r="V87" i="183"/>
  <c r="U111" i="183"/>
  <c r="V89" i="183"/>
  <c r="V83" i="183"/>
  <c r="V74" i="183"/>
  <c r="V69" i="183"/>
  <c r="T112" i="183"/>
  <c r="V97" i="183"/>
  <c r="V62" i="183"/>
  <c r="U112" i="183"/>
  <c r="V58" i="183"/>
  <c r="V81" i="183"/>
  <c r="V73" i="183"/>
  <c r="V112" i="183"/>
  <c r="U116" i="183"/>
  <c r="V116" i="183"/>
  <c r="V111" i="183"/>
  <c r="C10" i="184"/>
  <c r="C31" i="184"/>
  <c r="C33" i="184"/>
  <c r="D19" i="184"/>
  <c r="D23" i="184"/>
  <c r="D25" i="184"/>
  <c r="D27" i="184"/>
  <c r="D36" i="184"/>
  <c r="D38" i="184"/>
  <c r="D40" i="184"/>
  <c r="D42" i="184"/>
  <c r="D44" i="184"/>
  <c r="D46" i="184"/>
  <c r="D21" i="184"/>
  <c r="D39" i="184"/>
  <c r="D31" i="184"/>
  <c r="D37" i="184"/>
  <c r="D45" i="184"/>
  <c r="D114" i="184"/>
  <c r="D24" i="184"/>
  <c r="D32" i="184"/>
  <c r="D33" i="184"/>
  <c r="D41" i="184"/>
  <c r="D113" i="184"/>
  <c r="D115" i="184"/>
  <c r="D28" i="184"/>
  <c r="D43" i="184"/>
  <c r="D26" i="184"/>
  <c r="D20" i="184"/>
  <c r="C111" i="184"/>
  <c r="C112" i="184"/>
  <c r="D111" i="184"/>
  <c r="C116" i="184"/>
  <c r="D116" i="184"/>
  <c r="D112" i="184"/>
  <c r="E10" i="184"/>
  <c r="E19" i="184"/>
  <c r="E28" i="184"/>
  <c r="E31" i="184"/>
  <c r="E33" i="184"/>
  <c r="F59" i="184"/>
  <c r="F96" i="184"/>
  <c r="F91" i="184"/>
  <c r="F84" i="184"/>
  <c r="F80" i="184"/>
  <c r="F72" i="184"/>
  <c r="F61" i="184"/>
  <c r="F94" i="184"/>
  <c r="F87" i="184"/>
  <c r="F82" i="184"/>
  <c r="F55" i="184"/>
  <c r="F95" i="184"/>
  <c r="F89" i="184"/>
  <c r="F83" i="184"/>
  <c r="F79" i="184"/>
  <c r="F71" i="184"/>
  <c r="F60" i="184"/>
  <c r="F58" i="184"/>
  <c r="F53" i="184"/>
  <c r="F74" i="184"/>
  <c r="F69" i="184"/>
  <c r="F57" i="184"/>
  <c r="F93" i="184"/>
  <c r="F85" i="184"/>
  <c r="F81" i="184"/>
  <c r="F73" i="184"/>
  <c r="F62" i="184"/>
  <c r="F52" i="184"/>
  <c r="F97" i="184"/>
  <c r="F36" i="184"/>
  <c r="F32" i="184"/>
  <c r="F21" i="184"/>
  <c r="F26" i="184"/>
  <c r="F39" i="184"/>
  <c r="F43" i="184"/>
  <c r="F115" i="184"/>
  <c r="F20" i="184"/>
  <c r="F23" i="184"/>
  <c r="F38" i="184"/>
  <c r="F41" i="184"/>
  <c r="F44" i="184"/>
  <c r="F31" i="184"/>
  <c r="F37" i="184"/>
  <c r="F40" i="184"/>
  <c r="F114" i="184"/>
  <c r="F24" i="184"/>
  <c r="F27" i="184"/>
  <c r="F28" i="184"/>
  <c r="F42" i="184"/>
  <c r="F45" i="184"/>
  <c r="F19" i="184"/>
  <c r="F46" i="184"/>
  <c r="F25" i="184"/>
  <c r="F113" i="184"/>
  <c r="F33" i="184"/>
  <c r="G20" i="184"/>
  <c r="G19" i="184"/>
  <c r="E112" i="184"/>
  <c r="G28" i="184"/>
  <c r="H19" i="184"/>
  <c r="I20" i="184"/>
  <c r="I19" i="184"/>
  <c r="E111" i="184"/>
  <c r="H55" i="184"/>
  <c r="H95" i="184"/>
  <c r="H89" i="184"/>
  <c r="H83" i="184"/>
  <c r="H79" i="184"/>
  <c r="H71" i="184"/>
  <c r="H60" i="184"/>
  <c r="H58" i="184"/>
  <c r="H53" i="184"/>
  <c r="H93" i="184"/>
  <c r="H85" i="184"/>
  <c r="H81" i="184"/>
  <c r="H94" i="184"/>
  <c r="H87" i="184"/>
  <c r="H82" i="184"/>
  <c r="H74" i="184"/>
  <c r="H69" i="184"/>
  <c r="H57" i="184"/>
  <c r="H52" i="184"/>
  <c r="H73" i="184"/>
  <c r="H62" i="184"/>
  <c r="H96" i="184"/>
  <c r="H91" i="184"/>
  <c r="H84" i="184"/>
  <c r="H80" i="184"/>
  <c r="H72" i="184"/>
  <c r="H61" i="184"/>
  <c r="H97" i="184"/>
  <c r="H20" i="184"/>
  <c r="I28" i="184"/>
  <c r="J59" i="184"/>
  <c r="H59" i="184"/>
  <c r="H25" i="184"/>
  <c r="H38" i="184"/>
  <c r="H42" i="184"/>
  <c r="H46" i="184"/>
  <c r="H114" i="184"/>
  <c r="H24" i="184"/>
  <c r="H27" i="184"/>
  <c r="H28" i="184"/>
  <c r="H45" i="184"/>
  <c r="H115" i="184"/>
  <c r="H23" i="184"/>
  <c r="H26" i="184"/>
  <c r="H41" i="184"/>
  <c r="H44" i="184"/>
  <c r="H32" i="184"/>
  <c r="H36" i="184"/>
  <c r="H39" i="184"/>
  <c r="H113" i="184"/>
  <c r="H40" i="184"/>
  <c r="H43" i="184"/>
  <c r="H37" i="184"/>
  <c r="H21" i="184"/>
  <c r="F111" i="184"/>
  <c r="E116" i="184"/>
  <c r="F116" i="184"/>
  <c r="K20" i="184"/>
  <c r="K19" i="184"/>
  <c r="F112" i="184"/>
  <c r="J94" i="184"/>
  <c r="J87" i="184"/>
  <c r="J82" i="184"/>
  <c r="J74" i="184"/>
  <c r="J69" i="184"/>
  <c r="J57" i="184"/>
  <c r="J52" i="184"/>
  <c r="J96" i="184"/>
  <c r="J91" i="184"/>
  <c r="J84" i="184"/>
  <c r="J80" i="184"/>
  <c r="J93" i="184"/>
  <c r="J85" i="184"/>
  <c r="J81" i="184"/>
  <c r="J73" i="184"/>
  <c r="J62" i="184"/>
  <c r="J72" i="184"/>
  <c r="J61" i="184"/>
  <c r="J53" i="184"/>
  <c r="J60" i="184"/>
  <c r="J58" i="184"/>
  <c r="J95" i="184"/>
  <c r="J89" i="184"/>
  <c r="J83" i="184"/>
  <c r="J79" i="184"/>
  <c r="J71" i="184"/>
  <c r="J55" i="184"/>
  <c r="J97" i="184"/>
  <c r="J24" i="184"/>
  <c r="J32" i="184"/>
  <c r="J37" i="184"/>
  <c r="J41" i="184"/>
  <c r="J45" i="184"/>
  <c r="J113" i="184"/>
  <c r="J36" i="184"/>
  <c r="J39" i="184"/>
  <c r="J42" i="184"/>
  <c r="J27" i="184"/>
  <c r="J38" i="184"/>
  <c r="J115" i="184"/>
  <c r="J21" i="184"/>
  <c r="J25" i="184"/>
  <c r="J40" i="184"/>
  <c r="J43" i="184"/>
  <c r="J46" i="184"/>
  <c r="J26" i="184"/>
  <c r="J28" i="184"/>
  <c r="J114" i="184"/>
  <c r="J23" i="184"/>
  <c r="J44" i="184"/>
  <c r="J20" i="184"/>
  <c r="J19" i="184"/>
  <c r="G111" i="184"/>
  <c r="M20" i="184"/>
  <c r="M19" i="184"/>
  <c r="G112" i="184"/>
  <c r="K28" i="184"/>
  <c r="L19" i="184"/>
  <c r="L93" i="184"/>
  <c r="L85" i="184"/>
  <c r="L81" i="184"/>
  <c r="L73" i="184"/>
  <c r="L62" i="184"/>
  <c r="L95" i="184"/>
  <c r="L89" i="184"/>
  <c r="L83" i="184"/>
  <c r="L79" i="184"/>
  <c r="L96" i="184"/>
  <c r="L91" i="184"/>
  <c r="L84" i="184"/>
  <c r="L80" i="184"/>
  <c r="L72" i="184"/>
  <c r="L61" i="184"/>
  <c r="L55" i="184"/>
  <c r="L71" i="184"/>
  <c r="L60" i="184"/>
  <c r="L94" i="184"/>
  <c r="L87" i="184"/>
  <c r="L82" i="184"/>
  <c r="L74" i="184"/>
  <c r="L69" i="184"/>
  <c r="L52" i="184"/>
  <c r="L97" i="184"/>
  <c r="L57" i="184"/>
  <c r="L53" i="184"/>
  <c r="L58" i="184"/>
  <c r="L59" i="184"/>
  <c r="L20" i="184"/>
  <c r="I112" i="184"/>
  <c r="O20" i="184"/>
  <c r="O19" i="184"/>
  <c r="I111" i="184"/>
  <c r="H112" i="184"/>
  <c r="G116" i="184"/>
  <c r="H116" i="184"/>
  <c r="H111" i="184"/>
  <c r="L23" i="184"/>
  <c r="L27" i="184"/>
  <c r="L36" i="184"/>
  <c r="L40" i="184"/>
  <c r="L44" i="184"/>
  <c r="L21" i="184"/>
  <c r="L25" i="184"/>
  <c r="L32" i="184"/>
  <c r="L43" i="184"/>
  <c r="L46" i="184"/>
  <c r="L113" i="184"/>
  <c r="L24" i="184"/>
  <c r="L39" i="184"/>
  <c r="L42" i="184"/>
  <c r="L45" i="184"/>
  <c r="L26" i="184"/>
  <c r="L28" i="184"/>
  <c r="L37" i="184"/>
  <c r="L114" i="184"/>
  <c r="L115" i="184"/>
  <c r="L38" i="184"/>
  <c r="L41" i="184"/>
  <c r="M28" i="184"/>
  <c r="N96" i="184"/>
  <c r="N91" i="184"/>
  <c r="N84" i="184"/>
  <c r="N80" i="184"/>
  <c r="N72" i="184"/>
  <c r="N61" i="184"/>
  <c r="N74" i="184"/>
  <c r="N69" i="184"/>
  <c r="N55" i="184"/>
  <c r="N95" i="184"/>
  <c r="N89" i="184"/>
  <c r="N83" i="184"/>
  <c r="N79" i="184"/>
  <c r="N71" i="184"/>
  <c r="N60" i="184"/>
  <c r="N58" i="184"/>
  <c r="N53" i="184"/>
  <c r="N94" i="184"/>
  <c r="N87" i="184"/>
  <c r="N82" i="184"/>
  <c r="N57" i="184"/>
  <c r="N52" i="184"/>
  <c r="N93" i="184"/>
  <c r="N85" i="184"/>
  <c r="N81" i="184"/>
  <c r="N73" i="184"/>
  <c r="N62" i="184"/>
  <c r="N97" i="184"/>
  <c r="N59" i="184"/>
  <c r="K111" i="184"/>
  <c r="N21" i="184"/>
  <c r="N26" i="184"/>
  <c r="N39" i="184"/>
  <c r="N43" i="184"/>
  <c r="N115" i="184"/>
  <c r="N37" i="184"/>
  <c r="N40" i="184"/>
  <c r="N114" i="184"/>
  <c r="N25" i="184"/>
  <c r="N28" i="184"/>
  <c r="N32" i="184"/>
  <c r="N36" i="184"/>
  <c r="N46" i="184"/>
  <c r="N113" i="184"/>
  <c r="N23" i="184"/>
  <c r="N38" i="184"/>
  <c r="N41" i="184"/>
  <c r="N44" i="184"/>
  <c r="N42" i="184"/>
  <c r="N45" i="184"/>
  <c r="N27" i="184"/>
  <c r="N24" i="184"/>
  <c r="K112" i="184"/>
  <c r="I116" i="184"/>
  <c r="J116" i="184"/>
  <c r="J111" i="184"/>
  <c r="N20" i="184"/>
  <c r="O28" i="184"/>
  <c r="P20" i="184"/>
  <c r="J112" i="184"/>
  <c r="N19" i="184"/>
  <c r="Q20" i="184"/>
  <c r="Q19" i="184"/>
  <c r="P55" i="184"/>
  <c r="P95" i="184"/>
  <c r="P89" i="184"/>
  <c r="P83" i="184"/>
  <c r="P79" i="184"/>
  <c r="P71" i="184"/>
  <c r="P60" i="184"/>
  <c r="P58" i="184"/>
  <c r="P53" i="184"/>
  <c r="P73" i="184"/>
  <c r="P62" i="184"/>
  <c r="P94" i="184"/>
  <c r="P87" i="184"/>
  <c r="P82" i="184"/>
  <c r="P74" i="184"/>
  <c r="P69" i="184"/>
  <c r="P57" i="184"/>
  <c r="P52" i="184"/>
  <c r="P93" i="184"/>
  <c r="P85" i="184"/>
  <c r="P81" i="184"/>
  <c r="P96" i="184"/>
  <c r="P91" i="184"/>
  <c r="P84" i="184"/>
  <c r="P80" i="184"/>
  <c r="P72" i="184"/>
  <c r="P61" i="184"/>
  <c r="P97" i="184"/>
  <c r="P59" i="184"/>
  <c r="P19" i="184"/>
  <c r="L112" i="184"/>
  <c r="M112" i="184"/>
  <c r="L111" i="184"/>
  <c r="K116" i="184"/>
  <c r="L116" i="184"/>
  <c r="P25" i="184"/>
  <c r="P38" i="184"/>
  <c r="P42" i="184"/>
  <c r="P46" i="184"/>
  <c r="P114" i="184"/>
  <c r="P23" i="184"/>
  <c r="P26" i="184"/>
  <c r="P41" i="184"/>
  <c r="P44" i="184"/>
  <c r="P21" i="184"/>
  <c r="P37" i="184"/>
  <c r="P40" i="184"/>
  <c r="P43" i="184"/>
  <c r="P24" i="184"/>
  <c r="P27" i="184"/>
  <c r="P45" i="184"/>
  <c r="P115" i="184"/>
  <c r="P32" i="184"/>
  <c r="P113" i="184"/>
  <c r="P36" i="184"/>
  <c r="P39" i="184"/>
  <c r="P28" i="184"/>
  <c r="S20" i="184"/>
  <c r="S19" i="184"/>
  <c r="Q28" i="184"/>
  <c r="M111" i="184"/>
  <c r="R94" i="184"/>
  <c r="R87" i="184"/>
  <c r="R82" i="184"/>
  <c r="R74" i="184"/>
  <c r="R69" i="184"/>
  <c r="R57" i="184"/>
  <c r="R52" i="184"/>
  <c r="R72" i="184"/>
  <c r="R61" i="184"/>
  <c r="R93" i="184"/>
  <c r="R85" i="184"/>
  <c r="R81" i="184"/>
  <c r="R73" i="184"/>
  <c r="R62" i="184"/>
  <c r="R96" i="184"/>
  <c r="R91" i="184"/>
  <c r="R84" i="184"/>
  <c r="R80" i="184"/>
  <c r="R95" i="184"/>
  <c r="R89" i="184"/>
  <c r="R83" i="184"/>
  <c r="R79" i="184"/>
  <c r="R71" i="184"/>
  <c r="R60" i="184"/>
  <c r="R55" i="184"/>
  <c r="R58" i="184"/>
  <c r="R53" i="184"/>
  <c r="R97" i="184"/>
  <c r="R59" i="184"/>
  <c r="R24" i="184"/>
  <c r="R32" i="184"/>
  <c r="R37" i="184"/>
  <c r="R41" i="184"/>
  <c r="R45" i="184"/>
  <c r="R113" i="184"/>
  <c r="R27" i="184"/>
  <c r="R28" i="184"/>
  <c r="R38" i="184"/>
  <c r="R115" i="184"/>
  <c r="R23" i="184"/>
  <c r="R26" i="184"/>
  <c r="R44" i="184"/>
  <c r="R114" i="184"/>
  <c r="R36" i="184"/>
  <c r="R39" i="184"/>
  <c r="R42" i="184"/>
  <c r="R40" i="184"/>
  <c r="R21" i="184"/>
  <c r="R43" i="184"/>
  <c r="R25" i="184"/>
  <c r="R46" i="184"/>
  <c r="S28" i="184"/>
  <c r="O111" i="184"/>
  <c r="R19" i="184"/>
  <c r="U20" i="184"/>
  <c r="U19" i="184"/>
  <c r="O112" i="184"/>
  <c r="R20" i="184"/>
  <c r="M116" i="184"/>
  <c r="N116" i="184"/>
  <c r="N111" i="184"/>
  <c r="N112" i="184"/>
  <c r="T19" i="184"/>
  <c r="T93" i="184"/>
  <c r="T85" i="184"/>
  <c r="T81" i="184"/>
  <c r="T73" i="184"/>
  <c r="T62" i="184"/>
  <c r="T55" i="184"/>
  <c r="T71" i="184"/>
  <c r="T60" i="184"/>
  <c r="T96" i="184"/>
  <c r="T91" i="184"/>
  <c r="T84" i="184"/>
  <c r="T80" i="184"/>
  <c r="T72" i="184"/>
  <c r="T61" i="184"/>
  <c r="T95" i="184"/>
  <c r="T89" i="184"/>
  <c r="T83" i="184"/>
  <c r="T79" i="184"/>
  <c r="T58" i="184"/>
  <c r="T57" i="184"/>
  <c r="T53" i="184"/>
  <c r="T94" i="184"/>
  <c r="T87" i="184"/>
  <c r="T82" i="184"/>
  <c r="T74" i="184"/>
  <c r="T69" i="184"/>
  <c r="T52" i="184"/>
  <c r="T97" i="184"/>
  <c r="T59" i="184"/>
  <c r="T20" i="184"/>
  <c r="U28" i="184"/>
  <c r="T23" i="184"/>
  <c r="T27" i="184"/>
  <c r="T36" i="184"/>
  <c r="T40" i="184"/>
  <c r="T44" i="184"/>
  <c r="T24" i="184"/>
  <c r="T39" i="184"/>
  <c r="T42" i="184"/>
  <c r="T45" i="184"/>
  <c r="T28" i="184"/>
  <c r="T38" i="184"/>
  <c r="T41" i="184"/>
  <c r="T115" i="184"/>
  <c r="T21" i="184"/>
  <c r="T25" i="184"/>
  <c r="T32" i="184"/>
  <c r="T43" i="184"/>
  <c r="T46" i="184"/>
  <c r="T113" i="184"/>
  <c r="T37" i="184"/>
  <c r="T114" i="184"/>
  <c r="T26" i="184"/>
  <c r="P111" i="184"/>
  <c r="O116" i="184"/>
  <c r="P116" i="184"/>
  <c r="Q111" i="184"/>
  <c r="P112" i="184"/>
  <c r="Q112" i="184"/>
  <c r="V19" i="184"/>
  <c r="V59" i="184"/>
  <c r="V20" i="184"/>
  <c r="R111" i="184"/>
  <c r="Q116" i="184"/>
  <c r="R116" i="184"/>
  <c r="V21" i="184"/>
  <c r="V26" i="184"/>
  <c r="V39" i="184"/>
  <c r="V43" i="184"/>
  <c r="V115" i="184"/>
  <c r="V25" i="184"/>
  <c r="V32" i="184"/>
  <c r="V36" i="184"/>
  <c r="V46" i="184"/>
  <c r="V113" i="184"/>
  <c r="V24" i="184"/>
  <c r="V27" i="184"/>
  <c r="V42" i="184"/>
  <c r="V45" i="184"/>
  <c r="V28" i="184"/>
  <c r="V37" i="184"/>
  <c r="V40" i="184"/>
  <c r="V114" i="184"/>
  <c r="V23" i="184"/>
  <c r="V44" i="184"/>
  <c r="V38" i="184"/>
  <c r="V41" i="184"/>
  <c r="S111" i="184"/>
  <c r="R112" i="184"/>
  <c r="S112" i="184"/>
  <c r="V87" i="184"/>
  <c r="V81" i="184"/>
  <c r="V84" i="184"/>
  <c r="V60" i="184"/>
  <c r="V52" i="184"/>
  <c r="S116" i="184"/>
  <c r="T116" i="184"/>
  <c r="T111" i="184"/>
  <c r="V61" i="184"/>
  <c r="V83" i="184"/>
  <c r="V95" i="184"/>
  <c r="V89" i="184"/>
  <c r="V57" i="184"/>
  <c r="V94" i="184"/>
  <c r="U112" i="184"/>
  <c r="V62" i="184"/>
  <c r="V55" i="184"/>
  <c r="V93" i="184"/>
  <c r="V53" i="184"/>
  <c r="V69" i="184"/>
  <c r="V79" i="184"/>
  <c r="V73" i="184"/>
  <c r="V82" i="184"/>
  <c r="V74" i="184"/>
  <c r="V58" i="184"/>
  <c r="V85" i="184"/>
  <c r="T112" i="184"/>
  <c r="V91" i="184"/>
  <c r="U111" i="184"/>
  <c r="V71" i="184"/>
  <c r="V97" i="184"/>
  <c r="V96" i="184"/>
  <c r="V80" i="184"/>
  <c r="V72" i="184"/>
  <c r="V111" i="184"/>
  <c r="U116" i="184"/>
  <c r="V116" i="184"/>
  <c r="V112" i="184"/>
  <c r="G10" i="184"/>
  <c r="G31" i="184"/>
  <c r="H31" i="184"/>
  <c r="I10" i="184"/>
  <c r="I31" i="184"/>
  <c r="J31" i="184"/>
  <c r="G33" i="184"/>
  <c r="H33" i="184"/>
  <c r="I33" i="184"/>
  <c r="J33" i="184"/>
  <c r="K10" i="184"/>
  <c r="K31" i="184"/>
  <c r="L31" i="184"/>
  <c r="M10" i="184"/>
  <c r="M31" i="184"/>
  <c r="N31" i="184"/>
  <c r="M33" i="184"/>
  <c r="N33" i="184"/>
  <c r="K33" i="184"/>
  <c r="O10" i="184"/>
  <c r="O31" i="184"/>
  <c r="P31" i="184"/>
  <c r="Q10" i="184"/>
  <c r="Q31" i="184"/>
  <c r="Q33" i="184"/>
  <c r="R31" i="184"/>
  <c r="O33" i="184"/>
  <c r="L33" i="184"/>
  <c r="R33" i="184"/>
  <c r="S10" i="184"/>
  <c r="S31" i="184"/>
  <c r="S33" i="184"/>
  <c r="U10" i="184"/>
  <c r="U31" i="184"/>
  <c r="U33" i="184"/>
  <c r="V31" i="184"/>
  <c r="T31" i="184"/>
  <c r="T33" i="184"/>
  <c r="P33" i="184"/>
  <c r="V33" i="184"/>
  <c r="C10" i="185"/>
  <c r="C31" i="185"/>
  <c r="C33" i="185"/>
  <c r="D19" i="185"/>
  <c r="D21" i="185"/>
  <c r="D24" i="185"/>
  <c r="D26" i="185"/>
  <c r="D32" i="185"/>
  <c r="D37" i="185"/>
  <c r="D39" i="185"/>
  <c r="D41" i="185"/>
  <c r="D43" i="185"/>
  <c r="D45" i="185"/>
  <c r="D20" i="185"/>
  <c r="D23" i="185"/>
  <c r="D25" i="185"/>
  <c r="D27" i="185"/>
  <c r="D36" i="185"/>
  <c r="D38" i="185"/>
  <c r="D40" i="185"/>
  <c r="D42" i="185"/>
  <c r="D44" i="185"/>
  <c r="D46" i="185"/>
  <c r="D31" i="185"/>
  <c r="D113" i="185"/>
  <c r="D115" i="185"/>
  <c r="D28" i="185"/>
  <c r="D114" i="185"/>
  <c r="D33" i="185"/>
  <c r="C112" i="185"/>
  <c r="C111" i="185"/>
  <c r="D112" i="185"/>
  <c r="D111" i="185"/>
  <c r="C116" i="185"/>
  <c r="D116" i="185"/>
  <c r="E31" i="185"/>
  <c r="E33" i="185"/>
  <c r="F19" i="185"/>
  <c r="F21" i="185"/>
  <c r="F26" i="185"/>
  <c r="F39" i="185"/>
  <c r="F43" i="185"/>
  <c r="F115" i="185"/>
  <c r="F23" i="185"/>
  <c r="F27" i="185"/>
  <c r="F36" i="185"/>
  <c r="F40" i="185"/>
  <c r="F44" i="185"/>
  <c r="F25" i="185"/>
  <c r="F28" i="185"/>
  <c r="F38" i="185"/>
  <c r="F42" i="185"/>
  <c r="F46" i="185"/>
  <c r="F114" i="185"/>
  <c r="F45" i="185"/>
  <c r="F32" i="185"/>
  <c r="F113" i="185"/>
  <c r="F41" i="185"/>
  <c r="F24" i="185"/>
  <c r="F37" i="185"/>
  <c r="F20" i="185"/>
  <c r="F31" i="185"/>
  <c r="F33" i="185"/>
  <c r="H19" i="185"/>
  <c r="E111" i="185"/>
  <c r="E112" i="185"/>
  <c r="H25" i="185"/>
  <c r="H38" i="185"/>
  <c r="H42" i="185"/>
  <c r="H46" i="185"/>
  <c r="H114" i="185"/>
  <c r="H21" i="185"/>
  <c r="H26" i="185"/>
  <c r="H28" i="185"/>
  <c r="H39" i="185"/>
  <c r="H43" i="185"/>
  <c r="H115" i="185"/>
  <c r="H24" i="185"/>
  <c r="H32" i="185"/>
  <c r="H37" i="185"/>
  <c r="H41" i="185"/>
  <c r="H45" i="185"/>
  <c r="H113" i="185"/>
  <c r="H23" i="185"/>
  <c r="H36" i="185"/>
  <c r="H27" i="185"/>
  <c r="H40" i="185"/>
  <c r="H44" i="185"/>
  <c r="H20" i="185"/>
  <c r="J19" i="185"/>
  <c r="F112" i="185"/>
  <c r="G112" i="185"/>
  <c r="E116" i="185"/>
  <c r="F116" i="185"/>
  <c r="F111" i="185"/>
  <c r="J24" i="185"/>
  <c r="J32" i="185"/>
  <c r="J37" i="185"/>
  <c r="J41" i="185"/>
  <c r="J45" i="185"/>
  <c r="J113" i="185"/>
  <c r="J25" i="185"/>
  <c r="J38" i="185"/>
  <c r="J42" i="185"/>
  <c r="J46" i="185"/>
  <c r="J114" i="185"/>
  <c r="J23" i="185"/>
  <c r="J27" i="185"/>
  <c r="J28" i="185"/>
  <c r="J36" i="185"/>
  <c r="J40" i="185"/>
  <c r="J44" i="185"/>
  <c r="J43" i="185"/>
  <c r="J26" i="185"/>
  <c r="J39" i="185"/>
  <c r="J21" i="185"/>
  <c r="J115" i="185"/>
  <c r="J20" i="185"/>
  <c r="G111" i="185"/>
  <c r="L19" i="185"/>
  <c r="I112" i="185"/>
  <c r="L23" i="185"/>
  <c r="L27" i="185"/>
  <c r="L36" i="185"/>
  <c r="L40" i="185"/>
  <c r="L44" i="185"/>
  <c r="L24" i="185"/>
  <c r="L28" i="185"/>
  <c r="L32" i="185"/>
  <c r="L37" i="185"/>
  <c r="L41" i="185"/>
  <c r="L45" i="185"/>
  <c r="L113" i="185"/>
  <c r="L21" i="185"/>
  <c r="L26" i="185"/>
  <c r="L39" i="185"/>
  <c r="L43" i="185"/>
  <c r="L115" i="185"/>
  <c r="L114" i="185"/>
  <c r="L25" i="185"/>
  <c r="L38" i="185"/>
  <c r="L46" i="185"/>
  <c r="L42" i="185"/>
  <c r="L20" i="185"/>
  <c r="N19" i="185"/>
  <c r="H111" i="185"/>
  <c r="G116" i="185"/>
  <c r="H116" i="185"/>
  <c r="H112" i="185"/>
  <c r="I111" i="185"/>
  <c r="K112" i="185"/>
  <c r="P19" i="185"/>
  <c r="K111" i="185"/>
  <c r="I116" i="185"/>
  <c r="J116" i="185"/>
  <c r="J111" i="185"/>
  <c r="N21" i="185"/>
  <c r="N26" i="185"/>
  <c r="N39" i="185"/>
  <c r="N43" i="185"/>
  <c r="N115" i="185"/>
  <c r="N23" i="185"/>
  <c r="N27" i="185"/>
  <c r="N36" i="185"/>
  <c r="N40" i="185"/>
  <c r="N44" i="185"/>
  <c r="N25" i="185"/>
  <c r="N28" i="185"/>
  <c r="N38" i="185"/>
  <c r="N42" i="185"/>
  <c r="N46" i="185"/>
  <c r="N114" i="185"/>
  <c r="N41" i="185"/>
  <c r="N45" i="185"/>
  <c r="N24" i="185"/>
  <c r="N37" i="185"/>
  <c r="N32" i="185"/>
  <c r="N113" i="185"/>
  <c r="N20" i="185"/>
  <c r="J112" i="185"/>
  <c r="M112" i="185"/>
  <c r="P25" i="185"/>
  <c r="P38" i="185"/>
  <c r="P42" i="185"/>
  <c r="P46" i="185"/>
  <c r="P114" i="185"/>
  <c r="P21" i="185"/>
  <c r="P26" i="185"/>
  <c r="P28" i="185"/>
  <c r="P39" i="185"/>
  <c r="P43" i="185"/>
  <c r="P115" i="185"/>
  <c r="P24" i="185"/>
  <c r="P32" i="185"/>
  <c r="P37" i="185"/>
  <c r="P41" i="185"/>
  <c r="P45" i="185"/>
  <c r="P113" i="185"/>
  <c r="P23" i="185"/>
  <c r="P36" i="185"/>
  <c r="P44" i="185"/>
  <c r="P27" i="185"/>
  <c r="P40" i="185"/>
  <c r="P20" i="185"/>
  <c r="M111" i="185"/>
  <c r="L111" i="185"/>
  <c r="K116" i="185"/>
  <c r="L116" i="185"/>
  <c r="L112" i="185"/>
  <c r="R19" i="185"/>
  <c r="M116" i="185"/>
  <c r="N116" i="185"/>
  <c r="N111" i="185"/>
  <c r="O112" i="185"/>
  <c r="R24" i="185"/>
  <c r="R32" i="185"/>
  <c r="R37" i="185"/>
  <c r="R41" i="185"/>
  <c r="R45" i="185"/>
  <c r="R113" i="185"/>
  <c r="R25" i="185"/>
  <c r="R38" i="185"/>
  <c r="R42" i="185"/>
  <c r="R46" i="185"/>
  <c r="R114" i="185"/>
  <c r="R23" i="185"/>
  <c r="R27" i="185"/>
  <c r="R28" i="185"/>
  <c r="R36" i="185"/>
  <c r="R40" i="185"/>
  <c r="R44" i="185"/>
  <c r="R26" i="185"/>
  <c r="R39" i="185"/>
  <c r="R43" i="185"/>
  <c r="R21" i="185"/>
  <c r="R115" i="185"/>
  <c r="R20" i="185"/>
  <c r="O111" i="185"/>
  <c r="N112" i="185"/>
  <c r="T19" i="185"/>
  <c r="Q112" i="185"/>
  <c r="U28" i="185"/>
  <c r="P112" i="185"/>
  <c r="P111" i="185"/>
  <c r="O116" i="185"/>
  <c r="P116" i="185"/>
  <c r="Q111" i="185"/>
  <c r="T23" i="185"/>
  <c r="T27" i="185"/>
  <c r="T36" i="185"/>
  <c r="T40" i="185"/>
  <c r="T44" i="185"/>
  <c r="T24" i="185"/>
  <c r="T28" i="185"/>
  <c r="T32" i="185"/>
  <c r="T37" i="185"/>
  <c r="T41" i="185"/>
  <c r="T45" i="185"/>
  <c r="T113" i="185"/>
  <c r="T21" i="185"/>
  <c r="T26" i="185"/>
  <c r="T39" i="185"/>
  <c r="T43" i="185"/>
  <c r="T115" i="185"/>
  <c r="T46" i="185"/>
  <c r="T114" i="185"/>
  <c r="T42" i="185"/>
  <c r="T25" i="185"/>
  <c r="T38" i="185"/>
  <c r="T20" i="185"/>
  <c r="V59" i="185"/>
  <c r="R112" i="185"/>
  <c r="V21" i="185"/>
  <c r="V26" i="185"/>
  <c r="V39" i="185"/>
  <c r="V43" i="185"/>
  <c r="V115" i="185"/>
  <c r="V23" i="185"/>
  <c r="V27" i="185"/>
  <c r="V36" i="185"/>
  <c r="V40" i="185"/>
  <c r="V44" i="185"/>
  <c r="V25" i="185"/>
  <c r="V28" i="185"/>
  <c r="V38" i="185"/>
  <c r="V42" i="185"/>
  <c r="V46" i="185"/>
  <c r="V114" i="185"/>
  <c r="V24" i="185"/>
  <c r="V37" i="185"/>
  <c r="V41" i="185"/>
  <c r="V32" i="185"/>
  <c r="V113" i="185"/>
  <c r="V45" i="185"/>
  <c r="V20" i="185"/>
  <c r="S112" i="185"/>
  <c r="S111" i="185"/>
  <c r="Q116" i="185"/>
  <c r="R116" i="185"/>
  <c r="R111" i="185"/>
  <c r="V19" i="185"/>
  <c r="V82" i="185"/>
  <c r="V74" i="185"/>
  <c r="V58" i="185"/>
  <c r="V55" i="185"/>
  <c r="V97" i="185"/>
  <c r="V93" i="185"/>
  <c r="V61" i="185"/>
  <c r="V91" i="185"/>
  <c r="U111" i="185"/>
  <c r="V96" i="185"/>
  <c r="V80" i="185"/>
  <c r="V72" i="185"/>
  <c r="T111" i="185"/>
  <c r="S116" i="185"/>
  <c r="T116" i="185"/>
  <c r="V87" i="185"/>
  <c r="V73" i="185"/>
  <c r="V69" i="185"/>
  <c r="V79" i="185"/>
  <c r="V89" i="185"/>
  <c r="V57" i="185"/>
  <c r="V85" i="185"/>
  <c r="V53" i="185"/>
  <c r="V83" i="185"/>
  <c r="V94" i="185"/>
  <c r="U112" i="185"/>
  <c r="V62" i="185"/>
  <c r="V95" i="185"/>
  <c r="T112" i="185"/>
  <c r="V71" i="185"/>
  <c r="V81" i="185"/>
  <c r="V84" i="185"/>
  <c r="V60" i="185"/>
  <c r="V52" i="185"/>
  <c r="U116" i="185"/>
  <c r="V116" i="185"/>
  <c r="V111" i="185"/>
  <c r="V112" i="185"/>
  <c r="G31" i="185"/>
  <c r="H31" i="185"/>
  <c r="G33" i="185"/>
  <c r="H33" i="185"/>
  <c r="I31" i="185"/>
  <c r="J31" i="185"/>
  <c r="I33" i="185"/>
  <c r="J33" i="185"/>
  <c r="K31" i="185"/>
  <c r="L31" i="185"/>
  <c r="K33" i="185"/>
  <c r="L33" i="185"/>
  <c r="M31" i="185"/>
  <c r="N31" i="185"/>
  <c r="M33" i="185"/>
  <c r="N33" i="185"/>
  <c r="O31" i="185"/>
  <c r="P31" i="185"/>
  <c r="O33" i="185"/>
  <c r="P33" i="185"/>
  <c r="Q31" i="185"/>
  <c r="R31" i="185"/>
  <c r="Q33" i="185"/>
  <c r="R33" i="185"/>
  <c r="S31" i="185"/>
  <c r="T31" i="185"/>
  <c r="S33" i="185"/>
  <c r="T33" i="185"/>
  <c r="U31" i="185"/>
  <c r="V31" i="185"/>
  <c r="U33" i="185"/>
  <c r="V33" i="185"/>
  <c r="C10" i="186"/>
  <c r="C31" i="186"/>
  <c r="C33" i="186"/>
  <c r="D33" i="186"/>
  <c r="D28" i="186"/>
  <c r="D23" i="186"/>
  <c r="D24" i="186"/>
  <c r="D36" i="186"/>
  <c r="D38" i="186"/>
  <c r="D40" i="186"/>
  <c r="D42" i="186"/>
  <c r="D44" i="186"/>
  <c r="D46" i="186"/>
  <c r="D26" i="186"/>
  <c r="D37" i="186"/>
  <c r="D45" i="186"/>
  <c r="D32" i="186"/>
  <c r="D43" i="186"/>
  <c r="D113" i="186"/>
  <c r="D41" i="186"/>
  <c r="D25" i="186"/>
  <c r="D27" i="186"/>
  <c r="D39" i="186"/>
  <c r="D114" i="186"/>
  <c r="D115" i="186"/>
  <c r="D21" i="186"/>
  <c r="D31" i="186"/>
  <c r="D20" i="186"/>
  <c r="D19" i="186"/>
  <c r="C112" i="186"/>
  <c r="C111" i="186"/>
  <c r="D111" i="186"/>
  <c r="C116" i="186"/>
  <c r="D116" i="186"/>
  <c r="D112" i="186"/>
  <c r="E19" i="186"/>
  <c r="G31" i="186"/>
  <c r="G33" i="186"/>
  <c r="I31" i="186"/>
  <c r="O31" i="186"/>
  <c r="O33" i="186"/>
  <c r="G20" i="186"/>
  <c r="E31" i="186"/>
  <c r="E33" i="186"/>
  <c r="K31" i="186"/>
  <c r="K33" i="186"/>
  <c r="M31" i="186"/>
  <c r="M33" i="186"/>
  <c r="Q31" i="186"/>
  <c r="Q33" i="186"/>
  <c r="S31" i="186"/>
  <c r="S33" i="186"/>
  <c r="U31" i="186"/>
  <c r="U33" i="186"/>
  <c r="I20" i="186"/>
  <c r="G19" i="186"/>
  <c r="I33" i="186"/>
  <c r="E28" i="186"/>
  <c r="F19" i="186"/>
  <c r="F93" i="186"/>
  <c r="F85" i="186"/>
  <c r="F81" i="186"/>
  <c r="F73" i="186"/>
  <c r="F62" i="186"/>
  <c r="F53" i="186"/>
  <c r="F96" i="186"/>
  <c r="F91" i="186"/>
  <c r="F84" i="186"/>
  <c r="F80" i="186"/>
  <c r="F97" i="186"/>
  <c r="F95" i="186"/>
  <c r="F89" i="186"/>
  <c r="F83" i="186"/>
  <c r="F79" i="186"/>
  <c r="F71" i="186"/>
  <c r="F60" i="186"/>
  <c r="F58" i="186"/>
  <c r="F94" i="186"/>
  <c r="F87" i="186"/>
  <c r="F82" i="186"/>
  <c r="F57" i="186"/>
  <c r="F72" i="186"/>
  <c r="F61" i="186"/>
  <c r="F52" i="186"/>
  <c r="F74" i="186"/>
  <c r="F69" i="186"/>
  <c r="F20" i="186"/>
  <c r="F59" i="186"/>
  <c r="K20" i="186"/>
  <c r="I19" i="186"/>
  <c r="F33" i="186"/>
  <c r="F31" i="186"/>
  <c r="G28" i="186"/>
  <c r="H59" i="186"/>
  <c r="F24" i="186"/>
  <c r="F32" i="186"/>
  <c r="F37" i="186"/>
  <c r="F41" i="186"/>
  <c r="F45" i="186"/>
  <c r="F23" i="186"/>
  <c r="F26" i="186"/>
  <c r="F38" i="186"/>
  <c r="F21" i="186"/>
  <c r="F42" i="186"/>
  <c r="F46" i="186"/>
  <c r="F39" i="186"/>
  <c r="F43" i="186"/>
  <c r="F25" i="186"/>
  <c r="F28" i="186"/>
  <c r="F114" i="186"/>
  <c r="F36" i="186"/>
  <c r="F44" i="186"/>
  <c r="F115" i="186"/>
  <c r="F40" i="186"/>
  <c r="F27" i="186"/>
  <c r="F113" i="186"/>
  <c r="H96" i="186"/>
  <c r="H91" i="186"/>
  <c r="H84" i="186"/>
  <c r="H80" i="186"/>
  <c r="H72" i="186"/>
  <c r="H61" i="186"/>
  <c r="H52" i="186"/>
  <c r="H95" i="186"/>
  <c r="H89" i="186"/>
  <c r="H83" i="186"/>
  <c r="H79" i="186"/>
  <c r="H94" i="186"/>
  <c r="H87" i="186"/>
  <c r="H82" i="186"/>
  <c r="H74" i="186"/>
  <c r="H69" i="186"/>
  <c r="H57" i="186"/>
  <c r="H93" i="186"/>
  <c r="H85" i="186"/>
  <c r="H81" i="186"/>
  <c r="H73" i="186"/>
  <c r="H62" i="186"/>
  <c r="H53" i="186"/>
  <c r="H71" i="186"/>
  <c r="H60" i="186"/>
  <c r="H58" i="186"/>
  <c r="H97" i="186"/>
  <c r="I28" i="186"/>
  <c r="J59" i="186"/>
  <c r="M20" i="186"/>
  <c r="K19" i="186"/>
  <c r="J19" i="186"/>
  <c r="E112" i="186"/>
  <c r="H23" i="186"/>
  <c r="H27" i="186"/>
  <c r="H36" i="186"/>
  <c r="H40" i="186"/>
  <c r="H44" i="186"/>
  <c r="H28" i="186"/>
  <c r="H39" i="186"/>
  <c r="H42" i="186"/>
  <c r="H45" i="186"/>
  <c r="H20" i="186"/>
  <c r="H25" i="186"/>
  <c r="H38" i="186"/>
  <c r="H21" i="186"/>
  <c r="H26" i="186"/>
  <c r="H46" i="186"/>
  <c r="H24" i="186"/>
  <c r="H37" i="186"/>
  <c r="H41" i="186"/>
  <c r="H113" i="186"/>
  <c r="H115" i="186"/>
  <c r="H114" i="186"/>
  <c r="H31" i="186"/>
  <c r="H32" i="186"/>
  <c r="H43" i="186"/>
  <c r="H33" i="186"/>
  <c r="E111" i="186"/>
  <c r="H19" i="186"/>
  <c r="J95" i="186"/>
  <c r="J89" i="186"/>
  <c r="J83" i="186"/>
  <c r="J79" i="186"/>
  <c r="J71" i="186"/>
  <c r="J60" i="186"/>
  <c r="J58" i="186"/>
  <c r="J94" i="186"/>
  <c r="J87" i="186"/>
  <c r="J82" i="186"/>
  <c r="J93" i="186"/>
  <c r="J85" i="186"/>
  <c r="J81" i="186"/>
  <c r="J73" i="186"/>
  <c r="J62" i="186"/>
  <c r="J53" i="186"/>
  <c r="J96" i="186"/>
  <c r="J91" i="186"/>
  <c r="J84" i="186"/>
  <c r="J80" i="186"/>
  <c r="J72" i="186"/>
  <c r="J61" i="186"/>
  <c r="J52" i="186"/>
  <c r="J74" i="186"/>
  <c r="J69" i="186"/>
  <c r="J57" i="186"/>
  <c r="J97" i="186"/>
  <c r="M19" i="186"/>
  <c r="O20" i="186"/>
  <c r="F111" i="186"/>
  <c r="E116" i="186"/>
  <c r="F116" i="186"/>
  <c r="G111" i="186"/>
  <c r="G112" i="186"/>
  <c r="F112" i="186"/>
  <c r="J21" i="186"/>
  <c r="J26" i="186"/>
  <c r="J39" i="186"/>
  <c r="J43" i="186"/>
  <c r="J24" i="186"/>
  <c r="J27" i="186"/>
  <c r="J32" i="186"/>
  <c r="J36" i="186"/>
  <c r="J46" i="186"/>
  <c r="J37" i="186"/>
  <c r="J41" i="186"/>
  <c r="J45" i="186"/>
  <c r="J20" i="186"/>
  <c r="J25" i="186"/>
  <c r="J28" i="186"/>
  <c r="J38" i="186"/>
  <c r="J42" i="186"/>
  <c r="J40" i="186"/>
  <c r="J44" i="186"/>
  <c r="J23" i="186"/>
  <c r="J115" i="186"/>
  <c r="J113" i="186"/>
  <c r="J114" i="186"/>
  <c r="J31" i="186"/>
  <c r="J33" i="186"/>
  <c r="K28" i="186"/>
  <c r="L94" i="186"/>
  <c r="L87" i="186"/>
  <c r="L82" i="186"/>
  <c r="L74" i="186"/>
  <c r="L69" i="186"/>
  <c r="L57" i="186"/>
  <c r="L93" i="186"/>
  <c r="L85" i="186"/>
  <c r="L81" i="186"/>
  <c r="L96" i="186"/>
  <c r="L91" i="186"/>
  <c r="L84" i="186"/>
  <c r="L80" i="186"/>
  <c r="L72" i="186"/>
  <c r="L61" i="186"/>
  <c r="L52" i="186"/>
  <c r="L95" i="186"/>
  <c r="L89" i="186"/>
  <c r="L83" i="186"/>
  <c r="L79" i="186"/>
  <c r="L53" i="186"/>
  <c r="L71" i="186"/>
  <c r="L60" i="186"/>
  <c r="L58" i="186"/>
  <c r="L73" i="186"/>
  <c r="L62" i="186"/>
  <c r="L97" i="186"/>
  <c r="M28" i="186"/>
  <c r="N59" i="186"/>
  <c r="L59" i="186"/>
  <c r="O19" i="186"/>
  <c r="Q20" i="186"/>
  <c r="L19" i="186"/>
  <c r="I112" i="186"/>
  <c r="G116" i="186"/>
  <c r="H116" i="186"/>
  <c r="H111" i="186"/>
  <c r="I111" i="186"/>
  <c r="L25" i="186"/>
  <c r="L38" i="186"/>
  <c r="L42" i="186"/>
  <c r="L46" i="186"/>
  <c r="L37" i="186"/>
  <c r="L40" i="186"/>
  <c r="L43" i="186"/>
  <c r="L24" i="186"/>
  <c r="L44" i="186"/>
  <c r="L41" i="186"/>
  <c r="L45" i="186"/>
  <c r="L23" i="186"/>
  <c r="L27" i="186"/>
  <c r="L28" i="186"/>
  <c r="L32" i="186"/>
  <c r="L36" i="186"/>
  <c r="L115" i="186"/>
  <c r="L21" i="186"/>
  <c r="L113" i="186"/>
  <c r="L20" i="186"/>
  <c r="L26" i="186"/>
  <c r="L31" i="186"/>
  <c r="L39" i="186"/>
  <c r="L114" i="186"/>
  <c r="L33" i="186"/>
  <c r="H112" i="186"/>
  <c r="N19" i="186"/>
  <c r="N93" i="186"/>
  <c r="N85" i="186"/>
  <c r="N81" i="186"/>
  <c r="N73" i="186"/>
  <c r="N62" i="186"/>
  <c r="N53" i="186"/>
  <c r="N96" i="186"/>
  <c r="N91" i="186"/>
  <c r="N84" i="186"/>
  <c r="N80" i="186"/>
  <c r="N95" i="186"/>
  <c r="N89" i="186"/>
  <c r="N83" i="186"/>
  <c r="N79" i="186"/>
  <c r="N71" i="186"/>
  <c r="N60" i="186"/>
  <c r="N58" i="186"/>
  <c r="N94" i="186"/>
  <c r="N87" i="186"/>
  <c r="N82" i="186"/>
  <c r="N74" i="186"/>
  <c r="N52" i="186"/>
  <c r="N69" i="186"/>
  <c r="N57" i="186"/>
  <c r="N72" i="186"/>
  <c r="N61" i="186"/>
  <c r="N97" i="186"/>
  <c r="Q19" i="186"/>
  <c r="S20" i="186"/>
  <c r="J111" i="186"/>
  <c r="I116" i="186"/>
  <c r="J116" i="186"/>
  <c r="K111" i="186"/>
  <c r="J112" i="186"/>
  <c r="N24" i="186"/>
  <c r="N32" i="186"/>
  <c r="N37" i="186"/>
  <c r="N41" i="186"/>
  <c r="N45" i="186"/>
  <c r="N21" i="186"/>
  <c r="N25" i="186"/>
  <c r="N28" i="186"/>
  <c r="N44" i="186"/>
  <c r="N23" i="186"/>
  <c r="N27" i="186"/>
  <c r="N31" i="186"/>
  <c r="N36" i="186"/>
  <c r="N40" i="186"/>
  <c r="N20" i="186"/>
  <c r="N26" i="186"/>
  <c r="N39" i="186"/>
  <c r="N43" i="186"/>
  <c r="N114" i="186"/>
  <c r="N38" i="186"/>
  <c r="N42" i="186"/>
  <c r="N113" i="186"/>
  <c r="N46" i="186"/>
  <c r="N115" i="186"/>
  <c r="N33" i="186"/>
  <c r="K112" i="186"/>
  <c r="O28" i="186"/>
  <c r="P19" i="186"/>
  <c r="P96" i="186"/>
  <c r="P91" i="186"/>
  <c r="P84" i="186"/>
  <c r="P80" i="186"/>
  <c r="P72" i="186"/>
  <c r="P61" i="186"/>
  <c r="P52" i="186"/>
  <c r="P95" i="186"/>
  <c r="P89" i="186"/>
  <c r="P83" i="186"/>
  <c r="P79" i="186"/>
  <c r="P94" i="186"/>
  <c r="P87" i="186"/>
  <c r="P82" i="186"/>
  <c r="P74" i="186"/>
  <c r="P69" i="186"/>
  <c r="P57" i="186"/>
  <c r="P93" i="186"/>
  <c r="P85" i="186"/>
  <c r="P81" i="186"/>
  <c r="P71" i="186"/>
  <c r="P60" i="186"/>
  <c r="P58" i="186"/>
  <c r="P73" i="186"/>
  <c r="P62" i="186"/>
  <c r="P53" i="186"/>
  <c r="P97" i="186"/>
  <c r="P59" i="186"/>
  <c r="S19" i="186"/>
  <c r="U20" i="186"/>
  <c r="U19" i="186"/>
  <c r="Q28" i="186"/>
  <c r="P23" i="186"/>
  <c r="P27" i="186"/>
  <c r="P36" i="186"/>
  <c r="P40" i="186"/>
  <c r="P44" i="186"/>
  <c r="P26" i="186"/>
  <c r="P38" i="186"/>
  <c r="P41" i="186"/>
  <c r="P32" i="186"/>
  <c r="P39" i="186"/>
  <c r="P43" i="186"/>
  <c r="P24" i="186"/>
  <c r="P28" i="186"/>
  <c r="P37" i="186"/>
  <c r="P21" i="186"/>
  <c r="P42" i="186"/>
  <c r="P46" i="186"/>
  <c r="P113" i="186"/>
  <c r="P25" i="186"/>
  <c r="P114" i="186"/>
  <c r="P45" i="186"/>
  <c r="P115" i="186"/>
  <c r="P31" i="186"/>
  <c r="P20" i="186"/>
  <c r="P33" i="186"/>
  <c r="L112" i="186"/>
  <c r="M112" i="186"/>
  <c r="M111" i="186"/>
  <c r="K116" i="186"/>
  <c r="L116" i="186"/>
  <c r="L111" i="186"/>
  <c r="R95" i="186"/>
  <c r="R89" i="186"/>
  <c r="R83" i="186"/>
  <c r="R79" i="186"/>
  <c r="R71" i="186"/>
  <c r="R60" i="186"/>
  <c r="R58" i="186"/>
  <c r="R94" i="186"/>
  <c r="R87" i="186"/>
  <c r="R82" i="186"/>
  <c r="R93" i="186"/>
  <c r="R85" i="186"/>
  <c r="R81" i="186"/>
  <c r="R73" i="186"/>
  <c r="R62" i="186"/>
  <c r="R53" i="186"/>
  <c r="R96" i="186"/>
  <c r="R91" i="186"/>
  <c r="R84" i="186"/>
  <c r="R80" i="186"/>
  <c r="R69" i="186"/>
  <c r="R74" i="186"/>
  <c r="R57" i="186"/>
  <c r="R72" i="186"/>
  <c r="R61" i="186"/>
  <c r="R52" i="186"/>
  <c r="R97" i="186"/>
  <c r="R59" i="186"/>
  <c r="R19" i="186"/>
  <c r="O111" i="186"/>
  <c r="S28" i="186"/>
  <c r="N111" i="186"/>
  <c r="M116" i="186"/>
  <c r="N116" i="186"/>
  <c r="O112" i="186"/>
  <c r="N112" i="186"/>
  <c r="R21" i="186"/>
  <c r="R26" i="186"/>
  <c r="R39" i="186"/>
  <c r="R43" i="186"/>
  <c r="R23" i="186"/>
  <c r="R42" i="186"/>
  <c r="R45" i="186"/>
  <c r="R46" i="186"/>
  <c r="R27" i="186"/>
  <c r="R32" i="186"/>
  <c r="R36" i="186"/>
  <c r="R40" i="186"/>
  <c r="R44" i="186"/>
  <c r="R25" i="186"/>
  <c r="R38" i="186"/>
  <c r="R31" i="186"/>
  <c r="R41" i="186"/>
  <c r="R115" i="186"/>
  <c r="R28" i="186"/>
  <c r="R114" i="186"/>
  <c r="R24" i="186"/>
  <c r="R37" i="186"/>
  <c r="R33" i="186"/>
  <c r="R113" i="186"/>
  <c r="R20" i="186"/>
  <c r="T94" i="186"/>
  <c r="T87" i="186"/>
  <c r="T82" i="186"/>
  <c r="T74" i="186"/>
  <c r="T69" i="186"/>
  <c r="T57" i="186"/>
  <c r="T93" i="186"/>
  <c r="T85" i="186"/>
  <c r="T81" i="186"/>
  <c r="T96" i="186"/>
  <c r="T91" i="186"/>
  <c r="T84" i="186"/>
  <c r="T80" i="186"/>
  <c r="T72" i="186"/>
  <c r="T61" i="186"/>
  <c r="T52" i="186"/>
  <c r="T95" i="186"/>
  <c r="T89" i="186"/>
  <c r="T83" i="186"/>
  <c r="T79" i="186"/>
  <c r="T58" i="186"/>
  <c r="T73" i="186"/>
  <c r="T62" i="186"/>
  <c r="T53" i="186"/>
  <c r="T71" i="186"/>
  <c r="T60" i="186"/>
  <c r="T97" i="186"/>
  <c r="T59" i="186"/>
  <c r="T19" i="186"/>
  <c r="Q111" i="186"/>
  <c r="Q112" i="186"/>
  <c r="P112" i="186"/>
  <c r="T25" i="186"/>
  <c r="T38" i="186"/>
  <c r="T42" i="186"/>
  <c r="T46" i="186"/>
  <c r="T24" i="186"/>
  <c r="T27" i="186"/>
  <c r="T31" i="186"/>
  <c r="T32" i="186"/>
  <c r="T36" i="186"/>
  <c r="T39" i="186"/>
  <c r="T21" i="186"/>
  <c r="T26" i="186"/>
  <c r="T23" i="186"/>
  <c r="T43" i="186"/>
  <c r="T28" i="186"/>
  <c r="T37" i="186"/>
  <c r="T41" i="186"/>
  <c r="T45" i="186"/>
  <c r="T115" i="186"/>
  <c r="T44" i="186"/>
  <c r="T40" i="186"/>
  <c r="T113" i="186"/>
  <c r="T114" i="186"/>
  <c r="T33" i="186"/>
  <c r="T20" i="186"/>
  <c r="O116" i="186"/>
  <c r="P116" i="186"/>
  <c r="P111" i="186"/>
  <c r="U28" i="186"/>
  <c r="V59" i="186"/>
  <c r="V19" i="186"/>
  <c r="V24" i="186"/>
  <c r="V32" i="186"/>
  <c r="V37" i="186"/>
  <c r="V41" i="186"/>
  <c r="V45" i="186"/>
  <c r="V40" i="186"/>
  <c r="V43" i="186"/>
  <c r="V46" i="186"/>
  <c r="V25" i="186"/>
  <c r="V28" i="186"/>
  <c r="V38" i="186"/>
  <c r="V42" i="186"/>
  <c r="V21" i="186"/>
  <c r="V26" i="186"/>
  <c r="V39" i="186"/>
  <c r="V44" i="186"/>
  <c r="V114" i="186"/>
  <c r="V113" i="186"/>
  <c r="V115" i="186"/>
  <c r="V27" i="186"/>
  <c r="V36" i="186"/>
  <c r="V23" i="186"/>
  <c r="V31" i="186"/>
  <c r="V33" i="186"/>
  <c r="V20" i="186"/>
  <c r="S111" i="186"/>
  <c r="R112" i="186"/>
  <c r="S112" i="186"/>
  <c r="R111" i="186"/>
  <c r="Q116" i="186"/>
  <c r="R116" i="186"/>
  <c r="T112" i="186"/>
  <c r="V91" i="186"/>
  <c r="V81" i="186"/>
  <c r="V58" i="186"/>
  <c r="V69" i="186"/>
  <c r="V82" i="186"/>
  <c r="V74" i="186"/>
  <c r="V62" i="186"/>
  <c r="U112" i="186"/>
  <c r="V61" i="186"/>
  <c r="V53" i="186"/>
  <c r="V93" i="186"/>
  <c r="V73" i="186"/>
  <c r="V87" i="186"/>
  <c r="V97" i="186"/>
  <c r="V79" i="186"/>
  <c r="V80" i="186"/>
  <c r="V72" i="186"/>
  <c r="U111" i="186"/>
  <c r="V85" i="186"/>
  <c r="V52" i="186"/>
  <c r="V71" i="186"/>
  <c r="V57" i="186"/>
  <c r="S116" i="186"/>
  <c r="T116" i="186"/>
  <c r="T111" i="186"/>
  <c r="V96" i="186"/>
  <c r="V94" i="186"/>
  <c r="V83" i="186"/>
  <c r="V95" i="186"/>
  <c r="V89" i="186"/>
  <c r="V60" i="186"/>
  <c r="V84" i="186"/>
  <c r="V112" i="186"/>
  <c r="V111" i="186"/>
  <c r="U116" i="186"/>
  <c r="V116" i="186"/>
  <c r="C10" i="187"/>
  <c r="C31" i="187"/>
  <c r="C33" i="187"/>
  <c r="C28" i="187"/>
  <c r="D96" i="187"/>
  <c r="D91" i="187"/>
  <c r="D84" i="187"/>
  <c r="D80" i="187"/>
  <c r="D72" i="187"/>
  <c r="D61" i="187"/>
  <c r="D53" i="187"/>
  <c r="D85" i="187"/>
  <c r="D55" i="187"/>
  <c r="D95" i="187"/>
  <c r="D89" i="187"/>
  <c r="D83" i="187"/>
  <c r="D79" i="187"/>
  <c r="D71" i="187"/>
  <c r="D60" i="187"/>
  <c r="D58" i="187"/>
  <c r="D52" i="187"/>
  <c r="D93" i="187"/>
  <c r="D81" i="187"/>
  <c r="D73" i="187"/>
  <c r="D62" i="187"/>
  <c r="D94" i="187"/>
  <c r="D87" i="187"/>
  <c r="D82" i="187"/>
  <c r="D74" i="187"/>
  <c r="D69" i="187"/>
  <c r="D57" i="187"/>
  <c r="D97" i="187"/>
  <c r="D59" i="187"/>
  <c r="D23" i="187"/>
  <c r="D25" i="187"/>
  <c r="D27" i="187"/>
  <c r="D36" i="187"/>
  <c r="D38" i="187"/>
  <c r="D40" i="187"/>
  <c r="D42" i="187"/>
  <c r="D44" i="187"/>
  <c r="D46" i="187"/>
  <c r="D21" i="187"/>
  <c r="D39" i="187"/>
  <c r="D114" i="187"/>
  <c r="D26" i="187"/>
  <c r="D28" i="187"/>
  <c r="D31" i="187"/>
  <c r="D41" i="187"/>
  <c r="D113" i="187"/>
  <c r="D24" i="187"/>
  <c r="D33" i="187"/>
  <c r="D37" i="187"/>
  <c r="D45" i="187"/>
  <c r="D115" i="187"/>
  <c r="D43" i="187"/>
  <c r="D32" i="187"/>
  <c r="D20" i="187"/>
  <c r="D19" i="187"/>
  <c r="C112" i="187"/>
  <c r="C111" i="187"/>
  <c r="D112" i="187"/>
  <c r="C116" i="187"/>
  <c r="D116" i="187"/>
  <c r="D111" i="187"/>
  <c r="E10" i="187"/>
  <c r="E19" i="187"/>
  <c r="E31" i="187"/>
  <c r="E33" i="187"/>
  <c r="G20" i="187"/>
  <c r="G19" i="187"/>
  <c r="I20" i="187"/>
  <c r="I19" i="187"/>
  <c r="E28" i="187"/>
  <c r="F55" i="187"/>
  <c r="F96" i="187"/>
  <c r="F95" i="187"/>
  <c r="F94" i="187"/>
  <c r="F93" i="187"/>
  <c r="F91" i="187"/>
  <c r="F89" i="187"/>
  <c r="F87" i="187"/>
  <c r="F85" i="187"/>
  <c r="F84" i="187"/>
  <c r="F83" i="187"/>
  <c r="F82" i="187"/>
  <c r="F81" i="187"/>
  <c r="F80" i="187"/>
  <c r="F79" i="187"/>
  <c r="F74" i="187"/>
  <c r="F73" i="187"/>
  <c r="F72" i="187"/>
  <c r="F71" i="187"/>
  <c r="F69" i="187"/>
  <c r="F62" i="187"/>
  <c r="F61" i="187"/>
  <c r="F60" i="187"/>
  <c r="F58" i="187"/>
  <c r="F57" i="187"/>
  <c r="F53" i="187"/>
  <c r="F52" i="187"/>
  <c r="F97" i="187"/>
  <c r="F59" i="187"/>
  <c r="F19" i="187"/>
  <c r="G28" i="187"/>
  <c r="K20" i="187"/>
  <c r="K19" i="187"/>
  <c r="F21" i="187"/>
  <c r="F26" i="187"/>
  <c r="F39" i="187"/>
  <c r="F43" i="187"/>
  <c r="F25" i="187"/>
  <c r="F32" i="187"/>
  <c r="F36" i="187"/>
  <c r="F46" i="187"/>
  <c r="F24" i="187"/>
  <c r="F27" i="187"/>
  <c r="F28" i="187"/>
  <c r="F42" i="187"/>
  <c r="F45" i="187"/>
  <c r="F23" i="187"/>
  <c r="F38" i="187"/>
  <c r="F41" i="187"/>
  <c r="F44" i="187"/>
  <c r="F40" i="187"/>
  <c r="F31" i="187"/>
  <c r="F20" i="187"/>
  <c r="F37" i="187"/>
  <c r="F114" i="187"/>
  <c r="F113" i="187"/>
  <c r="F115" i="187"/>
  <c r="F33" i="187"/>
  <c r="H94" i="187"/>
  <c r="H87" i="187"/>
  <c r="H82" i="187"/>
  <c r="H74" i="187"/>
  <c r="H69" i="187"/>
  <c r="H58" i="187"/>
  <c r="H52" i="187"/>
  <c r="H85" i="187"/>
  <c r="H73" i="187"/>
  <c r="H57" i="187"/>
  <c r="H95" i="187"/>
  <c r="H89" i="187"/>
  <c r="H83" i="187"/>
  <c r="H79" i="187"/>
  <c r="H71" i="187"/>
  <c r="H60" i="187"/>
  <c r="H53" i="187"/>
  <c r="H55" i="187"/>
  <c r="H93" i="187"/>
  <c r="H62" i="187"/>
  <c r="H96" i="187"/>
  <c r="H91" i="187"/>
  <c r="H84" i="187"/>
  <c r="H80" i="187"/>
  <c r="H72" i="187"/>
  <c r="H61" i="187"/>
  <c r="H81" i="187"/>
  <c r="H97" i="187"/>
  <c r="H59" i="187"/>
  <c r="H19" i="187"/>
  <c r="E111" i="187"/>
  <c r="E112" i="187"/>
  <c r="M20" i="187"/>
  <c r="M19" i="187"/>
  <c r="H25" i="187"/>
  <c r="H38" i="187"/>
  <c r="H42" i="187"/>
  <c r="H46" i="187"/>
  <c r="H21" i="187"/>
  <c r="H37" i="187"/>
  <c r="H40" i="187"/>
  <c r="H43" i="187"/>
  <c r="H32" i="187"/>
  <c r="H36" i="187"/>
  <c r="H39" i="187"/>
  <c r="H24" i="187"/>
  <c r="H27" i="187"/>
  <c r="H28" i="187"/>
  <c r="H45" i="187"/>
  <c r="H23" i="187"/>
  <c r="H26" i="187"/>
  <c r="H44" i="187"/>
  <c r="H113" i="187"/>
  <c r="H41" i="187"/>
  <c r="H114" i="187"/>
  <c r="H115" i="187"/>
  <c r="H20" i="187"/>
  <c r="I28" i="187"/>
  <c r="J19" i="187"/>
  <c r="J96" i="187"/>
  <c r="J94" i="187"/>
  <c r="J91" i="187"/>
  <c r="J87" i="187"/>
  <c r="J84" i="187"/>
  <c r="J82" i="187"/>
  <c r="J80" i="187"/>
  <c r="J74" i="187"/>
  <c r="J72" i="187"/>
  <c r="J69" i="187"/>
  <c r="J61" i="187"/>
  <c r="J57" i="187"/>
  <c r="J53" i="187"/>
  <c r="J55" i="187"/>
  <c r="J97" i="187"/>
  <c r="J95" i="187"/>
  <c r="J93" i="187"/>
  <c r="J89" i="187"/>
  <c r="J85" i="187"/>
  <c r="J83" i="187"/>
  <c r="J81" i="187"/>
  <c r="J79" i="187"/>
  <c r="J73" i="187"/>
  <c r="J71" i="187"/>
  <c r="J62" i="187"/>
  <c r="J60" i="187"/>
  <c r="J58" i="187"/>
  <c r="J52" i="187"/>
  <c r="J59" i="187"/>
  <c r="O20" i="187"/>
  <c r="O19" i="187"/>
  <c r="K28" i="187"/>
  <c r="G111" i="187"/>
  <c r="G112" i="187"/>
  <c r="F112" i="187"/>
  <c r="J24" i="187"/>
  <c r="J32" i="187"/>
  <c r="J37" i="187"/>
  <c r="J41" i="187"/>
  <c r="J45" i="187"/>
  <c r="J23" i="187"/>
  <c r="J26" i="187"/>
  <c r="J28" i="187"/>
  <c r="J44" i="187"/>
  <c r="J21" i="187"/>
  <c r="J25" i="187"/>
  <c r="J40" i="187"/>
  <c r="J43" i="187"/>
  <c r="J36" i="187"/>
  <c r="J39" i="187"/>
  <c r="J42" i="187"/>
  <c r="J38" i="187"/>
  <c r="J27" i="187"/>
  <c r="J46" i="187"/>
  <c r="J114" i="187"/>
  <c r="J113" i="187"/>
  <c r="J115" i="187"/>
  <c r="J20" i="187"/>
  <c r="F111" i="187"/>
  <c r="E116" i="187"/>
  <c r="F116" i="187"/>
  <c r="L21" i="187"/>
  <c r="L96" i="187"/>
  <c r="L91" i="187"/>
  <c r="L84" i="187"/>
  <c r="L80" i="187"/>
  <c r="L72" i="187"/>
  <c r="L61" i="187"/>
  <c r="L57" i="187"/>
  <c r="L52" i="187"/>
  <c r="L55" i="187"/>
  <c r="L95" i="187"/>
  <c r="L89" i="187"/>
  <c r="L83" i="187"/>
  <c r="L79" i="187"/>
  <c r="L71" i="187"/>
  <c r="L60" i="187"/>
  <c r="L94" i="187"/>
  <c r="L87" i="187"/>
  <c r="L82" i="187"/>
  <c r="L74" i="187"/>
  <c r="L69" i="187"/>
  <c r="L93" i="187"/>
  <c r="L85" i="187"/>
  <c r="L81" i="187"/>
  <c r="L73" i="187"/>
  <c r="L62" i="187"/>
  <c r="L58" i="187"/>
  <c r="L53" i="187"/>
  <c r="L97" i="187"/>
  <c r="L59" i="187"/>
  <c r="L19" i="187"/>
  <c r="M28" i="187"/>
  <c r="I111" i="187"/>
  <c r="G116" i="187"/>
  <c r="H116" i="187"/>
  <c r="H111" i="187"/>
  <c r="H112" i="187"/>
  <c r="L23" i="187"/>
  <c r="L27" i="187"/>
  <c r="L36" i="187"/>
  <c r="L40" i="187"/>
  <c r="L44" i="187"/>
  <c r="L38" i="187"/>
  <c r="L41" i="187"/>
  <c r="L26" i="187"/>
  <c r="L28" i="187"/>
  <c r="L37" i="187"/>
  <c r="L25" i="187"/>
  <c r="L32" i="187"/>
  <c r="L43" i="187"/>
  <c r="L42" i="187"/>
  <c r="L46" i="187"/>
  <c r="L45" i="187"/>
  <c r="L39" i="187"/>
  <c r="L115" i="187"/>
  <c r="L113" i="187"/>
  <c r="L24" i="187"/>
  <c r="L114" i="187"/>
  <c r="L20" i="187"/>
  <c r="I112" i="187"/>
  <c r="Q20" i="187"/>
  <c r="Q19" i="187"/>
  <c r="N55" i="187"/>
  <c r="N97" i="187"/>
  <c r="N58" i="187"/>
  <c r="N57" i="187"/>
  <c r="N95" i="187"/>
  <c r="N93" i="187"/>
  <c r="N89" i="187"/>
  <c r="N85" i="187"/>
  <c r="N83" i="187"/>
  <c r="N81" i="187"/>
  <c r="N80" i="187"/>
  <c r="N74" i="187"/>
  <c r="N72" i="187"/>
  <c r="N69" i="187"/>
  <c r="N61" i="187"/>
  <c r="N53" i="187"/>
  <c r="N52" i="187"/>
  <c r="N96" i="187"/>
  <c r="N94" i="187"/>
  <c r="N91" i="187"/>
  <c r="N87" i="187"/>
  <c r="N84" i="187"/>
  <c r="N82" i="187"/>
  <c r="N79" i="187"/>
  <c r="N73" i="187"/>
  <c r="N71" i="187"/>
  <c r="N62" i="187"/>
  <c r="N60" i="187"/>
  <c r="N59" i="187"/>
  <c r="K112" i="187"/>
  <c r="N21" i="187"/>
  <c r="N26" i="187"/>
  <c r="N39" i="187"/>
  <c r="N43" i="187"/>
  <c r="N24" i="187"/>
  <c r="N27" i="187"/>
  <c r="N42" i="187"/>
  <c r="N45" i="187"/>
  <c r="N23" i="187"/>
  <c r="N38" i="187"/>
  <c r="N41" i="187"/>
  <c r="N44" i="187"/>
  <c r="N37" i="187"/>
  <c r="N40" i="187"/>
  <c r="N25" i="187"/>
  <c r="N32" i="187"/>
  <c r="N46" i="187"/>
  <c r="N114" i="187"/>
  <c r="N115" i="187"/>
  <c r="N28" i="187"/>
  <c r="N36" i="187"/>
  <c r="N113" i="187"/>
  <c r="N20" i="187"/>
  <c r="S20" i="187"/>
  <c r="S19" i="187"/>
  <c r="J112" i="187"/>
  <c r="N19" i="187"/>
  <c r="O28" i="187"/>
  <c r="K111" i="187"/>
  <c r="J111" i="187"/>
  <c r="I116" i="187"/>
  <c r="J116" i="187"/>
  <c r="P19" i="187"/>
  <c r="P93" i="187"/>
  <c r="P85" i="187"/>
  <c r="P81" i="187"/>
  <c r="P73" i="187"/>
  <c r="P62" i="187"/>
  <c r="P94" i="187"/>
  <c r="P87" i="187"/>
  <c r="P82" i="187"/>
  <c r="P74" i="187"/>
  <c r="P69" i="187"/>
  <c r="P52" i="187"/>
  <c r="P95" i="187"/>
  <c r="P89" i="187"/>
  <c r="P83" i="187"/>
  <c r="P79" i="187"/>
  <c r="P71" i="187"/>
  <c r="P60" i="187"/>
  <c r="P57" i="187"/>
  <c r="P53" i="187"/>
  <c r="P55" i="187"/>
  <c r="P96" i="187"/>
  <c r="P91" i="187"/>
  <c r="P84" i="187"/>
  <c r="P80" i="187"/>
  <c r="P72" i="187"/>
  <c r="P61" i="187"/>
  <c r="P58" i="187"/>
  <c r="P97" i="187"/>
  <c r="P59" i="187"/>
  <c r="P25" i="187"/>
  <c r="P38" i="187"/>
  <c r="P42" i="187"/>
  <c r="P46" i="187"/>
  <c r="P28" i="187"/>
  <c r="P32" i="187"/>
  <c r="P36" i="187"/>
  <c r="P39" i="187"/>
  <c r="P24" i="187"/>
  <c r="P27" i="187"/>
  <c r="P45" i="187"/>
  <c r="P23" i="187"/>
  <c r="P26" i="187"/>
  <c r="P41" i="187"/>
  <c r="P44" i="187"/>
  <c r="P37" i="187"/>
  <c r="P40" i="187"/>
  <c r="P21" i="187"/>
  <c r="P113" i="187"/>
  <c r="P115" i="187"/>
  <c r="P43" i="187"/>
  <c r="P114" i="187"/>
  <c r="P20" i="187"/>
  <c r="K116" i="187"/>
  <c r="L116" i="187"/>
  <c r="L111" i="187"/>
  <c r="Q28" i="187"/>
  <c r="L112" i="187"/>
  <c r="U20" i="187"/>
  <c r="U19" i="187"/>
  <c r="M111" i="187"/>
  <c r="M112" i="187"/>
  <c r="R19" i="187"/>
  <c r="R52" i="187"/>
  <c r="R96" i="187"/>
  <c r="R94" i="187"/>
  <c r="R91" i="187"/>
  <c r="R87" i="187"/>
  <c r="R84" i="187"/>
  <c r="R82" i="187"/>
  <c r="R80" i="187"/>
  <c r="R74" i="187"/>
  <c r="R72" i="187"/>
  <c r="R69" i="187"/>
  <c r="R61" i="187"/>
  <c r="R58" i="187"/>
  <c r="R55" i="187"/>
  <c r="R53" i="187"/>
  <c r="R97" i="187"/>
  <c r="R95" i="187"/>
  <c r="R93" i="187"/>
  <c r="R89" i="187"/>
  <c r="R85" i="187"/>
  <c r="R83" i="187"/>
  <c r="R81" i="187"/>
  <c r="R79" i="187"/>
  <c r="R73" i="187"/>
  <c r="R71" i="187"/>
  <c r="R62" i="187"/>
  <c r="R60" i="187"/>
  <c r="R57" i="187"/>
  <c r="R59" i="187"/>
  <c r="N112" i="187"/>
  <c r="S28" i="187"/>
  <c r="O111" i="187"/>
  <c r="R24" i="187"/>
  <c r="R32" i="187"/>
  <c r="R37" i="187"/>
  <c r="R41" i="187"/>
  <c r="R45" i="187"/>
  <c r="R21" i="187"/>
  <c r="R25" i="187"/>
  <c r="R40" i="187"/>
  <c r="R43" i="187"/>
  <c r="R46" i="187"/>
  <c r="R36" i="187"/>
  <c r="R39" i="187"/>
  <c r="R42" i="187"/>
  <c r="R27" i="187"/>
  <c r="R28" i="187"/>
  <c r="R38" i="187"/>
  <c r="R44" i="187"/>
  <c r="R23" i="187"/>
  <c r="R113" i="187"/>
  <c r="R115" i="187"/>
  <c r="R26" i="187"/>
  <c r="R114" i="187"/>
  <c r="R20" i="187"/>
  <c r="N111" i="187"/>
  <c r="M116" i="187"/>
  <c r="N116" i="187"/>
  <c r="O112" i="187"/>
  <c r="T19" i="187"/>
  <c r="T93" i="187"/>
  <c r="T85" i="187"/>
  <c r="T81" i="187"/>
  <c r="T73" i="187"/>
  <c r="T62" i="187"/>
  <c r="T55" i="187"/>
  <c r="T96" i="187"/>
  <c r="T91" i="187"/>
  <c r="T84" i="187"/>
  <c r="T80" i="187"/>
  <c r="T72" i="187"/>
  <c r="T61" i="187"/>
  <c r="T53" i="187"/>
  <c r="T95" i="187"/>
  <c r="T89" i="187"/>
  <c r="T83" i="187"/>
  <c r="T79" i="187"/>
  <c r="T71" i="187"/>
  <c r="T60" i="187"/>
  <c r="T58" i="187"/>
  <c r="T52" i="187"/>
  <c r="T94" i="187"/>
  <c r="T87" i="187"/>
  <c r="T82" i="187"/>
  <c r="T74" i="187"/>
  <c r="T69" i="187"/>
  <c r="T57" i="187"/>
  <c r="T97" i="187"/>
  <c r="T59" i="187"/>
  <c r="P112" i="187"/>
  <c r="Q111" i="187"/>
  <c r="Q112" i="187"/>
  <c r="O116" i="187"/>
  <c r="P116" i="187"/>
  <c r="P111" i="187"/>
  <c r="U28" i="187"/>
  <c r="T23" i="187"/>
  <c r="T27" i="187"/>
  <c r="T36" i="187"/>
  <c r="T40" i="187"/>
  <c r="T44" i="187"/>
  <c r="T26" i="187"/>
  <c r="T37" i="187"/>
  <c r="T21" i="187"/>
  <c r="T25" i="187"/>
  <c r="T32" i="187"/>
  <c r="T43" i="187"/>
  <c r="T24" i="187"/>
  <c r="T39" i="187"/>
  <c r="T42" i="187"/>
  <c r="T45" i="187"/>
  <c r="T28" i="187"/>
  <c r="T41" i="187"/>
  <c r="T115" i="187"/>
  <c r="T38" i="187"/>
  <c r="T46" i="187"/>
  <c r="T114" i="187"/>
  <c r="T113" i="187"/>
  <c r="T20" i="187"/>
  <c r="V19" i="187"/>
  <c r="V59" i="187"/>
  <c r="R112" i="187"/>
  <c r="S111" i="187"/>
  <c r="S112" i="187"/>
  <c r="V21" i="187"/>
  <c r="V26" i="187"/>
  <c r="V39" i="187"/>
  <c r="V43" i="187"/>
  <c r="V23" i="187"/>
  <c r="V38" i="187"/>
  <c r="V41" i="187"/>
  <c r="V44" i="187"/>
  <c r="V28" i="187"/>
  <c r="V37" i="187"/>
  <c r="V40" i="187"/>
  <c r="V25" i="187"/>
  <c r="V32" i="187"/>
  <c r="V36" i="187"/>
  <c r="V27" i="187"/>
  <c r="V42" i="187"/>
  <c r="V24" i="187"/>
  <c r="V46" i="187"/>
  <c r="V114" i="187"/>
  <c r="V45" i="187"/>
  <c r="V115" i="187"/>
  <c r="V113" i="187"/>
  <c r="V20" i="187"/>
  <c r="R111" i="187"/>
  <c r="Q116" i="187"/>
  <c r="R116" i="187"/>
  <c r="V61" i="187"/>
  <c r="S116" i="187"/>
  <c r="T116" i="187"/>
  <c r="T111" i="187"/>
  <c r="V97" i="187"/>
  <c r="V89" i="187"/>
  <c r="V71" i="187"/>
  <c r="V85" i="187"/>
  <c r="V96" i="187"/>
  <c r="V55" i="187"/>
  <c r="V82" i="187"/>
  <c r="V62" i="187"/>
  <c r="U112" i="187"/>
  <c r="V95" i="187"/>
  <c r="V81" i="187"/>
  <c r="V91" i="187"/>
  <c r="V69" i="187"/>
  <c r="V80" i="187"/>
  <c r="U111" i="187"/>
  <c r="V53" i="187"/>
  <c r="V60" i="187"/>
  <c r="V52" i="187"/>
  <c r="V87" i="187"/>
  <c r="V74" i="187"/>
  <c r="V79" i="187"/>
  <c r="V93" i="187"/>
  <c r="V57" i="187"/>
  <c r="V73" i="187"/>
  <c r="V84" i="187"/>
  <c r="V72" i="187"/>
  <c r="V83" i="187"/>
  <c r="V94" i="187"/>
  <c r="V58" i="187"/>
  <c r="T112" i="187"/>
  <c r="V112" i="187"/>
  <c r="V111" i="187"/>
  <c r="U116" i="187"/>
  <c r="V116" i="187"/>
  <c r="G10" i="187"/>
  <c r="G31" i="187"/>
  <c r="H31" i="187"/>
  <c r="G33" i="187"/>
  <c r="H33" i="187"/>
  <c r="I10" i="187"/>
  <c r="I31" i="187"/>
  <c r="I33" i="187"/>
  <c r="J33" i="187"/>
  <c r="J31" i="187"/>
  <c r="K10" i="187"/>
  <c r="K31" i="187"/>
  <c r="L31" i="187"/>
  <c r="M10" i="187"/>
  <c r="M31" i="187"/>
  <c r="N31" i="187"/>
  <c r="K33" i="187"/>
  <c r="L33" i="187"/>
  <c r="M33" i="187"/>
  <c r="N33" i="187"/>
  <c r="O10" i="187"/>
  <c r="O31" i="187"/>
  <c r="O33" i="187"/>
  <c r="P33" i="187"/>
  <c r="P31" i="187"/>
  <c r="Q10" i="187"/>
  <c r="Q31" i="187"/>
  <c r="Q33" i="187"/>
  <c r="R31" i="187"/>
  <c r="R33" i="187"/>
  <c r="S10" i="187"/>
  <c r="S31" i="187"/>
  <c r="T31" i="187"/>
  <c r="U10" i="187"/>
  <c r="U31" i="187"/>
  <c r="U33" i="187"/>
  <c r="V31" i="187"/>
  <c r="S33" i="187"/>
  <c r="V33" i="187"/>
  <c r="T33" i="187"/>
  <c r="C31" i="189"/>
  <c r="C33" i="189"/>
  <c r="D19" i="189"/>
  <c r="D33" i="189"/>
  <c r="D21" i="189"/>
  <c r="D24" i="189"/>
  <c r="D26" i="189"/>
  <c r="D32" i="189"/>
  <c r="D37" i="189"/>
  <c r="D39" i="189"/>
  <c r="D41" i="189"/>
  <c r="D43" i="189"/>
  <c r="D45" i="189"/>
  <c r="D23" i="189"/>
  <c r="D25" i="189"/>
  <c r="D27" i="189"/>
  <c r="D36" i="189"/>
  <c r="D38" i="189"/>
  <c r="D40" i="189"/>
  <c r="D42" i="189"/>
  <c r="D44" i="189"/>
  <c r="D46" i="189"/>
  <c r="D31" i="189"/>
  <c r="D20" i="189"/>
  <c r="D28" i="189"/>
  <c r="D114" i="189"/>
  <c r="D113" i="189"/>
  <c r="D115" i="189"/>
  <c r="C112" i="189"/>
  <c r="D112" i="189"/>
  <c r="C111" i="189"/>
  <c r="D111" i="189"/>
  <c r="C116" i="189"/>
  <c r="D116" i="189"/>
  <c r="E19" i="189"/>
  <c r="E31" i="189"/>
  <c r="G20" i="189"/>
  <c r="G19" i="189"/>
  <c r="E33" i="189"/>
  <c r="E28" i="189"/>
  <c r="I20" i="189"/>
  <c r="I19" i="189"/>
  <c r="F93" i="189"/>
  <c r="F89" i="189"/>
  <c r="F85" i="189"/>
  <c r="F81" i="189"/>
  <c r="F72" i="189"/>
  <c r="F61" i="189"/>
  <c r="F96" i="189"/>
  <c r="F84" i="189"/>
  <c r="F55" i="189"/>
  <c r="F95" i="189"/>
  <c r="F91" i="189"/>
  <c r="F87" i="189"/>
  <c r="F83" i="189"/>
  <c r="F79" i="189"/>
  <c r="F94" i="189"/>
  <c r="F80" i="189"/>
  <c r="F73" i="189"/>
  <c r="F62" i="189"/>
  <c r="F57" i="189"/>
  <c r="F53" i="189"/>
  <c r="F52" i="189"/>
  <c r="F82" i="189"/>
  <c r="F58" i="189"/>
  <c r="F74" i="189"/>
  <c r="F71" i="189"/>
  <c r="F69" i="189"/>
  <c r="F60" i="189"/>
  <c r="F97" i="189"/>
  <c r="F59" i="189"/>
  <c r="F25" i="189"/>
  <c r="F28" i="189"/>
  <c r="F38" i="189"/>
  <c r="F42" i="189"/>
  <c r="F46" i="189"/>
  <c r="F23" i="189"/>
  <c r="F27" i="189"/>
  <c r="F36" i="189"/>
  <c r="F40" i="189"/>
  <c r="F44" i="189"/>
  <c r="F24" i="189"/>
  <c r="F32" i="189"/>
  <c r="F41" i="189"/>
  <c r="F37" i="189"/>
  <c r="F45" i="189"/>
  <c r="F26" i="189"/>
  <c r="F43" i="189"/>
  <c r="F39" i="189"/>
  <c r="F21" i="189"/>
  <c r="F115" i="189"/>
  <c r="F113" i="189"/>
  <c r="F114" i="189"/>
  <c r="F33" i="189"/>
  <c r="G28" i="189"/>
  <c r="H59" i="189"/>
  <c r="K20" i="189"/>
  <c r="K19" i="189"/>
  <c r="F19" i="189"/>
  <c r="F20" i="189"/>
  <c r="F31" i="189"/>
  <c r="H96" i="189"/>
  <c r="H84" i="189"/>
  <c r="H80" i="189"/>
  <c r="H71" i="189"/>
  <c r="H60" i="189"/>
  <c r="H58" i="189"/>
  <c r="H95" i="189"/>
  <c r="H91" i="189"/>
  <c r="H87" i="189"/>
  <c r="H83" i="189"/>
  <c r="H94" i="189"/>
  <c r="H73" i="189"/>
  <c r="H72" i="189"/>
  <c r="H62" i="189"/>
  <c r="H61" i="189"/>
  <c r="H57" i="189"/>
  <c r="H74" i="189"/>
  <c r="H69" i="189"/>
  <c r="H52" i="189"/>
  <c r="H82" i="189"/>
  <c r="H79" i="189"/>
  <c r="H55" i="189"/>
  <c r="H81" i="189"/>
  <c r="H93" i="189"/>
  <c r="H89" i="189"/>
  <c r="H85" i="189"/>
  <c r="H53" i="189"/>
  <c r="H97" i="189"/>
  <c r="H19" i="189"/>
  <c r="H24" i="189"/>
  <c r="H32" i="189"/>
  <c r="H37" i="189"/>
  <c r="H41" i="189"/>
  <c r="H45" i="189"/>
  <c r="H21" i="189"/>
  <c r="H26" i="189"/>
  <c r="H28" i="189"/>
  <c r="H39" i="189"/>
  <c r="H43" i="189"/>
  <c r="H23" i="189"/>
  <c r="H40" i="189"/>
  <c r="H27" i="189"/>
  <c r="H36" i="189"/>
  <c r="H44" i="189"/>
  <c r="H38" i="189"/>
  <c r="H25" i="189"/>
  <c r="H46" i="189"/>
  <c r="H42" i="189"/>
  <c r="H114" i="189"/>
  <c r="H115" i="189"/>
  <c r="H113" i="189"/>
  <c r="H20" i="189"/>
  <c r="E111" i="189"/>
  <c r="I28" i="189"/>
  <c r="J19" i="189"/>
  <c r="E112" i="189"/>
  <c r="F112" i="189"/>
  <c r="M20" i="189"/>
  <c r="M19" i="189"/>
  <c r="J95" i="189"/>
  <c r="J91" i="189"/>
  <c r="J87" i="189"/>
  <c r="J83" i="189"/>
  <c r="J79" i="189"/>
  <c r="J74" i="189"/>
  <c r="J69" i="189"/>
  <c r="J57" i="189"/>
  <c r="J53" i="189"/>
  <c r="J55" i="189"/>
  <c r="J97" i="189"/>
  <c r="J94" i="189"/>
  <c r="J80" i="189"/>
  <c r="J52" i="189"/>
  <c r="J93" i="189"/>
  <c r="J89" i="189"/>
  <c r="J85" i="189"/>
  <c r="J82" i="189"/>
  <c r="J81" i="189"/>
  <c r="J58" i="189"/>
  <c r="J96" i="189"/>
  <c r="J84" i="189"/>
  <c r="J73" i="189"/>
  <c r="J72" i="189"/>
  <c r="J71" i="189"/>
  <c r="J62" i="189"/>
  <c r="J61" i="189"/>
  <c r="J60" i="189"/>
  <c r="J59" i="189"/>
  <c r="E116" i="189"/>
  <c r="F116" i="189"/>
  <c r="F111" i="189"/>
  <c r="O20" i="189"/>
  <c r="O19" i="189"/>
  <c r="G112" i="189"/>
  <c r="H112" i="189"/>
  <c r="G111" i="189"/>
  <c r="J23" i="189"/>
  <c r="J27" i="189"/>
  <c r="J28" i="189"/>
  <c r="J36" i="189"/>
  <c r="J40" i="189"/>
  <c r="J44" i="189"/>
  <c r="J25" i="189"/>
  <c r="J38" i="189"/>
  <c r="J42" i="189"/>
  <c r="J21" i="189"/>
  <c r="J39" i="189"/>
  <c r="J46" i="189"/>
  <c r="J26" i="189"/>
  <c r="J43" i="189"/>
  <c r="J24" i="189"/>
  <c r="J41" i="189"/>
  <c r="J45" i="189"/>
  <c r="J32" i="189"/>
  <c r="J113" i="189"/>
  <c r="J37" i="189"/>
  <c r="J114" i="189"/>
  <c r="J115" i="189"/>
  <c r="J20" i="189"/>
  <c r="K28" i="189"/>
  <c r="L55" i="189"/>
  <c r="L94" i="189"/>
  <c r="L82" i="189"/>
  <c r="L73" i="189"/>
  <c r="L62" i="189"/>
  <c r="L52" i="189"/>
  <c r="L93" i="189"/>
  <c r="L89" i="189"/>
  <c r="L85" i="189"/>
  <c r="L81" i="189"/>
  <c r="L74" i="189"/>
  <c r="L69" i="189"/>
  <c r="L58" i="189"/>
  <c r="L71" i="189"/>
  <c r="L60" i="189"/>
  <c r="L53" i="189"/>
  <c r="L96" i="189"/>
  <c r="L95" i="189"/>
  <c r="L84" i="189"/>
  <c r="L83" i="189"/>
  <c r="L80" i="189"/>
  <c r="L72" i="189"/>
  <c r="L61" i="189"/>
  <c r="L57" i="189"/>
  <c r="L91" i="189"/>
  <c r="L87" i="189"/>
  <c r="L79" i="189"/>
  <c r="L97" i="189"/>
  <c r="L59" i="189"/>
  <c r="L19" i="189"/>
  <c r="Q20" i="189"/>
  <c r="Q19" i="189"/>
  <c r="L21" i="189"/>
  <c r="L26" i="189"/>
  <c r="L39" i="189"/>
  <c r="L43" i="189"/>
  <c r="L24" i="189"/>
  <c r="L28" i="189"/>
  <c r="L32" i="189"/>
  <c r="L37" i="189"/>
  <c r="L41" i="189"/>
  <c r="L45" i="189"/>
  <c r="L38" i="189"/>
  <c r="L25" i="189"/>
  <c r="L42" i="189"/>
  <c r="L46" i="189"/>
  <c r="L36" i="189"/>
  <c r="L40" i="189"/>
  <c r="L27" i="189"/>
  <c r="L23" i="189"/>
  <c r="L44" i="189"/>
  <c r="L113" i="189"/>
  <c r="L115" i="189"/>
  <c r="L114" i="189"/>
  <c r="L20" i="189"/>
  <c r="I112" i="189"/>
  <c r="J112" i="189"/>
  <c r="M28" i="189"/>
  <c r="H111" i="189"/>
  <c r="G116" i="189"/>
  <c r="H116" i="189"/>
  <c r="I111" i="189"/>
  <c r="N93" i="189"/>
  <c r="N89" i="189"/>
  <c r="N85" i="189"/>
  <c r="N81" i="189"/>
  <c r="N72" i="189"/>
  <c r="N61" i="189"/>
  <c r="N96" i="189"/>
  <c r="N84" i="189"/>
  <c r="N82" i="189"/>
  <c r="N71" i="189"/>
  <c r="N60" i="189"/>
  <c r="N53" i="189"/>
  <c r="N97" i="189"/>
  <c r="N79" i="189"/>
  <c r="N55" i="189"/>
  <c r="N57" i="189"/>
  <c r="N91" i="189"/>
  <c r="N87" i="189"/>
  <c r="N73" i="189"/>
  <c r="N62" i="189"/>
  <c r="N58" i="189"/>
  <c r="N74" i="189"/>
  <c r="N69" i="189"/>
  <c r="N95" i="189"/>
  <c r="N94" i="189"/>
  <c r="N83" i="189"/>
  <c r="N80" i="189"/>
  <c r="N52" i="189"/>
  <c r="N59" i="189"/>
  <c r="N19" i="189"/>
  <c r="K112" i="189"/>
  <c r="L112" i="189"/>
  <c r="I116" i="189"/>
  <c r="J116" i="189"/>
  <c r="J111" i="189"/>
  <c r="N25" i="189"/>
  <c r="N28" i="189"/>
  <c r="N38" i="189"/>
  <c r="N42" i="189"/>
  <c r="N46" i="189"/>
  <c r="N23" i="189"/>
  <c r="N27" i="189"/>
  <c r="N36" i="189"/>
  <c r="N40" i="189"/>
  <c r="N44" i="189"/>
  <c r="N37" i="189"/>
  <c r="N45" i="189"/>
  <c r="N24" i="189"/>
  <c r="N32" i="189"/>
  <c r="N41" i="189"/>
  <c r="N21" i="189"/>
  <c r="N39" i="189"/>
  <c r="N26" i="189"/>
  <c r="N43" i="189"/>
  <c r="N115" i="189"/>
  <c r="N114" i="189"/>
  <c r="N113" i="189"/>
  <c r="N20" i="189"/>
  <c r="K111" i="189"/>
  <c r="O28" i="189"/>
  <c r="S20" i="189"/>
  <c r="S19" i="189"/>
  <c r="P96" i="189"/>
  <c r="P84" i="189"/>
  <c r="P80" i="189"/>
  <c r="P71" i="189"/>
  <c r="P60" i="189"/>
  <c r="P58" i="189"/>
  <c r="P95" i="189"/>
  <c r="P91" i="189"/>
  <c r="P87" i="189"/>
  <c r="P83" i="189"/>
  <c r="P93" i="189"/>
  <c r="P89" i="189"/>
  <c r="P85" i="189"/>
  <c r="P79" i="189"/>
  <c r="P55" i="189"/>
  <c r="P73" i="189"/>
  <c r="P72" i="189"/>
  <c r="P62" i="189"/>
  <c r="P61" i="189"/>
  <c r="P57" i="189"/>
  <c r="P81" i="189"/>
  <c r="P74" i="189"/>
  <c r="P69" i="189"/>
  <c r="P94" i="189"/>
  <c r="P53" i="189"/>
  <c r="P52" i="189"/>
  <c r="P82" i="189"/>
  <c r="P97" i="189"/>
  <c r="P59" i="189"/>
  <c r="P24" i="189"/>
  <c r="P32" i="189"/>
  <c r="P37" i="189"/>
  <c r="P41" i="189"/>
  <c r="P45" i="189"/>
  <c r="P21" i="189"/>
  <c r="P26" i="189"/>
  <c r="P28" i="189"/>
  <c r="P39" i="189"/>
  <c r="P43" i="189"/>
  <c r="P27" i="189"/>
  <c r="P36" i="189"/>
  <c r="P44" i="189"/>
  <c r="P23" i="189"/>
  <c r="P40" i="189"/>
  <c r="P46" i="189"/>
  <c r="P42" i="189"/>
  <c r="P25" i="189"/>
  <c r="P114" i="189"/>
  <c r="P115" i="189"/>
  <c r="P113" i="189"/>
  <c r="P38" i="189"/>
  <c r="P20" i="189"/>
  <c r="L111" i="189"/>
  <c r="K116" i="189"/>
  <c r="L116" i="189"/>
  <c r="Q28" i="189"/>
  <c r="U20" i="189"/>
  <c r="U19" i="189"/>
  <c r="P19" i="189"/>
  <c r="M111" i="189"/>
  <c r="M112" i="189"/>
  <c r="N112" i="189"/>
  <c r="R95" i="189"/>
  <c r="R91" i="189"/>
  <c r="R87" i="189"/>
  <c r="R83" i="189"/>
  <c r="R79" i="189"/>
  <c r="R74" i="189"/>
  <c r="R69" i="189"/>
  <c r="R57" i="189"/>
  <c r="R53" i="189"/>
  <c r="R55" i="189"/>
  <c r="R94" i="189"/>
  <c r="R73" i="189"/>
  <c r="R72" i="189"/>
  <c r="R62" i="189"/>
  <c r="R61" i="189"/>
  <c r="R96" i="189"/>
  <c r="R84" i="189"/>
  <c r="R80" i="189"/>
  <c r="R52" i="189"/>
  <c r="R97" i="189"/>
  <c r="R58" i="189"/>
  <c r="R93" i="189"/>
  <c r="R89" i="189"/>
  <c r="R85" i="189"/>
  <c r="R71" i="189"/>
  <c r="R60" i="189"/>
  <c r="R82" i="189"/>
  <c r="R81" i="189"/>
  <c r="R59" i="189"/>
  <c r="R23" i="189"/>
  <c r="R27" i="189"/>
  <c r="R28" i="189"/>
  <c r="R36" i="189"/>
  <c r="R40" i="189"/>
  <c r="R44" i="189"/>
  <c r="R25" i="189"/>
  <c r="R38" i="189"/>
  <c r="R42" i="189"/>
  <c r="R26" i="189"/>
  <c r="R43" i="189"/>
  <c r="R21" i="189"/>
  <c r="R39" i="189"/>
  <c r="R37" i="189"/>
  <c r="R24" i="189"/>
  <c r="R41" i="189"/>
  <c r="R46" i="189"/>
  <c r="R113" i="189"/>
  <c r="R114" i="189"/>
  <c r="R32" i="189"/>
  <c r="R115" i="189"/>
  <c r="R45" i="189"/>
  <c r="R20" i="189"/>
  <c r="O111" i="189"/>
  <c r="S28" i="189"/>
  <c r="R19" i="189"/>
  <c r="M116" i="189"/>
  <c r="N116" i="189"/>
  <c r="N111" i="189"/>
  <c r="O112" i="189"/>
  <c r="P112" i="189"/>
  <c r="T55" i="189"/>
  <c r="T94" i="189"/>
  <c r="T82" i="189"/>
  <c r="T73" i="189"/>
  <c r="T62" i="189"/>
  <c r="T52" i="189"/>
  <c r="T93" i="189"/>
  <c r="T89" i="189"/>
  <c r="T85" i="189"/>
  <c r="T96" i="189"/>
  <c r="T84" i="189"/>
  <c r="T80" i="189"/>
  <c r="T57" i="189"/>
  <c r="T95" i="189"/>
  <c r="T91" i="189"/>
  <c r="T87" i="189"/>
  <c r="T83" i="189"/>
  <c r="T81" i="189"/>
  <c r="T74" i="189"/>
  <c r="T69" i="189"/>
  <c r="T58" i="189"/>
  <c r="T72" i="189"/>
  <c r="T71" i="189"/>
  <c r="T61" i="189"/>
  <c r="T60" i="189"/>
  <c r="T53" i="189"/>
  <c r="T79" i="189"/>
  <c r="T97" i="189"/>
  <c r="T59" i="189"/>
  <c r="T19" i="189"/>
  <c r="P111" i="189"/>
  <c r="O116" i="189"/>
  <c r="P116" i="189"/>
  <c r="Q111" i="189"/>
  <c r="Q112" i="189"/>
  <c r="R112" i="189"/>
  <c r="U28" i="189"/>
  <c r="T21" i="189"/>
  <c r="T26" i="189"/>
  <c r="T39" i="189"/>
  <c r="T43" i="189"/>
  <c r="T24" i="189"/>
  <c r="T28" i="189"/>
  <c r="T32" i="189"/>
  <c r="T37" i="189"/>
  <c r="T41" i="189"/>
  <c r="T45" i="189"/>
  <c r="T25" i="189"/>
  <c r="T42" i="189"/>
  <c r="T46" i="189"/>
  <c r="T38" i="189"/>
  <c r="T27" i="189"/>
  <c r="T44" i="189"/>
  <c r="T36" i="189"/>
  <c r="T113" i="189"/>
  <c r="T23" i="189"/>
  <c r="T114" i="189"/>
  <c r="T40" i="189"/>
  <c r="T115" i="189"/>
  <c r="T20" i="189"/>
  <c r="V59" i="189"/>
  <c r="S111" i="189"/>
  <c r="Q116" i="189"/>
  <c r="R116" i="189"/>
  <c r="R111" i="189"/>
  <c r="V25" i="189"/>
  <c r="V28" i="189"/>
  <c r="V38" i="189"/>
  <c r="V42" i="189"/>
  <c r="V46" i="189"/>
  <c r="V23" i="189"/>
  <c r="V27" i="189"/>
  <c r="V36" i="189"/>
  <c r="V40" i="189"/>
  <c r="V44" i="189"/>
  <c r="V24" i="189"/>
  <c r="V32" i="189"/>
  <c r="V41" i="189"/>
  <c r="V37" i="189"/>
  <c r="V45" i="189"/>
  <c r="V55" i="189"/>
  <c r="V21" i="189"/>
  <c r="V39" i="189"/>
  <c r="V60" i="189"/>
  <c r="V69" i="189"/>
  <c r="V74" i="189"/>
  <c r="V53" i="189"/>
  <c r="V57" i="189"/>
  <c r="V72" i="189"/>
  <c r="V43" i="189"/>
  <c r="V79" i="189"/>
  <c r="V58" i="189"/>
  <c r="V73" i="189"/>
  <c r="V80" i="189"/>
  <c r="V82" i="189"/>
  <c r="V83" i="189"/>
  <c r="V91" i="189"/>
  <c r="V96" i="189"/>
  <c r="V115" i="189"/>
  <c r="V71" i="189"/>
  <c r="V89" i="189"/>
  <c r="V94" i="189"/>
  <c r="V97" i="189"/>
  <c r="V85" i="189"/>
  <c r="V26" i="189"/>
  <c r="V61" i="189"/>
  <c r="V84" i="189"/>
  <c r="V87" i="189"/>
  <c r="V113" i="189"/>
  <c r="V93" i="189"/>
  <c r="V95" i="189"/>
  <c r="V114" i="189"/>
  <c r="V81" i="189"/>
  <c r="V20" i="189"/>
  <c r="S112" i="189"/>
  <c r="T112" i="189"/>
  <c r="V19" i="189"/>
  <c r="U111" i="189"/>
  <c r="V62" i="189"/>
  <c r="U112" i="189"/>
  <c r="V112" i="189"/>
  <c r="V52" i="189"/>
  <c r="T111" i="189"/>
  <c r="S116" i="189"/>
  <c r="T116" i="189"/>
  <c r="U116" i="189"/>
  <c r="V116" i="189"/>
  <c r="V111" i="189"/>
  <c r="G10" i="189"/>
  <c r="G31" i="189"/>
  <c r="H31" i="189"/>
  <c r="I10" i="189"/>
  <c r="I31" i="189"/>
  <c r="J31" i="189"/>
  <c r="G33" i="189"/>
  <c r="I33" i="189"/>
  <c r="H33" i="189"/>
  <c r="J33" i="189"/>
  <c r="K10" i="189"/>
  <c r="K31" i="189"/>
  <c r="L31" i="189"/>
  <c r="K33" i="189"/>
  <c r="M10" i="189"/>
  <c r="M31" i="189"/>
  <c r="L33" i="189"/>
  <c r="N31" i="189"/>
  <c r="M33" i="189"/>
  <c r="N33" i="189"/>
  <c r="O10" i="189"/>
  <c r="O31" i="189"/>
  <c r="P31" i="189"/>
  <c r="Q10" i="189"/>
  <c r="Q31" i="189"/>
  <c r="Q33" i="189"/>
  <c r="R33" i="189"/>
  <c r="S10" i="189"/>
  <c r="S31" i="189"/>
  <c r="T31" i="189"/>
  <c r="R31" i="189"/>
  <c r="O33" i="189"/>
  <c r="S33" i="189"/>
  <c r="P33" i="189"/>
  <c r="T33" i="189"/>
  <c r="U10" i="189"/>
  <c r="U31" i="189"/>
  <c r="V31" i="189"/>
  <c r="U33" i="189"/>
  <c r="V33" i="189"/>
  <c r="E10" i="188"/>
  <c r="E20" i="188"/>
  <c r="E19" i="188"/>
  <c r="E31" i="188"/>
  <c r="E33" i="188"/>
  <c r="G20" i="188"/>
  <c r="G19" i="188"/>
  <c r="E28" i="188"/>
  <c r="I20" i="188"/>
  <c r="I19" i="188"/>
  <c r="F96" i="188"/>
  <c r="F91" i="188"/>
  <c r="F84" i="188"/>
  <c r="F80" i="188"/>
  <c r="F74" i="188"/>
  <c r="F69" i="188"/>
  <c r="F61" i="188"/>
  <c r="F58" i="188"/>
  <c r="F53" i="188"/>
  <c r="F94" i="188"/>
  <c r="F82" i="188"/>
  <c r="F95" i="188"/>
  <c r="F87" i="188"/>
  <c r="F83" i="188"/>
  <c r="F79" i="188"/>
  <c r="F71" i="188"/>
  <c r="F62" i="188"/>
  <c r="F57" i="188"/>
  <c r="F52" i="188"/>
  <c r="F93" i="188"/>
  <c r="F73" i="188"/>
  <c r="F72" i="188"/>
  <c r="F85" i="188"/>
  <c r="F81" i="188"/>
  <c r="F89" i="188"/>
  <c r="F60" i="188"/>
  <c r="F97" i="188"/>
  <c r="F59" i="188"/>
  <c r="F21" i="188"/>
  <c r="F24" i="188"/>
  <c r="F26" i="188"/>
  <c r="F32" i="188"/>
  <c r="F37" i="188"/>
  <c r="F23" i="188"/>
  <c r="F25" i="188"/>
  <c r="F27" i="188"/>
  <c r="F28" i="188"/>
  <c r="F36" i="188"/>
  <c r="F38" i="188"/>
  <c r="F39" i="188"/>
  <c r="F40" i="188"/>
  <c r="F42" i="188"/>
  <c r="F44" i="188"/>
  <c r="F46" i="188"/>
  <c r="F43" i="188"/>
  <c r="F45" i="188"/>
  <c r="F41" i="188"/>
  <c r="F113" i="188"/>
  <c r="F115" i="188"/>
  <c r="F114" i="188"/>
  <c r="F31" i="188"/>
  <c r="F20" i="188"/>
  <c r="F33" i="188"/>
  <c r="K20" i="188"/>
  <c r="K19" i="188"/>
  <c r="F19" i="188"/>
  <c r="G28" i="188"/>
  <c r="H95" i="188"/>
  <c r="H89" i="188"/>
  <c r="H83" i="188"/>
  <c r="H79" i="188"/>
  <c r="H73" i="188"/>
  <c r="H60" i="188"/>
  <c r="H57" i="188"/>
  <c r="H52" i="188"/>
  <c r="H87" i="188"/>
  <c r="H74" i="188"/>
  <c r="H71" i="188"/>
  <c r="H62" i="188"/>
  <c r="H61" i="188"/>
  <c r="H91" i="188"/>
  <c r="H72" i="188"/>
  <c r="H96" i="188"/>
  <c r="H58" i="188"/>
  <c r="H53" i="188"/>
  <c r="H85" i="188"/>
  <c r="H82" i="188"/>
  <c r="H81" i="188"/>
  <c r="H84" i="188"/>
  <c r="H80" i="188"/>
  <c r="H69" i="188"/>
  <c r="H94" i="188"/>
  <c r="H93" i="188"/>
  <c r="H97" i="188"/>
  <c r="H59" i="188"/>
  <c r="E112" i="188"/>
  <c r="H23" i="188"/>
  <c r="H25" i="188"/>
  <c r="H27" i="188"/>
  <c r="H28" i="188"/>
  <c r="H26" i="188"/>
  <c r="H36" i="188"/>
  <c r="H38" i="188"/>
  <c r="H39" i="188"/>
  <c r="H40" i="188"/>
  <c r="H42" i="188"/>
  <c r="H44" i="188"/>
  <c r="H46" i="188"/>
  <c r="H21" i="188"/>
  <c r="H41" i="188"/>
  <c r="H43" i="188"/>
  <c r="H45" i="188"/>
  <c r="H24" i="188"/>
  <c r="H32" i="188"/>
  <c r="H37" i="188"/>
  <c r="H114" i="188"/>
  <c r="H113" i="188"/>
  <c r="H115" i="188"/>
  <c r="H20" i="188"/>
  <c r="M20" i="188"/>
  <c r="M19" i="188"/>
  <c r="I28" i="188"/>
  <c r="E111" i="188"/>
  <c r="H19" i="188"/>
  <c r="J94" i="188"/>
  <c r="J87" i="188"/>
  <c r="J82" i="188"/>
  <c r="J72" i="188"/>
  <c r="J95" i="188"/>
  <c r="J91" i="188"/>
  <c r="J83" i="188"/>
  <c r="J79" i="188"/>
  <c r="J57" i="188"/>
  <c r="J52" i="188"/>
  <c r="J96" i="188"/>
  <c r="J93" i="188"/>
  <c r="J85" i="188"/>
  <c r="J84" i="188"/>
  <c r="J81" i="188"/>
  <c r="J80" i="188"/>
  <c r="J58" i="188"/>
  <c r="J53" i="188"/>
  <c r="J74" i="188"/>
  <c r="J73" i="188"/>
  <c r="J71" i="188"/>
  <c r="J69" i="188"/>
  <c r="J89" i="188"/>
  <c r="J62" i="188"/>
  <c r="J61" i="188"/>
  <c r="J60" i="188"/>
  <c r="J97" i="188"/>
  <c r="J59" i="188"/>
  <c r="J19" i="188"/>
  <c r="F111" i="188"/>
  <c r="E116" i="188"/>
  <c r="F116" i="188"/>
  <c r="O20" i="188"/>
  <c r="O19" i="188"/>
  <c r="G112" i="188"/>
  <c r="F112" i="188"/>
  <c r="J23" i="188"/>
  <c r="J25" i="188"/>
  <c r="J27" i="188"/>
  <c r="J36" i="188"/>
  <c r="J21" i="188"/>
  <c r="J24" i="188"/>
  <c r="J26" i="188"/>
  <c r="J28" i="188"/>
  <c r="J32" i="188"/>
  <c r="J37" i="188"/>
  <c r="J39" i="188"/>
  <c r="J41" i="188"/>
  <c r="J43" i="188"/>
  <c r="J45" i="188"/>
  <c r="J46" i="188"/>
  <c r="J38" i="188"/>
  <c r="J40" i="188"/>
  <c r="J44" i="188"/>
  <c r="J114" i="188"/>
  <c r="J113" i="188"/>
  <c r="J115" i="188"/>
  <c r="J42" i="188"/>
  <c r="J20" i="188"/>
  <c r="K28" i="188"/>
  <c r="L19" i="188"/>
  <c r="G111" i="188"/>
  <c r="L93" i="188"/>
  <c r="L85" i="188"/>
  <c r="L81" i="188"/>
  <c r="L71" i="188"/>
  <c r="L62" i="188"/>
  <c r="L96" i="188"/>
  <c r="L84" i="188"/>
  <c r="L80" i="188"/>
  <c r="L72" i="188"/>
  <c r="L58" i="188"/>
  <c r="L53" i="188"/>
  <c r="L89" i="188"/>
  <c r="L73" i="188"/>
  <c r="L69" i="188"/>
  <c r="L60" i="188"/>
  <c r="L87" i="188"/>
  <c r="L82" i="188"/>
  <c r="L91" i="188"/>
  <c r="L83" i="188"/>
  <c r="L79" i="188"/>
  <c r="L61" i="188"/>
  <c r="L94" i="188"/>
  <c r="L95" i="188"/>
  <c r="L74" i="188"/>
  <c r="L57" i="188"/>
  <c r="L52" i="188"/>
  <c r="L97" i="188"/>
  <c r="L59" i="188"/>
  <c r="I111" i="188"/>
  <c r="G116" i="188"/>
  <c r="H116" i="188"/>
  <c r="H111" i="188"/>
  <c r="M28" i="188"/>
  <c r="I112" i="188"/>
  <c r="Q20" i="188"/>
  <c r="Q19" i="188"/>
  <c r="L21" i="188"/>
  <c r="L24" i="188"/>
  <c r="L26" i="188"/>
  <c r="L32" i="188"/>
  <c r="L28" i="188"/>
  <c r="L41" i="188"/>
  <c r="L43" i="188"/>
  <c r="L45" i="188"/>
  <c r="L25" i="188"/>
  <c r="L37" i="188"/>
  <c r="L38" i="188"/>
  <c r="L40" i="188"/>
  <c r="L42" i="188"/>
  <c r="L44" i="188"/>
  <c r="L46" i="188"/>
  <c r="L27" i="188"/>
  <c r="L23" i="188"/>
  <c r="L39" i="188"/>
  <c r="L36" i="188"/>
  <c r="L113" i="188"/>
  <c r="L115" i="188"/>
  <c r="L114" i="188"/>
  <c r="L20" i="188"/>
  <c r="H112" i="188"/>
  <c r="N96" i="188"/>
  <c r="N91" i="188"/>
  <c r="N84" i="188"/>
  <c r="N80" i="188"/>
  <c r="N74" i="188"/>
  <c r="N69" i="188"/>
  <c r="N61" i="188"/>
  <c r="N58" i="188"/>
  <c r="N53" i="188"/>
  <c r="N93" i="188"/>
  <c r="N89" i="188"/>
  <c r="N85" i="188"/>
  <c r="N81" i="188"/>
  <c r="N73" i="188"/>
  <c r="N60" i="188"/>
  <c r="N94" i="188"/>
  <c r="N82" i="188"/>
  <c r="N83" i="188"/>
  <c r="N79" i="188"/>
  <c r="N72" i="188"/>
  <c r="N62" i="188"/>
  <c r="N95" i="188"/>
  <c r="N57" i="188"/>
  <c r="N52" i="188"/>
  <c r="N87" i="188"/>
  <c r="N71" i="188"/>
  <c r="N97" i="188"/>
  <c r="N59" i="188"/>
  <c r="N19" i="188"/>
  <c r="J111" i="188"/>
  <c r="I116" i="188"/>
  <c r="J116" i="188"/>
  <c r="N21" i="188"/>
  <c r="N24" i="188"/>
  <c r="N26" i="188"/>
  <c r="N32" i="188"/>
  <c r="N23" i="188"/>
  <c r="N25" i="188"/>
  <c r="N27" i="188"/>
  <c r="N28" i="188"/>
  <c r="N36" i="188"/>
  <c r="N38" i="188"/>
  <c r="N39" i="188"/>
  <c r="N37" i="188"/>
  <c r="N40" i="188"/>
  <c r="N42" i="188"/>
  <c r="N44" i="188"/>
  <c r="N46" i="188"/>
  <c r="N41" i="188"/>
  <c r="N43" i="188"/>
  <c r="N113" i="188"/>
  <c r="N115" i="188"/>
  <c r="N114" i="188"/>
  <c r="N45" i="188"/>
  <c r="N20" i="188"/>
  <c r="K111" i="188"/>
  <c r="J112" i="188"/>
  <c r="K112" i="188"/>
  <c r="S20" i="188"/>
  <c r="S19" i="188"/>
  <c r="O28" i="188"/>
  <c r="P95" i="188"/>
  <c r="P89" i="188"/>
  <c r="P83" i="188"/>
  <c r="P79" i="188"/>
  <c r="P73" i="188"/>
  <c r="P60" i="188"/>
  <c r="P57" i="188"/>
  <c r="P52" i="188"/>
  <c r="P94" i="188"/>
  <c r="P82" i="188"/>
  <c r="P69" i="188"/>
  <c r="P87" i="188"/>
  <c r="P74" i="188"/>
  <c r="P71" i="188"/>
  <c r="P62" i="188"/>
  <c r="P61" i="188"/>
  <c r="P91" i="188"/>
  <c r="P85" i="188"/>
  <c r="P81" i="188"/>
  <c r="P84" i="188"/>
  <c r="P80" i="188"/>
  <c r="P93" i="188"/>
  <c r="P96" i="188"/>
  <c r="P72" i="188"/>
  <c r="P58" i="188"/>
  <c r="P53" i="188"/>
  <c r="P97" i="188"/>
  <c r="P59" i="188"/>
  <c r="P19" i="188"/>
  <c r="M111" i="188"/>
  <c r="U20" i="188"/>
  <c r="U19" i="188"/>
  <c r="P23" i="188"/>
  <c r="P25" i="188"/>
  <c r="P27" i="188"/>
  <c r="P28" i="188"/>
  <c r="P24" i="188"/>
  <c r="P32" i="188"/>
  <c r="P37" i="188"/>
  <c r="P40" i="188"/>
  <c r="P42" i="188"/>
  <c r="P44" i="188"/>
  <c r="P46" i="188"/>
  <c r="P36" i="188"/>
  <c r="P41" i="188"/>
  <c r="P43" i="188"/>
  <c r="P45" i="188"/>
  <c r="P21" i="188"/>
  <c r="P38" i="188"/>
  <c r="P39" i="188"/>
  <c r="P26" i="188"/>
  <c r="P114" i="188"/>
  <c r="P115" i="188"/>
  <c r="P113" i="188"/>
  <c r="P20" i="188"/>
  <c r="M112" i="188"/>
  <c r="Q28" i="188"/>
  <c r="L112" i="188"/>
  <c r="L111" i="188"/>
  <c r="K116" i="188"/>
  <c r="L116" i="188"/>
  <c r="R94" i="188"/>
  <c r="R87" i="188"/>
  <c r="R82" i="188"/>
  <c r="R72" i="188"/>
  <c r="R74" i="188"/>
  <c r="R71" i="188"/>
  <c r="R62" i="188"/>
  <c r="R61" i="188"/>
  <c r="R95" i="188"/>
  <c r="R91" i="188"/>
  <c r="R83" i="188"/>
  <c r="R79" i="188"/>
  <c r="R57" i="188"/>
  <c r="R52" i="188"/>
  <c r="R84" i="188"/>
  <c r="R80" i="188"/>
  <c r="R69" i="188"/>
  <c r="R93" i="188"/>
  <c r="R89" i="188"/>
  <c r="R60" i="188"/>
  <c r="R96" i="188"/>
  <c r="R58" i="188"/>
  <c r="R53" i="188"/>
  <c r="R85" i="188"/>
  <c r="R81" i="188"/>
  <c r="R73" i="188"/>
  <c r="R97" i="188"/>
  <c r="R59" i="188"/>
  <c r="R23" i="188"/>
  <c r="R25" i="188"/>
  <c r="R27" i="188"/>
  <c r="R36" i="188"/>
  <c r="R21" i="188"/>
  <c r="R24" i="188"/>
  <c r="R26" i="188"/>
  <c r="R28" i="188"/>
  <c r="R32" i="188"/>
  <c r="R37" i="188"/>
  <c r="R39" i="188"/>
  <c r="R38" i="188"/>
  <c r="R41" i="188"/>
  <c r="R43" i="188"/>
  <c r="R45" i="188"/>
  <c r="R44" i="188"/>
  <c r="R46" i="188"/>
  <c r="R42" i="188"/>
  <c r="R114" i="188"/>
  <c r="R40" i="188"/>
  <c r="R113" i="188"/>
  <c r="R115" i="188"/>
  <c r="R20" i="188"/>
  <c r="N112" i="188"/>
  <c r="S28" i="188"/>
  <c r="O111" i="188"/>
  <c r="M116" i="188"/>
  <c r="N116" i="188"/>
  <c r="N111" i="188"/>
  <c r="R19" i="188"/>
  <c r="O112" i="188"/>
  <c r="T93" i="188"/>
  <c r="T85" i="188"/>
  <c r="T81" i="188"/>
  <c r="T71" i="188"/>
  <c r="T62" i="188"/>
  <c r="T95" i="188"/>
  <c r="T91" i="188"/>
  <c r="T87" i="188"/>
  <c r="T83" i="188"/>
  <c r="T79" i="188"/>
  <c r="T57" i="188"/>
  <c r="T52" i="188"/>
  <c r="T96" i="188"/>
  <c r="T84" i="188"/>
  <c r="T80" i="188"/>
  <c r="T72" i="188"/>
  <c r="T58" i="188"/>
  <c r="T53" i="188"/>
  <c r="T89" i="188"/>
  <c r="T61" i="188"/>
  <c r="T60" i="188"/>
  <c r="T94" i="188"/>
  <c r="T74" i="188"/>
  <c r="T73" i="188"/>
  <c r="T82" i="188"/>
  <c r="T69" i="188"/>
  <c r="T97" i="188"/>
  <c r="T59" i="188"/>
  <c r="U28" i="188"/>
  <c r="V59" i="188"/>
  <c r="P111" i="188"/>
  <c r="O116" i="188"/>
  <c r="P116" i="188"/>
  <c r="T21" i="188"/>
  <c r="T24" i="188"/>
  <c r="T26" i="188"/>
  <c r="T32" i="188"/>
  <c r="T28" i="188"/>
  <c r="T27" i="188"/>
  <c r="T39" i="188"/>
  <c r="T41" i="188"/>
  <c r="T43" i="188"/>
  <c r="T45" i="188"/>
  <c r="T23" i="188"/>
  <c r="T40" i="188"/>
  <c r="T42" i="188"/>
  <c r="T44" i="188"/>
  <c r="T46" i="188"/>
  <c r="T25" i="188"/>
  <c r="T36" i="188"/>
  <c r="T37" i="188"/>
  <c r="T113" i="188"/>
  <c r="T115" i="188"/>
  <c r="T114" i="188"/>
  <c r="T38" i="188"/>
  <c r="T20" i="188"/>
  <c r="Q111" i="188"/>
  <c r="P112" i="188"/>
  <c r="Q112" i="188"/>
  <c r="T19" i="188"/>
  <c r="S112" i="188"/>
  <c r="S111" i="188"/>
  <c r="R111" i="188"/>
  <c r="Q116" i="188"/>
  <c r="R116" i="188"/>
  <c r="R112" i="188"/>
  <c r="V21" i="188"/>
  <c r="V24" i="188"/>
  <c r="V26" i="188"/>
  <c r="V32" i="188"/>
  <c r="V23" i="188"/>
  <c r="V25" i="188"/>
  <c r="V27" i="188"/>
  <c r="V28" i="188"/>
  <c r="V36" i="188"/>
  <c r="V38" i="188"/>
  <c r="V37" i="188"/>
  <c r="V40" i="188"/>
  <c r="V42" i="188"/>
  <c r="V44" i="188"/>
  <c r="V46" i="188"/>
  <c r="V39" i="188"/>
  <c r="V41" i="188"/>
  <c r="V45" i="188"/>
  <c r="V43" i="188"/>
  <c r="V113" i="188"/>
  <c r="V115" i="188"/>
  <c r="V114" i="188"/>
  <c r="V20" i="188"/>
  <c r="V19" i="188"/>
  <c r="V93" i="188"/>
  <c r="V89" i="188"/>
  <c r="V85" i="188"/>
  <c r="V81" i="188"/>
  <c r="V73" i="188"/>
  <c r="V60" i="188"/>
  <c r="V52" i="188"/>
  <c r="V95" i="188"/>
  <c r="V91" i="188"/>
  <c r="V87" i="188"/>
  <c r="V83" i="188"/>
  <c r="V79" i="188"/>
  <c r="V69" i="188"/>
  <c r="V72" i="188"/>
  <c r="V62" i="188"/>
  <c r="U112" i="188"/>
  <c r="V58" i="188"/>
  <c r="V94" i="188"/>
  <c r="V82" i="188"/>
  <c r="V74" i="188"/>
  <c r="V61" i="188"/>
  <c r="V57" i="188"/>
  <c r="V53" i="188"/>
  <c r="V96" i="188"/>
  <c r="V84" i="188"/>
  <c r="V80" i="188"/>
  <c r="V71" i="188"/>
  <c r="U111" i="188"/>
  <c r="T112" i="188"/>
  <c r="V97" i="188"/>
  <c r="T111" i="188"/>
  <c r="S116" i="188"/>
  <c r="T116" i="188"/>
  <c r="V111" i="188"/>
  <c r="U116" i="188"/>
  <c r="V116" i="188"/>
  <c r="V112" i="188"/>
  <c r="G10" i="188"/>
  <c r="G31" i="188"/>
  <c r="H31" i="188"/>
  <c r="G33" i="188"/>
  <c r="H33" i="188"/>
  <c r="I10" i="188"/>
  <c r="I31" i="188"/>
  <c r="J31" i="188"/>
  <c r="I33" i="188"/>
  <c r="J33" i="188"/>
  <c r="K10" i="188"/>
  <c r="K31" i="188"/>
  <c r="K33" i="188"/>
  <c r="L31" i="188"/>
  <c r="L33" i="188"/>
  <c r="M10" i="188"/>
  <c r="M31" i="188"/>
  <c r="N31" i="188"/>
  <c r="M33" i="188"/>
  <c r="N33" i="188"/>
  <c r="O10" i="188"/>
  <c r="O31" i="188"/>
  <c r="P31" i="188"/>
  <c r="O33" i="188"/>
  <c r="P33" i="188"/>
  <c r="Q10" i="188"/>
  <c r="Q31" i="188"/>
  <c r="R31" i="188"/>
  <c r="Q33" i="188"/>
  <c r="R33" i="188"/>
  <c r="S10" i="188"/>
  <c r="S31" i="188"/>
  <c r="T31" i="188"/>
  <c r="S33" i="188"/>
  <c r="T33" i="188"/>
  <c r="U10" i="188"/>
  <c r="U31" i="188"/>
  <c r="V31" i="188"/>
  <c r="D23" i="188"/>
  <c r="D27" i="188"/>
  <c r="C31" i="188"/>
  <c r="C33" i="188"/>
  <c r="D33" i="188"/>
  <c r="D36" i="188"/>
  <c r="D44" i="188"/>
  <c r="D31" i="188"/>
  <c r="U33" i="188"/>
  <c r="D20" i="188"/>
  <c r="D25" i="188"/>
  <c r="D28" i="188"/>
  <c r="D38" i="188"/>
  <c r="D42" i="188"/>
  <c r="D46" i="188"/>
  <c r="D114" i="188"/>
  <c r="D21" i="188"/>
  <c r="D26" i="188"/>
  <c r="D39" i="188"/>
  <c r="D43" i="188"/>
  <c r="D115" i="188"/>
  <c r="D24" i="188"/>
  <c r="D32" i="188"/>
  <c r="D37" i="188"/>
  <c r="D41" i="188"/>
  <c r="D45" i="188"/>
  <c r="D113" i="188"/>
  <c r="D40" i="188"/>
  <c r="D19" i="188"/>
  <c r="V33" i="188"/>
  <c r="C111" i="188"/>
  <c r="C112" i="188"/>
  <c r="D112" i="188"/>
  <c r="D111" i="188"/>
  <c r="C116" i="188"/>
  <c r="D116" i="188"/>
  <c r="C31" i="190"/>
  <c r="C33" i="190"/>
  <c r="D19" i="190"/>
  <c r="D28" i="190"/>
  <c r="D21" i="190"/>
  <c r="D26" i="190"/>
  <c r="D39" i="190"/>
  <c r="D43" i="190"/>
  <c r="D24" i="190"/>
  <c r="D32" i="190"/>
  <c r="D37" i="190"/>
  <c r="D41" i="190"/>
  <c r="D45" i="190"/>
  <c r="D27" i="190"/>
  <c r="D42" i="190"/>
  <c r="D114" i="190"/>
  <c r="D23" i="190"/>
  <c r="D38" i="190"/>
  <c r="D46" i="190"/>
  <c r="D25" i="190"/>
  <c r="D40" i="190"/>
  <c r="D113" i="190"/>
  <c r="D44" i="190"/>
  <c r="D115" i="190"/>
  <c r="D36" i="190"/>
  <c r="D20" i="190"/>
  <c r="D31" i="190"/>
  <c r="D33" i="190"/>
  <c r="C111" i="190"/>
  <c r="C112" i="190"/>
  <c r="D111" i="190"/>
  <c r="C116" i="190"/>
  <c r="D116" i="190"/>
  <c r="D112" i="190"/>
  <c r="E10" i="190"/>
  <c r="E19" i="190"/>
  <c r="E31" i="190"/>
  <c r="E33" i="190"/>
  <c r="E28" i="190"/>
  <c r="G20" i="190"/>
  <c r="G19" i="190"/>
  <c r="F96" i="190"/>
  <c r="F91" i="190"/>
  <c r="F82" i="190"/>
  <c r="F72" i="190"/>
  <c r="F61" i="190"/>
  <c r="F52" i="190"/>
  <c r="F95" i="190"/>
  <c r="F85" i="190"/>
  <c r="F55" i="190"/>
  <c r="F93" i="190"/>
  <c r="F87" i="190"/>
  <c r="F83" i="190"/>
  <c r="F80" i="190"/>
  <c r="F74" i="190"/>
  <c r="F69" i="190"/>
  <c r="F58" i="190"/>
  <c r="F81" i="190"/>
  <c r="F71" i="190"/>
  <c r="F60" i="190"/>
  <c r="F53" i="190"/>
  <c r="F94" i="190"/>
  <c r="F89" i="190"/>
  <c r="F84" i="190"/>
  <c r="F79" i="190"/>
  <c r="F73" i="190"/>
  <c r="F62" i="190"/>
  <c r="F57" i="190"/>
  <c r="F97" i="190"/>
  <c r="F59" i="190"/>
  <c r="F19" i="190"/>
  <c r="F20" i="190"/>
  <c r="I20" i="190"/>
  <c r="I19" i="190"/>
  <c r="F21" i="190"/>
  <c r="F26" i="190"/>
  <c r="F33" i="190"/>
  <c r="F39" i="190"/>
  <c r="F43" i="190"/>
  <c r="F24" i="190"/>
  <c r="F32" i="190"/>
  <c r="F37" i="190"/>
  <c r="F41" i="190"/>
  <c r="F45" i="190"/>
  <c r="F25" i="190"/>
  <c r="F28" i="190"/>
  <c r="F38" i="190"/>
  <c r="F42" i="190"/>
  <c r="F46" i="190"/>
  <c r="F44" i="190"/>
  <c r="F23" i="190"/>
  <c r="F40" i="190"/>
  <c r="F27" i="190"/>
  <c r="F114" i="190"/>
  <c r="F31" i="190"/>
  <c r="F36" i="190"/>
  <c r="F113" i="190"/>
  <c r="F115" i="190"/>
  <c r="G28" i="190"/>
  <c r="H95" i="190"/>
  <c r="H85" i="190"/>
  <c r="H81" i="190"/>
  <c r="H71" i="190"/>
  <c r="H60" i="190"/>
  <c r="H58" i="190"/>
  <c r="H55" i="190"/>
  <c r="H94" i="190"/>
  <c r="H89" i="190"/>
  <c r="H84" i="190"/>
  <c r="H96" i="190"/>
  <c r="H91" i="190"/>
  <c r="H53" i="190"/>
  <c r="H52" i="190"/>
  <c r="H82" i="190"/>
  <c r="H79" i="190"/>
  <c r="H73" i="190"/>
  <c r="H72" i="190"/>
  <c r="H62" i="190"/>
  <c r="H61" i="190"/>
  <c r="H57" i="190"/>
  <c r="H93" i="190"/>
  <c r="H87" i="190"/>
  <c r="H83" i="190"/>
  <c r="H80" i="190"/>
  <c r="H74" i="190"/>
  <c r="H69" i="190"/>
  <c r="H97" i="190"/>
  <c r="H59" i="190"/>
  <c r="H25" i="190"/>
  <c r="H38" i="190"/>
  <c r="H42" i="190"/>
  <c r="H46" i="190"/>
  <c r="H23" i="190"/>
  <c r="H27" i="190"/>
  <c r="H36" i="190"/>
  <c r="H40" i="190"/>
  <c r="H44" i="190"/>
  <c r="H24" i="190"/>
  <c r="H32" i="190"/>
  <c r="H37" i="190"/>
  <c r="H41" i="190"/>
  <c r="H45" i="190"/>
  <c r="H26" i="190"/>
  <c r="H28" i="190"/>
  <c r="H39" i="190"/>
  <c r="H21" i="190"/>
  <c r="H113" i="190"/>
  <c r="H115" i="190"/>
  <c r="H43" i="190"/>
  <c r="H114" i="190"/>
  <c r="I28" i="190"/>
  <c r="J20" i="190"/>
  <c r="E111" i="190"/>
  <c r="H20" i="190"/>
  <c r="E112" i="190"/>
  <c r="K20" i="190"/>
  <c r="K19" i="190"/>
  <c r="H19" i="190"/>
  <c r="J55" i="190"/>
  <c r="J94" i="190"/>
  <c r="J89" i="190"/>
  <c r="J84" i="190"/>
  <c r="J80" i="190"/>
  <c r="J74" i="190"/>
  <c r="J69" i="190"/>
  <c r="J57" i="190"/>
  <c r="J93" i="190"/>
  <c r="J87" i="190"/>
  <c r="J83" i="190"/>
  <c r="J96" i="190"/>
  <c r="J91" i="190"/>
  <c r="J81" i="190"/>
  <c r="J71" i="190"/>
  <c r="J60" i="190"/>
  <c r="J53" i="190"/>
  <c r="J52" i="190"/>
  <c r="J82" i="190"/>
  <c r="J79" i="190"/>
  <c r="J73" i="190"/>
  <c r="J72" i="190"/>
  <c r="J62" i="190"/>
  <c r="J61" i="190"/>
  <c r="J95" i="190"/>
  <c r="J85" i="190"/>
  <c r="J58" i="190"/>
  <c r="J97" i="190"/>
  <c r="J59" i="190"/>
  <c r="K28" i="190"/>
  <c r="L20" i="190"/>
  <c r="G111" i="190"/>
  <c r="G112" i="190"/>
  <c r="F112" i="190"/>
  <c r="F111" i="190"/>
  <c r="E116" i="190"/>
  <c r="F116" i="190"/>
  <c r="J24" i="190"/>
  <c r="J32" i="190"/>
  <c r="J37" i="190"/>
  <c r="J41" i="190"/>
  <c r="J45" i="190"/>
  <c r="J21" i="190"/>
  <c r="J26" i="190"/>
  <c r="J39" i="190"/>
  <c r="J43" i="190"/>
  <c r="J23" i="190"/>
  <c r="J27" i="190"/>
  <c r="J28" i="190"/>
  <c r="J36" i="190"/>
  <c r="J40" i="190"/>
  <c r="J44" i="190"/>
  <c r="J42" i="190"/>
  <c r="J46" i="190"/>
  <c r="J38" i="190"/>
  <c r="J114" i="190"/>
  <c r="J25" i="190"/>
  <c r="J115" i="190"/>
  <c r="J113" i="190"/>
  <c r="M20" i="190"/>
  <c r="M19" i="190"/>
  <c r="J19" i="190"/>
  <c r="L93" i="190"/>
  <c r="L87" i="190"/>
  <c r="L83" i="190"/>
  <c r="L79" i="190"/>
  <c r="L73" i="190"/>
  <c r="L62" i="190"/>
  <c r="L53" i="190"/>
  <c r="L96" i="190"/>
  <c r="L91" i="190"/>
  <c r="L82" i="190"/>
  <c r="L72" i="190"/>
  <c r="L61" i="190"/>
  <c r="L95" i="190"/>
  <c r="L85" i="190"/>
  <c r="L57" i="190"/>
  <c r="L94" i="190"/>
  <c r="L89" i="190"/>
  <c r="L84" i="190"/>
  <c r="L80" i="190"/>
  <c r="L74" i="190"/>
  <c r="L69" i="190"/>
  <c r="L58" i="190"/>
  <c r="L55" i="190"/>
  <c r="L81" i="190"/>
  <c r="L71" i="190"/>
  <c r="L60" i="190"/>
  <c r="L52" i="190"/>
  <c r="L97" i="190"/>
  <c r="L59" i="190"/>
  <c r="L19" i="190"/>
  <c r="I112" i="190"/>
  <c r="G116" i="190"/>
  <c r="H116" i="190"/>
  <c r="H111" i="190"/>
  <c r="L23" i="190"/>
  <c r="L27" i="190"/>
  <c r="L36" i="190"/>
  <c r="L40" i="190"/>
  <c r="L44" i="190"/>
  <c r="L25" i="190"/>
  <c r="L38" i="190"/>
  <c r="L42" i="190"/>
  <c r="L46" i="190"/>
  <c r="L21" i="190"/>
  <c r="L26" i="190"/>
  <c r="L39" i="190"/>
  <c r="L43" i="190"/>
  <c r="L24" i="190"/>
  <c r="L37" i="190"/>
  <c r="L32" i="190"/>
  <c r="L45" i="190"/>
  <c r="L115" i="190"/>
  <c r="L41" i="190"/>
  <c r="L113" i="190"/>
  <c r="L114" i="190"/>
  <c r="L28" i="190"/>
  <c r="O20" i="190"/>
  <c r="O19" i="190"/>
  <c r="I111" i="190"/>
  <c r="H112" i="190"/>
  <c r="M28" i="190"/>
  <c r="N96" i="190"/>
  <c r="N91" i="190"/>
  <c r="N82" i="190"/>
  <c r="N72" i="190"/>
  <c r="N61" i="190"/>
  <c r="N52" i="190"/>
  <c r="N95" i="190"/>
  <c r="N85" i="190"/>
  <c r="N79" i="190"/>
  <c r="N73" i="190"/>
  <c r="N62" i="190"/>
  <c r="N57" i="190"/>
  <c r="N94" i="190"/>
  <c r="N89" i="190"/>
  <c r="N84" i="190"/>
  <c r="N80" i="190"/>
  <c r="N74" i="190"/>
  <c r="N69" i="190"/>
  <c r="N58" i="190"/>
  <c r="N55" i="190"/>
  <c r="N93" i="190"/>
  <c r="N87" i="190"/>
  <c r="N83" i="190"/>
  <c r="N81" i="190"/>
  <c r="N71" i="190"/>
  <c r="N60" i="190"/>
  <c r="N53" i="190"/>
  <c r="N97" i="190"/>
  <c r="N59" i="190"/>
  <c r="N19" i="190"/>
  <c r="O28" i="190"/>
  <c r="J111" i="190"/>
  <c r="I116" i="190"/>
  <c r="J116" i="190"/>
  <c r="K112" i="190"/>
  <c r="N20" i="190"/>
  <c r="Q20" i="190"/>
  <c r="Q19" i="190"/>
  <c r="N21" i="190"/>
  <c r="N26" i="190"/>
  <c r="N39" i="190"/>
  <c r="N43" i="190"/>
  <c r="N24" i="190"/>
  <c r="N32" i="190"/>
  <c r="N37" i="190"/>
  <c r="N41" i="190"/>
  <c r="N45" i="190"/>
  <c r="N25" i="190"/>
  <c r="N28" i="190"/>
  <c r="N38" i="190"/>
  <c r="N42" i="190"/>
  <c r="N46" i="190"/>
  <c r="N40" i="190"/>
  <c r="N44" i="190"/>
  <c r="N27" i="190"/>
  <c r="N36" i="190"/>
  <c r="N114" i="190"/>
  <c r="N23" i="190"/>
  <c r="N113" i="190"/>
  <c r="N115" i="190"/>
  <c r="K111" i="190"/>
  <c r="J112" i="190"/>
  <c r="P95" i="190"/>
  <c r="P85" i="190"/>
  <c r="P81" i="190"/>
  <c r="P71" i="190"/>
  <c r="P60" i="190"/>
  <c r="P58" i="190"/>
  <c r="P55" i="190"/>
  <c r="P94" i="190"/>
  <c r="P89" i="190"/>
  <c r="P84" i="190"/>
  <c r="P80" i="190"/>
  <c r="P74" i="190"/>
  <c r="P69" i="190"/>
  <c r="P93" i="190"/>
  <c r="P87" i="190"/>
  <c r="P83" i="190"/>
  <c r="P53" i="190"/>
  <c r="P52" i="190"/>
  <c r="P96" i="190"/>
  <c r="P91" i="190"/>
  <c r="P82" i="190"/>
  <c r="P79" i="190"/>
  <c r="P73" i="190"/>
  <c r="P72" i="190"/>
  <c r="P62" i="190"/>
  <c r="P61" i="190"/>
  <c r="P57" i="190"/>
  <c r="P97" i="190"/>
  <c r="P59" i="190"/>
  <c r="P25" i="190"/>
  <c r="P38" i="190"/>
  <c r="P42" i="190"/>
  <c r="P46" i="190"/>
  <c r="P23" i="190"/>
  <c r="P27" i="190"/>
  <c r="P36" i="190"/>
  <c r="P40" i="190"/>
  <c r="P44" i="190"/>
  <c r="P24" i="190"/>
  <c r="P32" i="190"/>
  <c r="P37" i="190"/>
  <c r="P41" i="190"/>
  <c r="P45" i="190"/>
  <c r="P21" i="190"/>
  <c r="P26" i="190"/>
  <c r="P28" i="190"/>
  <c r="P43" i="190"/>
  <c r="P113" i="190"/>
  <c r="P115" i="190"/>
  <c r="P39" i="190"/>
  <c r="P114" i="190"/>
  <c r="K116" i="190"/>
  <c r="L116" i="190"/>
  <c r="L111" i="190"/>
  <c r="M112" i="190"/>
  <c r="P20" i="190"/>
  <c r="S20" i="190"/>
  <c r="S19" i="190"/>
  <c r="P19" i="190"/>
  <c r="M111" i="190"/>
  <c r="L112" i="190"/>
  <c r="Q28" i="190"/>
  <c r="R55" i="190"/>
  <c r="R94" i="190"/>
  <c r="R89" i="190"/>
  <c r="R84" i="190"/>
  <c r="R80" i="190"/>
  <c r="R74" i="190"/>
  <c r="R69" i="190"/>
  <c r="R57" i="190"/>
  <c r="R93" i="190"/>
  <c r="R87" i="190"/>
  <c r="R83" i="190"/>
  <c r="R95" i="190"/>
  <c r="R85" i="190"/>
  <c r="R58" i="190"/>
  <c r="R81" i="190"/>
  <c r="R71" i="190"/>
  <c r="R60" i="190"/>
  <c r="R53" i="190"/>
  <c r="R52" i="190"/>
  <c r="R96" i="190"/>
  <c r="R91" i="190"/>
  <c r="R82" i="190"/>
  <c r="R79" i="190"/>
  <c r="R73" i="190"/>
  <c r="R72" i="190"/>
  <c r="R62" i="190"/>
  <c r="R61" i="190"/>
  <c r="R97" i="190"/>
  <c r="R59" i="190"/>
  <c r="R19" i="190"/>
  <c r="R24" i="190"/>
  <c r="R32" i="190"/>
  <c r="R37" i="190"/>
  <c r="R41" i="190"/>
  <c r="R45" i="190"/>
  <c r="R21" i="190"/>
  <c r="R26" i="190"/>
  <c r="R39" i="190"/>
  <c r="R43" i="190"/>
  <c r="R23" i="190"/>
  <c r="R27" i="190"/>
  <c r="R28" i="190"/>
  <c r="R36" i="190"/>
  <c r="R40" i="190"/>
  <c r="R44" i="190"/>
  <c r="R38" i="190"/>
  <c r="R42" i="190"/>
  <c r="R25" i="190"/>
  <c r="R114" i="190"/>
  <c r="R115" i="190"/>
  <c r="R46" i="190"/>
  <c r="R113" i="190"/>
  <c r="S28" i="190"/>
  <c r="T20" i="190"/>
  <c r="N111" i="190"/>
  <c r="M116" i="190"/>
  <c r="N116" i="190"/>
  <c r="R20" i="190"/>
  <c r="U20" i="190"/>
  <c r="U19" i="190"/>
  <c r="N112" i="190"/>
  <c r="O112" i="190"/>
  <c r="O111" i="190"/>
  <c r="T93" i="190"/>
  <c r="T87" i="190"/>
  <c r="T83" i="190"/>
  <c r="T79" i="190"/>
  <c r="T73" i="190"/>
  <c r="T62" i="190"/>
  <c r="T53" i="190"/>
  <c r="T96" i="190"/>
  <c r="T91" i="190"/>
  <c r="T82" i="190"/>
  <c r="T94" i="190"/>
  <c r="T89" i="190"/>
  <c r="T84" i="190"/>
  <c r="T81" i="190"/>
  <c r="T71" i="190"/>
  <c r="T60" i="190"/>
  <c r="T52" i="190"/>
  <c r="T55" i="190"/>
  <c r="T72" i="190"/>
  <c r="T61" i="190"/>
  <c r="T57" i="190"/>
  <c r="T97" i="190"/>
  <c r="T95" i="190"/>
  <c r="T85" i="190"/>
  <c r="T80" i="190"/>
  <c r="T74" i="190"/>
  <c r="T69" i="190"/>
  <c r="T58" i="190"/>
  <c r="T59" i="190"/>
  <c r="T23" i="190"/>
  <c r="T27" i="190"/>
  <c r="T36" i="190"/>
  <c r="T40" i="190"/>
  <c r="T44" i="190"/>
  <c r="T25" i="190"/>
  <c r="T38" i="190"/>
  <c r="T42" i="190"/>
  <c r="T46" i="190"/>
  <c r="T21" i="190"/>
  <c r="T26" i="190"/>
  <c r="T39" i="190"/>
  <c r="T43" i="190"/>
  <c r="T28" i="190"/>
  <c r="T32" i="190"/>
  <c r="T45" i="190"/>
  <c r="T24" i="190"/>
  <c r="T41" i="190"/>
  <c r="T37" i="190"/>
  <c r="T115" i="190"/>
  <c r="T113" i="190"/>
  <c r="T114" i="190"/>
  <c r="Q111" i="190"/>
  <c r="O116" i="190"/>
  <c r="P116" i="190"/>
  <c r="P111" i="190"/>
  <c r="P112" i="190"/>
  <c r="U28" i="190"/>
  <c r="Q112" i="190"/>
  <c r="T19" i="190"/>
  <c r="V20" i="190"/>
  <c r="V59" i="190"/>
  <c r="V21" i="190"/>
  <c r="V26" i="190"/>
  <c r="V39" i="190"/>
  <c r="V43" i="190"/>
  <c r="V24" i="190"/>
  <c r="V32" i="190"/>
  <c r="V37" i="190"/>
  <c r="V41" i="190"/>
  <c r="V45" i="190"/>
  <c r="V25" i="190"/>
  <c r="V28" i="190"/>
  <c r="V38" i="190"/>
  <c r="V42" i="190"/>
  <c r="V46" i="190"/>
  <c r="V27" i="190"/>
  <c r="V36" i="190"/>
  <c r="V40" i="190"/>
  <c r="V23" i="190"/>
  <c r="V44" i="190"/>
  <c r="V114" i="190"/>
  <c r="V113" i="190"/>
  <c r="V115" i="190"/>
  <c r="S111" i="190"/>
  <c r="R111" i="190"/>
  <c r="Q116" i="190"/>
  <c r="R116" i="190"/>
  <c r="R112" i="190"/>
  <c r="V19" i="190"/>
  <c r="S112" i="190"/>
  <c r="T112" i="190"/>
  <c r="V73" i="190"/>
  <c r="V91" i="190"/>
  <c r="U111" i="190"/>
  <c r="V53" i="190"/>
  <c r="S116" i="190"/>
  <c r="T116" i="190"/>
  <c r="T111" i="190"/>
  <c r="V93" i="190"/>
  <c r="V61" i="190"/>
  <c r="V84" i="190"/>
  <c r="V57" i="190"/>
  <c r="V83" i="190"/>
  <c r="V55" i="190"/>
  <c r="V82" i="190"/>
  <c r="V74" i="190"/>
  <c r="V58" i="190"/>
  <c r="V96" i="190"/>
  <c r="V97" i="190"/>
  <c r="V81" i="190"/>
  <c r="V94" i="190"/>
  <c r="V79" i="190"/>
  <c r="V95" i="190"/>
  <c r="V80" i="190"/>
  <c r="V72" i="190"/>
  <c r="V85" i="190"/>
  <c r="V71" i="190"/>
  <c r="V62" i="190"/>
  <c r="U112" i="190"/>
  <c r="V69" i="190"/>
  <c r="V89" i="190"/>
  <c r="V87" i="190"/>
  <c r="V60" i="190"/>
  <c r="V52" i="190"/>
  <c r="V112" i="190"/>
  <c r="V111" i="190"/>
  <c r="U116" i="190"/>
  <c r="V116" i="190"/>
  <c r="G10" i="190"/>
  <c r="G31" i="190"/>
  <c r="H31" i="190"/>
  <c r="I10" i="190"/>
  <c r="I31" i="190"/>
  <c r="I33" i="190"/>
  <c r="K10" i="190"/>
  <c r="K31" i="190"/>
  <c r="L31" i="190"/>
  <c r="G33" i="190"/>
  <c r="K33" i="190"/>
  <c r="L33" i="190"/>
  <c r="J33" i="190"/>
  <c r="J31" i="190"/>
  <c r="H33" i="190"/>
  <c r="M10" i="190"/>
  <c r="M31" i="190"/>
  <c r="N31" i="190"/>
  <c r="M33" i="190"/>
  <c r="N33" i="190"/>
  <c r="O10" i="190"/>
  <c r="O31" i="190"/>
  <c r="P31" i="190"/>
  <c r="Q10" i="190"/>
  <c r="Q31" i="190"/>
  <c r="Q33" i="190"/>
  <c r="O33" i="190"/>
  <c r="P33" i="190"/>
  <c r="R31" i="190"/>
  <c r="R33" i="190"/>
  <c r="S10" i="190"/>
  <c r="S31" i="190"/>
  <c r="T31" i="190"/>
  <c r="U10" i="190"/>
  <c r="U31" i="190"/>
  <c r="S33" i="190"/>
  <c r="T33" i="190"/>
  <c r="V31" i="190"/>
  <c r="U33" i="190"/>
  <c r="V33" i="190"/>
  <c r="C31" i="191"/>
  <c r="C33" i="191"/>
  <c r="C19" i="192"/>
  <c r="C20" i="192"/>
  <c r="C31" i="192"/>
  <c r="C33" i="192"/>
  <c r="C20" i="198"/>
  <c r="C19" i="198"/>
  <c r="C31" i="198"/>
  <c r="C33" i="198"/>
  <c r="C28" i="192"/>
  <c r="D31" i="192"/>
  <c r="D31" i="191"/>
  <c r="C28" i="198"/>
  <c r="D63" i="15"/>
  <c r="D63" i="194"/>
  <c r="D63" i="180"/>
  <c r="D63" i="190"/>
  <c r="D63" i="174"/>
  <c r="D63" i="179"/>
  <c r="D76" i="177"/>
  <c r="D78" i="177"/>
  <c r="D65" i="177"/>
  <c r="D70" i="177"/>
  <c r="D20" i="192"/>
  <c r="D38" i="198"/>
  <c r="D36" i="198"/>
  <c r="D21" i="191"/>
  <c r="D24" i="191"/>
  <c r="D26" i="191"/>
  <c r="D32" i="191"/>
  <c r="D37" i="191"/>
  <c r="D39" i="191"/>
  <c r="D41" i="191"/>
  <c r="D28" i="191"/>
  <c r="D23" i="191"/>
  <c r="D38" i="191"/>
  <c r="D44" i="191"/>
  <c r="D25" i="191"/>
  <c r="D40" i="191"/>
  <c r="D45" i="191"/>
  <c r="D36" i="191"/>
  <c r="D27" i="191"/>
  <c r="D46" i="191"/>
  <c r="D43" i="191"/>
  <c r="D113" i="191"/>
  <c r="D115" i="191"/>
  <c r="D114" i="191"/>
  <c r="D42" i="191"/>
  <c r="D20" i="191"/>
  <c r="D28" i="192"/>
  <c r="D25" i="192"/>
  <c r="D38" i="192"/>
  <c r="D42" i="192"/>
  <c r="D46" i="192"/>
  <c r="D21" i="192"/>
  <c r="D26" i="192"/>
  <c r="D39" i="192"/>
  <c r="D43" i="192"/>
  <c r="D24" i="192"/>
  <c r="D32" i="192"/>
  <c r="D37" i="192"/>
  <c r="D41" i="192"/>
  <c r="D45" i="192"/>
  <c r="D40" i="192"/>
  <c r="D44" i="192"/>
  <c r="D27" i="192"/>
  <c r="D36" i="192"/>
  <c r="D115" i="192"/>
  <c r="D114" i="192"/>
  <c r="D23" i="192"/>
  <c r="D113" i="192"/>
  <c r="D33" i="191"/>
  <c r="D19" i="191"/>
  <c r="D33" i="192"/>
  <c r="D19" i="192"/>
  <c r="D63" i="181"/>
  <c r="D25" i="198"/>
  <c r="D23" i="198"/>
  <c r="D41" i="198"/>
  <c r="D39" i="198"/>
  <c r="D27" i="198"/>
  <c r="D92" i="177"/>
  <c r="D99" i="177"/>
  <c r="D98" i="177"/>
  <c r="D63" i="158"/>
  <c r="D54" i="177"/>
  <c r="D63" i="191"/>
  <c r="D103" i="177"/>
  <c r="D31" i="198"/>
  <c r="D44" i="198"/>
  <c r="D28" i="198"/>
  <c r="D19" i="198"/>
  <c r="D75" i="178"/>
  <c r="D64" i="177"/>
  <c r="D63" i="165"/>
  <c r="D63" i="193"/>
  <c r="D63" i="187"/>
  <c r="D63" i="177"/>
  <c r="D45" i="198"/>
  <c r="D43" i="198"/>
  <c r="D42" i="198"/>
  <c r="D21" i="198"/>
  <c r="D33" i="198"/>
  <c r="D77" i="176"/>
  <c r="D63" i="186"/>
  <c r="D63" i="170"/>
  <c r="D63" i="163"/>
  <c r="D63" i="159"/>
  <c r="D63" i="161"/>
  <c r="D63" i="175"/>
  <c r="D63" i="164"/>
  <c r="D46" i="198"/>
  <c r="D37" i="198"/>
  <c r="D40" i="198"/>
  <c r="D32" i="198"/>
  <c r="D20" i="198"/>
  <c r="D24" i="198"/>
  <c r="D56" i="190"/>
  <c r="D68" i="191"/>
  <c r="D26" i="198"/>
  <c r="D63" i="172"/>
  <c r="D63" i="173"/>
  <c r="D63" i="168"/>
  <c r="D63" i="189"/>
  <c r="D63" i="184"/>
  <c r="D63" i="188"/>
  <c r="D63" i="118"/>
  <c r="D63" i="176"/>
  <c r="D102" i="177"/>
  <c r="D63" i="167"/>
  <c r="D63" i="178"/>
  <c r="D63" i="183"/>
  <c r="D63" i="169"/>
  <c r="D63" i="185"/>
  <c r="C63" i="195"/>
  <c r="D63" i="195"/>
  <c r="D67" i="190"/>
  <c r="D100" i="183"/>
  <c r="D100" i="184"/>
  <c r="D100" i="176"/>
  <c r="D100" i="189"/>
  <c r="D100" i="170"/>
  <c r="D100" i="164"/>
  <c r="D100" i="15"/>
  <c r="D92" i="184"/>
  <c r="D92" i="191"/>
  <c r="D92" i="179"/>
  <c r="D92" i="183"/>
  <c r="D92" i="175"/>
  <c r="D92" i="185"/>
  <c r="D92" i="173"/>
  <c r="D92" i="190"/>
  <c r="D92" i="176"/>
  <c r="D92" i="164"/>
  <c r="D92" i="181"/>
  <c r="D92" i="167"/>
  <c r="D92" i="161"/>
  <c r="D92" i="163"/>
  <c r="D92" i="15"/>
  <c r="D64" i="194"/>
  <c r="D64" i="188"/>
  <c r="D64" i="181"/>
  <c r="D64" i="189"/>
  <c r="D64" i="184"/>
  <c r="D64" i="180"/>
  <c r="D64" i="185"/>
  <c r="D64" i="176"/>
  <c r="D64" i="172"/>
  <c r="D64" i="169"/>
  <c r="D64" i="190"/>
  <c r="D64" i="187"/>
  <c r="D64" i="186"/>
  <c r="D64" i="178"/>
  <c r="D64" i="175"/>
  <c r="D64" i="179"/>
  <c r="D64" i="170"/>
  <c r="D64" i="167"/>
  <c r="D64" i="191"/>
  <c r="D64" i="183"/>
  <c r="D64" i="173"/>
  <c r="D64" i="165"/>
  <c r="D64" i="164"/>
  <c r="D64" i="168"/>
  <c r="D64" i="174"/>
  <c r="D64" i="163"/>
  <c r="D64" i="159"/>
  <c r="D64" i="158"/>
  <c r="D64" i="161"/>
  <c r="D64" i="118"/>
  <c r="D64" i="15"/>
  <c r="D98" i="191"/>
  <c r="D98" i="179"/>
  <c r="D98" i="187"/>
  <c r="D98" i="183"/>
  <c r="D98" i="174"/>
  <c r="D98" i="170"/>
  <c r="D98" i="180"/>
  <c r="D98" i="181"/>
  <c r="D98" i="194"/>
  <c r="D98" i="172"/>
  <c r="D98" i="165"/>
  <c r="D98" i="189"/>
  <c r="D98" i="15"/>
  <c r="D98" i="159"/>
  <c r="D98" i="158"/>
  <c r="D70" i="189"/>
  <c r="D70" i="184"/>
  <c r="D70" i="180"/>
  <c r="D70" i="191"/>
  <c r="D70" i="186"/>
  <c r="D70" i="179"/>
  <c r="D70" i="194"/>
  <c r="D70" i="183"/>
  <c r="D70" i="178"/>
  <c r="D70" i="175"/>
  <c r="D70" i="188"/>
  <c r="D70" i="185"/>
  <c r="D70" i="174"/>
  <c r="D70" i="173"/>
  <c r="D70" i="170"/>
  <c r="D70" i="176"/>
  <c r="D70" i="165"/>
  <c r="D70" i="164"/>
  <c r="D70" i="187"/>
  <c r="D70" i="181"/>
  <c r="D70" i="190"/>
  <c r="D70" i="167"/>
  <c r="D70" i="172"/>
  <c r="D70" i="168"/>
  <c r="D70" i="169"/>
  <c r="D70" i="161"/>
  <c r="D70" i="118"/>
  <c r="D70" i="163"/>
  <c r="D70" i="159"/>
  <c r="D70" i="15"/>
  <c r="D70" i="158"/>
  <c r="D104" i="191"/>
  <c r="D104" i="187"/>
  <c r="D104" i="181"/>
  <c r="D104" i="194"/>
  <c r="D104" i="175"/>
  <c r="D104" i="184"/>
  <c r="D104" i="167"/>
  <c r="D104" i="158"/>
  <c r="D86" i="186"/>
  <c r="D68" i="169"/>
  <c r="D68" i="165"/>
  <c r="D68" i="159"/>
  <c r="D103" i="189"/>
  <c r="D103" i="184"/>
  <c r="D103" i="180"/>
  <c r="D103" i="191"/>
  <c r="D103" i="186"/>
  <c r="D103" i="179"/>
  <c r="D103" i="190"/>
  <c r="D103" i="187"/>
  <c r="D103" i="178"/>
  <c r="D103" i="175"/>
  <c r="D103" i="181"/>
  <c r="D103" i="174"/>
  <c r="D103" i="173"/>
  <c r="D103" i="170"/>
  <c r="D103" i="183"/>
  <c r="D103" i="169"/>
  <c r="D103" i="165"/>
  <c r="D103" i="164"/>
  <c r="D103" i="194"/>
  <c r="D103" i="188"/>
  <c r="D103" i="172"/>
  <c r="D103" i="176"/>
  <c r="D103" i="185"/>
  <c r="D103" i="168"/>
  <c r="D103" i="167"/>
  <c r="D103" i="161"/>
  <c r="D103" i="158"/>
  <c r="D103" i="163"/>
  <c r="D103" i="15"/>
  <c r="D103" i="159"/>
  <c r="D77" i="189"/>
  <c r="D77" i="187"/>
  <c r="D77" i="179"/>
  <c r="D77" i="15"/>
  <c r="D88" i="191"/>
  <c r="D56" i="194"/>
  <c r="D56" i="169"/>
  <c r="D56" i="186"/>
  <c r="D56" i="15"/>
  <c r="D75" i="173"/>
  <c r="D75" i="172"/>
  <c r="D90" i="172"/>
  <c r="D54" i="15"/>
  <c r="D54" i="191"/>
  <c r="D54" i="189"/>
  <c r="D54" i="186"/>
  <c r="D54" i="184"/>
  <c r="D54" i="190"/>
  <c r="D54" i="183"/>
  <c r="D54" i="188"/>
  <c r="D54" i="187"/>
  <c r="D54" i="169"/>
  <c r="D54" i="185"/>
  <c r="D54" i="180"/>
  <c r="D54" i="178"/>
  <c r="D54" i="173"/>
  <c r="D54" i="170"/>
  <c r="D54" i="179"/>
  <c r="D54" i="174"/>
  <c r="D54" i="194"/>
  <c r="D54" i="168"/>
  <c r="D54" i="181"/>
  <c r="D54" i="176"/>
  <c r="D54" i="164"/>
  <c r="D54" i="175"/>
  <c r="D54" i="172"/>
  <c r="D54" i="165"/>
  <c r="D54" i="167"/>
  <c r="D54" i="163"/>
  <c r="D54" i="159"/>
  <c r="D54" i="158"/>
  <c r="D54" i="161"/>
  <c r="D65" i="189"/>
  <c r="D65" i="184"/>
  <c r="D65" i="180"/>
  <c r="D65" i="191"/>
  <c r="D65" i="186"/>
  <c r="D65" i="179"/>
  <c r="D65" i="190"/>
  <c r="D65" i="187"/>
  <c r="D65" i="178"/>
  <c r="D65" i="175"/>
  <c r="D65" i="181"/>
  <c r="D65" i="174"/>
  <c r="D65" i="173"/>
  <c r="D65" i="170"/>
  <c r="D65" i="183"/>
  <c r="D65" i="169"/>
  <c r="D65" i="165"/>
  <c r="D65" i="164"/>
  <c r="D65" i="194"/>
  <c r="D65" i="188"/>
  <c r="D65" i="172"/>
  <c r="D65" i="168"/>
  <c r="D65" i="185"/>
  <c r="D65" i="167"/>
  <c r="D65" i="176"/>
  <c r="D65" i="161"/>
  <c r="D65" i="158"/>
  <c r="D65" i="163"/>
  <c r="D65" i="118"/>
  <c r="D65" i="159"/>
  <c r="D65" i="15"/>
  <c r="D78" i="189"/>
  <c r="D78" i="184"/>
  <c r="D78" i="180"/>
  <c r="D78" i="191"/>
  <c r="D78" i="186"/>
  <c r="D78" i="179"/>
  <c r="D78" i="190"/>
  <c r="D78" i="187"/>
  <c r="D78" i="178"/>
  <c r="D78" i="175"/>
  <c r="D78" i="181"/>
  <c r="D78" i="174"/>
  <c r="D78" i="173"/>
  <c r="D78" i="170"/>
  <c r="D78" i="169"/>
  <c r="D78" i="165"/>
  <c r="D78" i="164"/>
  <c r="D78" i="185"/>
  <c r="D78" i="172"/>
  <c r="D78" i="183"/>
  <c r="D78" i="168"/>
  <c r="D78" i="194"/>
  <c r="D78" i="176"/>
  <c r="D78" i="188"/>
  <c r="D78" i="167"/>
  <c r="D78" i="161"/>
  <c r="D78" i="118"/>
  <c r="D78" i="158"/>
  <c r="D78" i="159"/>
  <c r="D78" i="15"/>
  <c r="D78" i="163"/>
  <c r="D76" i="190"/>
  <c r="D76" i="187"/>
  <c r="D76" i="185"/>
  <c r="D76" i="183"/>
  <c r="D76" i="194"/>
  <c r="D76" i="188"/>
  <c r="D76" i="181"/>
  <c r="D76" i="184"/>
  <c r="D76" i="180"/>
  <c r="D76" i="168"/>
  <c r="D76" i="176"/>
  <c r="D76" i="172"/>
  <c r="D76" i="169"/>
  <c r="D76" i="189"/>
  <c r="D76" i="186"/>
  <c r="D76" i="174"/>
  <c r="D76" i="178"/>
  <c r="D76" i="191"/>
  <c r="D76" i="175"/>
  <c r="D76" i="170"/>
  <c r="D76" i="167"/>
  <c r="D76" i="173"/>
  <c r="D76" i="165"/>
  <c r="D76" i="179"/>
  <c r="D76" i="164"/>
  <c r="D76" i="158"/>
  <c r="D76" i="161"/>
  <c r="D76" i="118"/>
  <c r="D76" i="15"/>
  <c r="D76" i="163"/>
  <c r="D76" i="159"/>
  <c r="D99" i="191"/>
  <c r="D99" i="190"/>
  <c r="D99" i="188"/>
  <c r="D99" i="189"/>
  <c r="D99" i="187"/>
  <c r="D99" i="186"/>
  <c r="D99" i="185"/>
  <c r="D99" i="194"/>
  <c r="D99" i="183"/>
  <c r="D99" i="180"/>
  <c r="D99" i="178"/>
  <c r="D99" i="175"/>
  <c r="D99" i="173"/>
  <c r="D99" i="170"/>
  <c r="D99" i="168"/>
  <c r="D99" i="165"/>
  <c r="D99" i="184"/>
  <c r="D99" i="181"/>
  <c r="D99" i="179"/>
  <c r="D99" i="176"/>
  <c r="D99" i="174"/>
  <c r="D99" i="172"/>
  <c r="D99" i="169"/>
  <c r="D99" i="167"/>
  <c r="D99" i="164"/>
  <c r="D99" i="161"/>
  <c r="D99" i="15"/>
  <c r="D99" i="118"/>
  <c r="D99" i="163"/>
  <c r="D99" i="159"/>
  <c r="D99" i="158"/>
  <c r="C83" i="192"/>
  <c r="C97" i="192"/>
  <c r="C87" i="192"/>
  <c r="C69" i="192"/>
  <c r="C96" i="192"/>
  <c r="C80" i="192"/>
  <c r="C72" i="192"/>
  <c r="C79" i="192"/>
  <c r="C112" i="191"/>
  <c r="C62" i="192"/>
  <c r="C85" i="192"/>
  <c r="C81" i="192"/>
  <c r="C84" i="192"/>
  <c r="C111" i="191"/>
  <c r="C59" i="192"/>
  <c r="C93" i="192"/>
  <c r="C89" i="192"/>
  <c r="C71" i="192"/>
  <c r="C94" i="192"/>
  <c r="C60" i="192"/>
  <c r="C61" i="192"/>
  <c r="C53" i="192"/>
  <c r="C91" i="192"/>
  <c r="C95" i="192"/>
  <c r="C58" i="192"/>
  <c r="C73" i="192"/>
  <c r="C82" i="192"/>
  <c r="C74" i="192"/>
  <c r="C57" i="192"/>
  <c r="C52" i="192"/>
  <c r="D75" i="188"/>
  <c r="D75" i="177"/>
  <c r="C114" i="198"/>
  <c r="D114" i="198"/>
  <c r="D75" i="169"/>
  <c r="D75" i="186"/>
  <c r="D75" i="118"/>
  <c r="D75" i="193"/>
  <c r="D75" i="163"/>
  <c r="D75" i="167"/>
  <c r="D75" i="194"/>
  <c r="D75" i="185"/>
  <c r="D75" i="159"/>
  <c r="D75" i="164"/>
  <c r="D75" i="184"/>
  <c r="D75" i="190"/>
  <c r="D86" i="190"/>
  <c r="D86" i="177"/>
  <c r="D88" i="190"/>
  <c r="D88" i="177"/>
  <c r="D90" i="194"/>
  <c r="D90" i="177"/>
  <c r="D75" i="158"/>
  <c r="D75" i="165"/>
  <c r="D75" i="175"/>
  <c r="D75" i="189"/>
  <c r="D75" i="180"/>
  <c r="D75" i="174"/>
  <c r="D75" i="187"/>
  <c r="D75" i="191"/>
  <c r="D56" i="175"/>
  <c r="D77" i="174"/>
  <c r="D68" i="187"/>
  <c r="D98" i="118"/>
  <c r="D98" i="163"/>
  <c r="D98" i="178"/>
  <c r="D98" i="164"/>
  <c r="D98" i="169"/>
  <c r="D98" i="184"/>
  <c r="D98" i="188"/>
  <c r="D98" i="190"/>
  <c r="D92" i="158"/>
  <c r="D92" i="118"/>
  <c r="D92" i="169"/>
  <c r="D92" i="165"/>
  <c r="D92" i="170"/>
  <c r="D92" i="188"/>
  <c r="D92" i="194"/>
  <c r="D92" i="180"/>
  <c r="D104" i="186"/>
  <c r="D104" i="177"/>
  <c r="D100" i="190"/>
  <c r="D100" i="177"/>
  <c r="D68" i="194"/>
  <c r="D68" i="177"/>
  <c r="D56" i="187"/>
  <c r="D77" i="188"/>
  <c r="D77" i="177"/>
  <c r="D75" i="161"/>
  <c r="D75" i="15"/>
  <c r="D75" i="176"/>
  <c r="D75" i="168"/>
  <c r="D75" i="181"/>
  <c r="D75" i="170"/>
  <c r="D75" i="183"/>
  <c r="D75" i="179"/>
  <c r="D56" i="165"/>
  <c r="D56" i="180"/>
  <c r="D88" i="183"/>
  <c r="D77" i="191"/>
  <c r="D77" i="194"/>
  <c r="D68" i="158"/>
  <c r="D68" i="167"/>
  <c r="D86" i="188"/>
  <c r="D98" i="161"/>
  <c r="D98" i="167"/>
  <c r="D98" i="175"/>
  <c r="D98" i="176"/>
  <c r="D98" i="168"/>
  <c r="D98" i="173"/>
  <c r="D98" i="185"/>
  <c r="D98" i="186"/>
  <c r="D92" i="159"/>
  <c r="D92" i="172"/>
  <c r="D92" i="168"/>
  <c r="D92" i="187"/>
  <c r="D92" i="174"/>
  <c r="D92" i="178"/>
  <c r="D92" i="186"/>
  <c r="D92" i="189"/>
  <c r="D66" i="191"/>
  <c r="D66" i="177"/>
  <c r="D67" i="185"/>
  <c r="D67" i="177"/>
  <c r="D90" i="163"/>
  <c r="D88" i="158"/>
  <c r="D86" i="172"/>
  <c r="D90" i="174"/>
  <c r="D88" i="167"/>
  <c r="D86" i="179"/>
  <c r="D104" i="161"/>
  <c r="D104" i="169"/>
  <c r="D104" i="168"/>
  <c r="D104" i="183"/>
  <c r="D100" i="159"/>
  <c r="D100" i="186"/>
  <c r="D100" i="169"/>
  <c r="D100" i="188"/>
  <c r="D104" i="15"/>
  <c r="D104" i="178"/>
  <c r="D104" i="173"/>
  <c r="D104" i="179"/>
  <c r="D100" i="173"/>
  <c r="D100" i="179"/>
  <c r="D100" i="168"/>
  <c r="D100" i="187"/>
  <c r="D104" i="163"/>
  <c r="D104" i="180"/>
  <c r="D104" i="176"/>
  <c r="D104" i="188"/>
  <c r="D104" i="170"/>
  <c r="C104" i="195"/>
  <c r="D104" i="195"/>
  <c r="D104" i="190"/>
  <c r="D100" i="161"/>
  <c r="D100" i="158"/>
  <c r="D100" i="191"/>
  <c r="D100" i="175"/>
  <c r="D100" i="174"/>
  <c r="D100" i="181"/>
  <c r="D100" i="185"/>
  <c r="D104" i="159"/>
  <c r="D104" i="164"/>
  <c r="D104" i="165"/>
  <c r="D104" i="172"/>
  <c r="D104" i="189"/>
  <c r="D104" i="174"/>
  <c r="D104" i="185"/>
  <c r="D100" i="163"/>
  <c r="D100" i="165"/>
  <c r="D100" i="167"/>
  <c r="D100" i="178"/>
  <c r="D100" i="172"/>
  <c r="D100" i="180"/>
  <c r="D100" i="194"/>
  <c r="D90" i="187"/>
  <c r="D90" i="181"/>
  <c r="D88" i="173"/>
  <c r="D88" i="185"/>
  <c r="D86" i="15"/>
  <c r="D86" i="173"/>
  <c r="D90" i="159"/>
  <c r="D90" i="169"/>
  <c r="D88" i="161"/>
  <c r="D88" i="179"/>
  <c r="D86" i="164"/>
  <c r="D86" i="174"/>
  <c r="D66" i="167"/>
  <c r="D90" i="15"/>
  <c r="D90" i="173"/>
  <c r="D90" i="185"/>
  <c r="D90" i="191"/>
  <c r="D88" i="15"/>
  <c r="D88" i="175"/>
  <c r="D88" i="193"/>
  <c r="D88" i="189"/>
  <c r="D86" i="159"/>
  <c r="D86" i="165"/>
  <c r="D86" i="168"/>
  <c r="D86" i="183"/>
  <c r="D90" i="118"/>
  <c r="D90" i="186"/>
  <c r="D90" i="175"/>
  <c r="D90" i="180"/>
  <c r="D88" i="118"/>
  <c r="D88" i="164"/>
  <c r="D88" i="169"/>
  <c r="D88" i="181"/>
  <c r="D86" i="158"/>
  <c r="D86" i="176"/>
  <c r="D86" i="189"/>
  <c r="D86" i="185"/>
  <c r="D66" i="188"/>
  <c r="D90" i="161"/>
  <c r="D90" i="168"/>
  <c r="D90" i="164"/>
  <c r="D90" i="190"/>
  <c r="D90" i="178"/>
  <c r="D90" i="176"/>
  <c r="D90" i="184"/>
  <c r="D90" i="188"/>
  <c r="D88" i="159"/>
  <c r="D88" i="170"/>
  <c r="D88" i="184"/>
  <c r="D88" i="178"/>
  <c r="D88" i="172"/>
  <c r="D88" i="168"/>
  <c r="D88" i="188"/>
  <c r="D88" i="187"/>
  <c r="D66" i="183"/>
  <c r="D86" i="161"/>
  <c r="D86" i="167"/>
  <c r="D86" i="178"/>
  <c r="D86" i="175"/>
  <c r="D86" i="194"/>
  <c r="D86" i="181"/>
  <c r="D86" i="187"/>
  <c r="D86" i="191"/>
  <c r="D67" i="168"/>
  <c r="D67" i="164"/>
  <c r="D90" i="158"/>
  <c r="D90" i="170"/>
  <c r="D90" i="165"/>
  <c r="D90" i="167"/>
  <c r="D90" i="183"/>
  <c r="D90" i="179"/>
  <c r="D90" i="189"/>
  <c r="D88" i="163"/>
  <c r="D88" i="174"/>
  <c r="D88" i="165"/>
  <c r="D88" i="180"/>
  <c r="D88" i="176"/>
  <c r="D88" i="186"/>
  <c r="D88" i="194"/>
  <c r="D66" i="158"/>
  <c r="D86" i="118"/>
  <c r="D86" i="163"/>
  <c r="D86" i="169"/>
  <c r="D86" i="180"/>
  <c r="D86" i="184"/>
  <c r="D86" i="170"/>
  <c r="D86" i="193"/>
  <c r="D67" i="186"/>
  <c r="D66" i="163"/>
  <c r="D66" i="176"/>
  <c r="D66" i="170"/>
  <c r="D66" i="190"/>
  <c r="D67" i="159"/>
  <c r="D67" i="175"/>
  <c r="D67" i="169"/>
  <c r="D67" i="188"/>
  <c r="D66" i="15"/>
  <c r="D66" i="178"/>
  <c r="D66" i="173"/>
  <c r="D66" i="179"/>
  <c r="D67" i="163"/>
  <c r="D67" i="180"/>
  <c r="D67" i="172"/>
  <c r="D67" i="194"/>
  <c r="D66" i="159"/>
  <c r="D66" i="180"/>
  <c r="D66" i="175"/>
  <c r="D66" i="193"/>
  <c r="D67" i="165"/>
  <c r="D67" i="184"/>
  <c r="D67" i="191"/>
  <c r="D67" i="187"/>
  <c r="D56" i="161"/>
  <c r="D56" i="164"/>
  <c r="D56" i="179"/>
  <c r="D56" i="184"/>
  <c r="D77" i="118"/>
  <c r="D77" i="164"/>
  <c r="D77" i="175"/>
  <c r="D77" i="185"/>
  <c r="D68" i="163"/>
  <c r="D68" i="175"/>
  <c r="D77" i="161"/>
  <c r="D77" i="163"/>
  <c r="D77" i="165"/>
  <c r="D77" i="168"/>
  <c r="D77" i="178"/>
  <c r="D77" i="169"/>
  <c r="D77" i="180"/>
  <c r="D77" i="181"/>
  <c r="D68" i="161"/>
  <c r="D68" i="168"/>
  <c r="D68" i="170"/>
  <c r="D68" i="186"/>
  <c r="D68" i="178"/>
  <c r="D68" i="176"/>
  <c r="D68" i="184"/>
  <c r="D68" i="188"/>
  <c r="D66" i="118"/>
  <c r="D66" i="169"/>
  <c r="D66" i="165"/>
  <c r="D66" i="184"/>
  <c r="D66" i="189"/>
  <c r="D66" i="174"/>
  <c r="D66" i="185"/>
  <c r="D66" i="186"/>
  <c r="D67" i="161"/>
  <c r="D67" i="118"/>
  <c r="D67" i="170"/>
  <c r="D67" i="193"/>
  <c r="D67" i="173"/>
  <c r="D67" i="176"/>
  <c r="D67" i="189"/>
  <c r="D67" i="183"/>
  <c r="D56" i="118"/>
  <c r="D56" i="189"/>
  <c r="D56" i="172"/>
  <c r="D56" i="183"/>
  <c r="D77" i="159"/>
  <c r="D77" i="167"/>
  <c r="D77" i="190"/>
  <c r="D77" i="193"/>
  <c r="D68" i="118"/>
  <c r="D68" i="190"/>
  <c r="D68" i="174"/>
  <c r="D68" i="172"/>
  <c r="D68" i="180"/>
  <c r="D68" i="181"/>
  <c r="D56" i="159"/>
  <c r="D56" i="158"/>
  <c r="D56" i="178"/>
  <c r="D56" i="167"/>
  <c r="D56" i="168"/>
  <c r="D56" i="176"/>
  <c r="D56" i="181"/>
  <c r="D56" i="185"/>
  <c r="D56" i="163"/>
  <c r="D56" i="173"/>
  <c r="D56" i="191"/>
  <c r="D56" i="170"/>
  <c r="D56" i="174"/>
  <c r="C56" i="195"/>
  <c r="D56" i="195"/>
  <c r="D56" i="188"/>
  <c r="D77" i="158"/>
  <c r="D77" i="183"/>
  <c r="D77" i="173"/>
  <c r="D77" i="170"/>
  <c r="D77" i="186"/>
  <c r="D77" i="172"/>
  <c r="D77" i="184"/>
  <c r="D68" i="15"/>
  <c r="D68" i="173"/>
  <c r="D68" i="164"/>
  <c r="D68" i="185"/>
  <c r="D68" i="183"/>
  <c r="D68" i="179"/>
  <c r="D68" i="189"/>
  <c r="D66" i="161"/>
  <c r="D66" i="164"/>
  <c r="D66" i="168"/>
  <c r="D66" i="172"/>
  <c r="D66" i="194"/>
  <c r="D66" i="181"/>
  <c r="D66" i="187"/>
  <c r="D67" i="15"/>
  <c r="D67" i="158"/>
  <c r="D67" i="174"/>
  <c r="D67" i="167"/>
  <c r="D67" i="178"/>
  <c r="D67" i="179"/>
  <c r="D67" i="181"/>
  <c r="D97" i="198"/>
  <c r="C105" i="197"/>
  <c r="D105" i="197"/>
  <c r="D102" i="197"/>
  <c r="C63" i="192"/>
  <c r="C70" i="192"/>
  <c r="D70" i="192"/>
  <c r="D85" i="198"/>
  <c r="D96" i="198"/>
  <c r="D54" i="118"/>
  <c r="C113" i="198"/>
  <c r="D113" i="198"/>
  <c r="D53" i="198"/>
  <c r="D58" i="198"/>
  <c r="D61" i="198"/>
  <c r="D71" i="198"/>
  <c r="D72" i="198"/>
  <c r="D87" i="198"/>
  <c r="D82" i="198"/>
  <c r="D93" i="198"/>
  <c r="D79" i="198"/>
  <c r="D74" i="198"/>
  <c r="D95" i="198"/>
  <c r="D60" i="198"/>
  <c r="D89" i="198"/>
  <c r="D81" i="198"/>
  <c r="D80" i="198"/>
  <c r="D91" i="198"/>
  <c r="D83" i="198"/>
  <c r="D73" i="198"/>
  <c r="D94" i="198"/>
  <c r="D59" i="198"/>
  <c r="D69" i="198"/>
  <c r="C78" i="192"/>
  <c r="D90" i="193"/>
  <c r="C77" i="195"/>
  <c r="D77" i="195"/>
  <c r="C76" i="192"/>
  <c r="C64" i="192"/>
  <c r="D64" i="192"/>
  <c r="D76" i="193"/>
  <c r="C76" i="195"/>
  <c r="D76" i="195"/>
  <c r="D54" i="193"/>
  <c r="C54" i="195"/>
  <c r="D54" i="195"/>
  <c r="D104" i="193"/>
  <c r="D64" i="193"/>
  <c r="C64" i="195"/>
  <c r="D64" i="195"/>
  <c r="D100" i="193"/>
  <c r="C100" i="195"/>
  <c r="D100" i="195"/>
  <c r="D78" i="193"/>
  <c r="C78" i="195"/>
  <c r="D78" i="195"/>
  <c r="D65" i="193"/>
  <c r="C65" i="195"/>
  <c r="D65" i="195"/>
  <c r="C54" i="192"/>
  <c r="D70" i="193"/>
  <c r="C70" i="195"/>
  <c r="D70" i="195"/>
  <c r="D92" i="193"/>
  <c r="C92" i="195"/>
  <c r="D92" i="195"/>
  <c r="C103" i="192"/>
  <c r="C65" i="192"/>
  <c r="D56" i="193"/>
  <c r="D103" i="193"/>
  <c r="C103" i="195"/>
  <c r="D103" i="195"/>
  <c r="D68" i="193"/>
  <c r="C68" i="195"/>
  <c r="D68" i="195"/>
  <c r="D98" i="193"/>
  <c r="C98" i="195"/>
  <c r="D98" i="195"/>
  <c r="C99" i="192"/>
  <c r="D99" i="192"/>
  <c r="D99" i="193"/>
  <c r="C99" i="195"/>
  <c r="D99" i="195"/>
  <c r="D62" i="198"/>
  <c r="D111" i="191"/>
  <c r="C116" i="191"/>
  <c r="D116" i="191"/>
  <c r="C111" i="192"/>
  <c r="D84" i="192"/>
  <c r="D65" i="198"/>
  <c r="D85" i="192"/>
  <c r="D74" i="192"/>
  <c r="D90" i="198"/>
  <c r="D66" i="198"/>
  <c r="D82" i="192"/>
  <c r="D98" i="198"/>
  <c r="D58" i="192"/>
  <c r="D103" i="198"/>
  <c r="D53" i="192"/>
  <c r="D60" i="192"/>
  <c r="D78" i="198"/>
  <c r="D71" i="192"/>
  <c r="D89" i="192"/>
  <c r="D59" i="192"/>
  <c r="D112" i="191"/>
  <c r="C112" i="192"/>
  <c r="D64" i="198"/>
  <c r="D80" i="192"/>
  <c r="D96" i="192"/>
  <c r="D99" i="198"/>
  <c r="D83" i="192"/>
  <c r="D68" i="198"/>
  <c r="D104" i="198"/>
  <c r="D57" i="192"/>
  <c r="D73" i="192"/>
  <c r="D91" i="192"/>
  <c r="D70" i="198"/>
  <c r="D93" i="192"/>
  <c r="D79" i="192"/>
  <c r="D63" i="198"/>
  <c r="D72" i="192"/>
  <c r="D88" i="198"/>
  <c r="D69" i="192"/>
  <c r="D87" i="192"/>
  <c r="D97" i="192"/>
  <c r="D77" i="198"/>
  <c r="D54" i="198"/>
  <c r="D86" i="198"/>
  <c r="D95" i="192"/>
  <c r="D61" i="192"/>
  <c r="D94" i="192"/>
  <c r="D52" i="192"/>
  <c r="D56" i="198"/>
  <c r="D76" i="198"/>
  <c r="D92" i="198"/>
  <c r="D67" i="198"/>
  <c r="D100" i="198"/>
  <c r="D81" i="192"/>
  <c r="D75" i="198"/>
  <c r="D62" i="192"/>
  <c r="C92" i="192"/>
  <c r="D92" i="192"/>
  <c r="C90" i="195"/>
  <c r="D90" i="195"/>
  <c r="D84" i="198"/>
  <c r="C115" i="198"/>
  <c r="D115" i="198"/>
  <c r="C75" i="195"/>
  <c r="D75" i="195"/>
  <c r="C75" i="192"/>
  <c r="D75" i="192"/>
  <c r="D56" i="177"/>
  <c r="C105" i="177"/>
  <c r="C98" i="192"/>
  <c r="D98" i="192"/>
  <c r="C107" i="197"/>
  <c r="D107" i="197"/>
  <c r="C100" i="192"/>
  <c r="D100" i="192"/>
  <c r="C104" i="192"/>
  <c r="D104" i="192"/>
  <c r="C88" i="195"/>
  <c r="D88" i="195"/>
  <c r="C66" i="195"/>
  <c r="D66" i="195"/>
  <c r="C67" i="195"/>
  <c r="D67" i="195"/>
  <c r="D63" i="192"/>
  <c r="C88" i="192"/>
  <c r="D88" i="192"/>
  <c r="C90" i="192"/>
  <c r="C86" i="195"/>
  <c r="D86" i="195"/>
  <c r="C86" i="192"/>
  <c r="D86" i="192"/>
  <c r="C56" i="192"/>
  <c r="D56" i="192"/>
  <c r="C68" i="192"/>
  <c r="D68" i="192"/>
  <c r="C67" i="192"/>
  <c r="D67" i="192"/>
  <c r="C77" i="192"/>
  <c r="D77" i="192"/>
  <c r="C66" i="192"/>
  <c r="D66" i="192"/>
  <c r="D54" i="192"/>
  <c r="D103" i="192"/>
  <c r="D65" i="192"/>
  <c r="D76" i="192"/>
  <c r="D78" i="192"/>
  <c r="D112" i="192"/>
  <c r="C112" i="198"/>
  <c r="D112" i="198"/>
  <c r="D111" i="192"/>
  <c r="C116" i="192"/>
  <c r="D116" i="192"/>
  <c r="D52" i="198"/>
  <c r="D105" i="177"/>
  <c r="C107" i="177"/>
  <c r="D107" i="177"/>
  <c r="D90" i="192"/>
  <c r="D111" i="198"/>
  <c r="C116" i="198"/>
  <c r="D116" i="198"/>
  <c r="E31" i="191"/>
  <c r="E33" i="191"/>
  <c r="E20" i="192"/>
  <c r="E31" i="192"/>
  <c r="E33" i="192"/>
  <c r="E20" i="198"/>
  <c r="E31" i="198"/>
  <c r="E33" i="198"/>
  <c r="I20" i="191"/>
  <c r="I19" i="191"/>
  <c r="G20" i="192"/>
  <c r="E19" i="192"/>
  <c r="F19" i="191"/>
  <c r="G20" i="198"/>
  <c r="F25" i="191"/>
  <c r="F28" i="191"/>
  <c r="F38" i="191"/>
  <c r="F42" i="191"/>
  <c r="F46" i="191"/>
  <c r="F21" i="191"/>
  <c r="F26" i="191"/>
  <c r="F39" i="191"/>
  <c r="F43" i="191"/>
  <c r="F23" i="191"/>
  <c r="F27" i="191"/>
  <c r="F36" i="191"/>
  <c r="F40" i="191"/>
  <c r="F44" i="191"/>
  <c r="F24" i="191"/>
  <c r="F32" i="191"/>
  <c r="F37" i="191"/>
  <c r="F41" i="191"/>
  <c r="F45" i="191"/>
  <c r="F113" i="191"/>
  <c r="F114" i="191"/>
  <c r="F115" i="191"/>
  <c r="F33" i="191"/>
  <c r="F20" i="191"/>
  <c r="F31" i="191"/>
  <c r="E28" i="192"/>
  <c r="F19" i="192"/>
  <c r="E19" i="198"/>
  <c r="K20" i="191"/>
  <c r="K19" i="191"/>
  <c r="I20" i="192"/>
  <c r="G28" i="191"/>
  <c r="G19" i="192"/>
  <c r="H93" i="191"/>
  <c r="H85" i="191"/>
  <c r="H81" i="191"/>
  <c r="H73" i="191"/>
  <c r="H62" i="191"/>
  <c r="H52" i="191"/>
  <c r="H79" i="191"/>
  <c r="H96" i="191"/>
  <c r="H91" i="191"/>
  <c r="H84" i="191"/>
  <c r="H80" i="191"/>
  <c r="H72" i="191"/>
  <c r="H61" i="191"/>
  <c r="H58" i="191"/>
  <c r="H95" i="191"/>
  <c r="H89" i="191"/>
  <c r="H83" i="191"/>
  <c r="H71" i="191"/>
  <c r="H60" i="191"/>
  <c r="H57" i="191"/>
  <c r="H94" i="191"/>
  <c r="H87" i="191"/>
  <c r="H82" i="191"/>
  <c r="H69" i="191"/>
  <c r="H53" i="191"/>
  <c r="H74" i="191"/>
  <c r="H97" i="191"/>
  <c r="H59" i="191"/>
  <c r="H19" i="191"/>
  <c r="I20" i="198"/>
  <c r="E28" i="198"/>
  <c r="F103" i="177"/>
  <c r="E96" i="192"/>
  <c r="E89" i="192"/>
  <c r="E81" i="192"/>
  <c r="E73" i="192"/>
  <c r="E60" i="192"/>
  <c r="E71" i="192"/>
  <c r="E52" i="192"/>
  <c r="G28" i="192"/>
  <c r="H19" i="192"/>
  <c r="G19" i="198"/>
  <c r="E94" i="192"/>
  <c r="E79" i="192"/>
  <c r="E84" i="192"/>
  <c r="E58" i="192"/>
  <c r="E61" i="192"/>
  <c r="E53" i="192"/>
  <c r="H24" i="191"/>
  <c r="H32" i="191"/>
  <c r="H37" i="191"/>
  <c r="H41" i="191"/>
  <c r="H45" i="191"/>
  <c r="H25" i="191"/>
  <c r="H38" i="191"/>
  <c r="H42" i="191"/>
  <c r="H46" i="191"/>
  <c r="H21" i="191"/>
  <c r="H26" i="191"/>
  <c r="H28" i="191"/>
  <c r="H39" i="191"/>
  <c r="H43" i="191"/>
  <c r="H23" i="191"/>
  <c r="H27" i="191"/>
  <c r="H36" i="191"/>
  <c r="H40" i="191"/>
  <c r="H44" i="191"/>
  <c r="H115" i="191"/>
  <c r="H113" i="191"/>
  <c r="H114" i="191"/>
  <c r="H20" i="191"/>
  <c r="M20" i="191"/>
  <c r="M19" i="191"/>
  <c r="K20" i="192"/>
  <c r="E95" i="192"/>
  <c r="E93" i="192"/>
  <c r="E85" i="192"/>
  <c r="E82" i="192"/>
  <c r="E72" i="192"/>
  <c r="E111" i="191"/>
  <c r="E59" i="192"/>
  <c r="F21" i="192"/>
  <c r="F24" i="192"/>
  <c r="F32" i="192"/>
  <c r="F37" i="192"/>
  <c r="F41" i="192"/>
  <c r="F45" i="192"/>
  <c r="F25" i="192"/>
  <c r="F28" i="192"/>
  <c r="F38" i="192"/>
  <c r="F42" i="192"/>
  <c r="F46" i="192"/>
  <c r="F26" i="192"/>
  <c r="F39" i="192"/>
  <c r="F23" i="192"/>
  <c r="F27" i="192"/>
  <c r="F36" i="192"/>
  <c r="F40" i="192"/>
  <c r="F44" i="192"/>
  <c r="F43" i="192"/>
  <c r="F114" i="192"/>
  <c r="F113" i="192"/>
  <c r="F115" i="192"/>
  <c r="F33" i="192"/>
  <c r="F31" i="192"/>
  <c r="F20" i="192"/>
  <c r="E87" i="192"/>
  <c r="E74" i="192"/>
  <c r="E69" i="192"/>
  <c r="I28" i="191"/>
  <c r="I19" i="192"/>
  <c r="E97" i="192"/>
  <c r="E91" i="192"/>
  <c r="E83" i="192"/>
  <c r="E80" i="192"/>
  <c r="E112" i="191"/>
  <c r="E62" i="192"/>
  <c r="E57" i="192"/>
  <c r="F63" i="177"/>
  <c r="J96" i="191"/>
  <c r="J91" i="191"/>
  <c r="J84" i="191"/>
  <c r="J80" i="191"/>
  <c r="J72" i="191"/>
  <c r="J61" i="191"/>
  <c r="J58" i="191"/>
  <c r="J82" i="191"/>
  <c r="J74" i="191"/>
  <c r="J53" i="191"/>
  <c r="J95" i="191"/>
  <c r="J89" i="191"/>
  <c r="J83" i="191"/>
  <c r="J79" i="191"/>
  <c r="J71" i="191"/>
  <c r="J60" i="191"/>
  <c r="J57" i="191"/>
  <c r="J94" i="191"/>
  <c r="J87" i="191"/>
  <c r="J69" i="191"/>
  <c r="J93" i="191"/>
  <c r="J85" i="191"/>
  <c r="J62" i="191"/>
  <c r="J81" i="191"/>
  <c r="J73" i="191"/>
  <c r="J52" i="191"/>
  <c r="J97" i="191"/>
  <c r="J59" i="191"/>
  <c r="F97" i="198"/>
  <c r="F82" i="198"/>
  <c r="F73" i="198"/>
  <c r="F74" i="198"/>
  <c r="F93" i="198"/>
  <c r="F61" i="198"/>
  <c r="F94" i="198"/>
  <c r="F71" i="198"/>
  <c r="F89" i="198"/>
  <c r="F83" i="198"/>
  <c r="F87" i="198"/>
  <c r="F72" i="198"/>
  <c r="F95" i="198"/>
  <c r="F60" i="198"/>
  <c r="F96" i="198"/>
  <c r="F57" i="198"/>
  <c r="F62" i="198"/>
  <c r="F69" i="198"/>
  <c r="F85" i="198"/>
  <c r="F53" i="198"/>
  <c r="F79" i="198"/>
  <c r="E113" i="198"/>
  <c r="F113" i="198"/>
  <c r="F81" i="198"/>
  <c r="F63" i="184"/>
  <c r="F59" i="198"/>
  <c r="F63" i="189"/>
  <c r="F63" i="168"/>
  <c r="F63" i="164"/>
  <c r="F63" i="158"/>
  <c r="F63" i="183"/>
  <c r="F63" i="191"/>
  <c r="F63" i="167"/>
  <c r="F63" i="161"/>
  <c r="F63" i="178"/>
  <c r="F63" i="185"/>
  <c r="F63" i="174"/>
  <c r="F63" i="15"/>
  <c r="F63" i="190"/>
  <c r="F63" i="186"/>
  <c r="F63" i="176"/>
  <c r="F63" i="118"/>
  <c r="F63" i="163"/>
  <c r="F63" i="187"/>
  <c r="F63" i="188"/>
  <c r="F63" i="170"/>
  <c r="F63" i="193"/>
  <c r="F63" i="169"/>
  <c r="F63" i="179"/>
  <c r="F63" i="159"/>
  <c r="F63" i="173"/>
  <c r="F63" i="165"/>
  <c r="F63" i="175"/>
  <c r="F63" i="180"/>
  <c r="F63" i="194"/>
  <c r="F63" i="172"/>
  <c r="F63" i="181"/>
  <c r="J19" i="191"/>
  <c r="F80" i="198"/>
  <c r="F91" i="198"/>
  <c r="F58" i="198"/>
  <c r="F84" i="198"/>
  <c r="F19" i="198"/>
  <c r="F66" i="177"/>
  <c r="F78" i="177"/>
  <c r="F92" i="177"/>
  <c r="F100" i="177"/>
  <c r="F104" i="177"/>
  <c r="F63" i="198"/>
  <c r="F67" i="177"/>
  <c r="F86" i="177"/>
  <c r="F64" i="177"/>
  <c r="F68" i="177"/>
  <c r="F76" i="177"/>
  <c r="F88" i="177"/>
  <c r="F98" i="177"/>
  <c r="F56" i="177"/>
  <c r="F65" i="177"/>
  <c r="F70" i="177"/>
  <c r="F77" i="177"/>
  <c r="F90" i="177"/>
  <c r="F99" i="177"/>
  <c r="K28" i="191"/>
  <c r="K19" i="192"/>
  <c r="F87" i="192"/>
  <c r="F82" i="192"/>
  <c r="F95" i="192"/>
  <c r="G94" i="192"/>
  <c r="G87" i="192"/>
  <c r="G71" i="192"/>
  <c r="G72" i="192"/>
  <c r="F58" i="192"/>
  <c r="F94" i="192"/>
  <c r="F71" i="192"/>
  <c r="F81" i="192"/>
  <c r="F96" i="192"/>
  <c r="F91" i="192"/>
  <c r="F93" i="192"/>
  <c r="K20" i="198"/>
  <c r="G95" i="192"/>
  <c r="G79" i="192"/>
  <c r="F53" i="192"/>
  <c r="F84" i="192"/>
  <c r="F57" i="192"/>
  <c r="F59" i="192"/>
  <c r="O20" i="191"/>
  <c r="O19" i="191"/>
  <c r="M20" i="192"/>
  <c r="G93" i="192"/>
  <c r="G84" i="192"/>
  <c r="G85" i="192"/>
  <c r="G69" i="192"/>
  <c r="G61" i="192"/>
  <c r="G112" i="191"/>
  <c r="G62" i="192"/>
  <c r="F52" i="192"/>
  <c r="F24" i="198"/>
  <c r="F32" i="198"/>
  <c r="F37" i="198"/>
  <c r="F41" i="198"/>
  <c r="F45" i="198"/>
  <c r="F21" i="198"/>
  <c r="F26" i="198"/>
  <c r="F39" i="198"/>
  <c r="F43" i="198"/>
  <c r="F25" i="198"/>
  <c r="F31" i="198"/>
  <c r="F40" i="198"/>
  <c r="F27" i="198"/>
  <c r="F42" i="198"/>
  <c r="F20" i="198"/>
  <c r="F28" i="198"/>
  <c r="F36" i="198"/>
  <c r="F44" i="198"/>
  <c r="F23" i="198"/>
  <c r="F38" i="198"/>
  <c r="F46" i="198"/>
  <c r="F33" i="198"/>
  <c r="F80" i="192"/>
  <c r="F97" i="192"/>
  <c r="F69" i="192"/>
  <c r="E116" i="191"/>
  <c r="F116" i="191"/>
  <c r="F111" i="191"/>
  <c r="E111" i="192"/>
  <c r="F85" i="192"/>
  <c r="G96" i="192"/>
  <c r="G82" i="192"/>
  <c r="G83" i="192"/>
  <c r="G111" i="191"/>
  <c r="G59" i="192"/>
  <c r="G60" i="192"/>
  <c r="F61" i="192"/>
  <c r="F73" i="192"/>
  <c r="F89" i="192"/>
  <c r="F112" i="191"/>
  <c r="E112" i="192"/>
  <c r="F83" i="192"/>
  <c r="I28" i="192"/>
  <c r="I19" i="198"/>
  <c r="F74" i="192"/>
  <c r="F72" i="192"/>
  <c r="G74" i="192"/>
  <c r="G53" i="192"/>
  <c r="F79" i="192"/>
  <c r="G28" i="198"/>
  <c r="F60" i="192"/>
  <c r="F62" i="192"/>
  <c r="J23" i="191"/>
  <c r="J27" i="191"/>
  <c r="J28" i="191"/>
  <c r="J36" i="191"/>
  <c r="J40" i="191"/>
  <c r="J44" i="191"/>
  <c r="J24" i="191"/>
  <c r="J32" i="191"/>
  <c r="J37" i="191"/>
  <c r="J41" i="191"/>
  <c r="J45" i="191"/>
  <c r="J25" i="191"/>
  <c r="J38" i="191"/>
  <c r="J42" i="191"/>
  <c r="J46" i="191"/>
  <c r="J21" i="191"/>
  <c r="J26" i="191"/>
  <c r="J39" i="191"/>
  <c r="J43" i="191"/>
  <c r="J114" i="191"/>
  <c r="J115" i="191"/>
  <c r="J113" i="191"/>
  <c r="J20" i="191"/>
  <c r="G97" i="192"/>
  <c r="G91" i="192"/>
  <c r="G80" i="192"/>
  <c r="G89" i="192"/>
  <c r="G81" i="192"/>
  <c r="G73" i="192"/>
  <c r="G57" i="192"/>
  <c r="G58" i="192"/>
  <c r="G52" i="192"/>
  <c r="H21" i="192"/>
  <c r="H23" i="192"/>
  <c r="H27" i="192"/>
  <c r="H36" i="192"/>
  <c r="H40" i="192"/>
  <c r="H44" i="192"/>
  <c r="H24" i="192"/>
  <c r="H32" i="192"/>
  <c r="H37" i="192"/>
  <c r="H41" i="192"/>
  <c r="H45" i="192"/>
  <c r="H25" i="192"/>
  <c r="H38" i="192"/>
  <c r="H42" i="192"/>
  <c r="H26" i="192"/>
  <c r="H28" i="192"/>
  <c r="H39" i="192"/>
  <c r="H43" i="192"/>
  <c r="H46" i="192"/>
  <c r="H115" i="192"/>
  <c r="H113" i="192"/>
  <c r="H114" i="192"/>
  <c r="H20" i="192"/>
  <c r="E115" i="198"/>
  <c r="F115" i="198"/>
  <c r="F75" i="177"/>
  <c r="E114" i="198"/>
  <c r="F114" i="198"/>
  <c r="F54" i="177"/>
  <c r="H103" i="177"/>
  <c r="H63" i="177"/>
  <c r="H103" i="162"/>
  <c r="H63" i="162"/>
  <c r="L95" i="191"/>
  <c r="L89" i="191"/>
  <c r="L83" i="191"/>
  <c r="L79" i="191"/>
  <c r="L71" i="191"/>
  <c r="L60" i="191"/>
  <c r="L57" i="191"/>
  <c r="L85" i="191"/>
  <c r="L73" i="191"/>
  <c r="L62" i="191"/>
  <c r="L96" i="191"/>
  <c r="L91" i="191"/>
  <c r="L84" i="191"/>
  <c r="L94" i="191"/>
  <c r="L87" i="191"/>
  <c r="L82" i="191"/>
  <c r="L74" i="191"/>
  <c r="L69" i="191"/>
  <c r="L53" i="191"/>
  <c r="L93" i="191"/>
  <c r="L81" i="191"/>
  <c r="L52" i="191"/>
  <c r="L61" i="191"/>
  <c r="L72" i="191"/>
  <c r="L80" i="191"/>
  <c r="L58" i="191"/>
  <c r="L97" i="191"/>
  <c r="L59" i="191"/>
  <c r="H97" i="198"/>
  <c r="H57" i="198"/>
  <c r="H69" i="198"/>
  <c r="H73" i="198"/>
  <c r="H81" i="198"/>
  <c r="H53" i="198"/>
  <c r="H60" i="198"/>
  <c r="H82" i="198"/>
  <c r="H79" i="198"/>
  <c r="H87" i="198"/>
  <c r="H72" i="198"/>
  <c r="H58" i="198"/>
  <c r="H89" i="198"/>
  <c r="H74" i="198"/>
  <c r="H96" i="198"/>
  <c r="H61" i="198"/>
  <c r="H93" i="198"/>
  <c r="H95" i="198"/>
  <c r="H94" i="198"/>
  <c r="H80" i="198"/>
  <c r="H91" i="198"/>
  <c r="H83" i="198"/>
  <c r="H62" i="198"/>
  <c r="H85" i="198"/>
  <c r="H71" i="198"/>
  <c r="F102" i="197"/>
  <c r="E105" i="197"/>
  <c r="H63" i="190"/>
  <c r="H59" i="198"/>
  <c r="E63" i="195"/>
  <c r="F63" i="195"/>
  <c r="H63" i="168"/>
  <c r="H63" i="191"/>
  <c r="H63" i="194"/>
  <c r="H63" i="159"/>
  <c r="H63" i="169"/>
  <c r="H63" i="167"/>
  <c r="H63" i="173"/>
  <c r="F68" i="198"/>
  <c r="F68" i="194"/>
  <c r="F68" i="191"/>
  <c r="F68" i="187"/>
  <c r="F68" i="190"/>
  <c r="F68" i="184"/>
  <c r="F68" i="189"/>
  <c r="F68" i="178"/>
  <c r="F68" i="173"/>
  <c r="F68" i="188"/>
  <c r="F68" i="186"/>
  <c r="F68" i="174"/>
  <c r="F68" i="183"/>
  <c r="F68" i="180"/>
  <c r="F68" i="175"/>
  <c r="F68" i="169"/>
  <c r="F68" i="181"/>
  <c r="F68" i="168"/>
  <c r="F68" i="185"/>
  <c r="F68" i="176"/>
  <c r="F68" i="172"/>
  <c r="F68" i="167"/>
  <c r="F68" i="170"/>
  <c r="F68" i="165"/>
  <c r="F68" i="164"/>
  <c r="F68" i="179"/>
  <c r="F68" i="161"/>
  <c r="F68" i="159"/>
  <c r="F68" i="163"/>
  <c r="F68" i="118"/>
  <c r="F68" i="158"/>
  <c r="F66" i="198"/>
  <c r="F66" i="194"/>
  <c r="F66" i="191"/>
  <c r="F66" i="187"/>
  <c r="F66" i="190"/>
  <c r="F66" i="184"/>
  <c r="F66" i="189"/>
  <c r="F66" i="178"/>
  <c r="F66" i="173"/>
  <c r="F66" i="186"/>
  <c r="F66" i="174"/>
  <c r="F66" i="188"/>
  <c r="F66" i="183"/>
  <c r="F66" i="180"/>
  <c r="F66" i="175"/>
  <c r="F66" i="169"/>
  <c r="F66" i="164"/>
  <c r="F66" i="185"/>
  <c r="F66" i="176"/>
  <c r="F66" i="165"/>
  <c r="F66" i="172"/>
  <c r="F66" i="179"/>
  <c r="F66" i="170"/>
  <c r="F66" i="168"/>
  <c r="F66" i="181"/>
  <c r="F66" i="167"/>
  <c r="F66" i="161"/>
  <c r="F66" i="159"/>
  <c r="F66" i="163"/>
  <c r="F66" i="158"/>
  <c r="F66" i="118"/>
  <c r="F103" i="198"/>
  <c r="F103" i="194"/>
  <c r="F103" i="191"/>
  <c r="F103" i="190"/>
  <c r="F103" i="188"/>
  <c r="F103" i="186"/>
  <c r="F103" i="178"/>
  <c r="F103" i="170"/>
  <c r="F103" i="164"/>
  <c r="F103" i="189"/>
  <c r="F103" i="185"/>
  <c r="F103" i="187"/>
  <c r="F103" i="181"/>
  <c r="F103" i="179"/>
  <c r="F103" i="176"/>
  <c r="F103" i="174"/>
  <c r="F103" i="169"/>
  <c r="F103" i="180"/>
  <c r="F103" i="167"/>
  <c r="F103" i="184"/>
  <c r="F103" i="183"/>
  <c r="F103" i="175"/>
  <c r="F103" i="173"/>
  <c r="F103" i="172"/>
  <c r="F103" i="165"/>
  <c r="F103" i="168"/>
  <c r="F103" i="161"/>
  <c r="F103" i="159"/>
  <c r="F103" i="163"/>
  <c r="F103" i="158"/>
  <c r="F70" i="198"/>
  <c r="F70" i="194"/>
  <c r="F70" i="191"/>
  <c r="F70" i="190"/>
  <c r="F70" i="187"/>
  <c r="F70" i="188"/>
  <c r="F70" i="184"/>
  <c r="F70" i="178"/>
  <c r="F70" i="170"/>
  <c r="F70" i="164"/>
  <c r="F70" i="185"/>
  <c r="F70" i="174"/>
  <c r="F70" i="173"/>
  <c r="F70" i="181"/>
  <c r="F70" i="179"/>
  <c r="F70" i="176"/>
  <c r="F70" i="169"/>
  <c r="F70" i="189"/>
  <c r="F70" i="186"/>
  <c r="F70" i="167"/>
  <c r="F70" i="172"/>
  <c r="F70" i="165"/>
  <c r="F70" i="180"/>
  <c r="F70" i="183"/>
  <c r="F70" i="175"/>
  <c r="F70" i="168"/>
  <c r="F70" i="161"/>
  <c r="F70" i="159"/>
  <c r="F70" i="163"/>
  <c r="F70" i="118"/>
  <c r="F70" i="158"/>
  <c r="F98" i="198"/>
  <c r="F98" i="194"/>
  <c r="F98" i="191"/>
  <c r="F98" i="190"/>
  <c r="F98" i="187"/>
  <c r="F98" i="186"/>
  <c r="F98" i="184"/>
  <c r="F98" i="189"/>
  <c r="F98" i="178"/>
  <c r="F98" i="173"/>
  <c r="F98" i="170"/>
  <c r="F98" i="183"/>
  <c r="F98" i="180"/>
  <c r="F98" i="175"/>
  <c r="F98" i="169"/>
  <c r="F98" i="179"/>
  <c r="F98" i="165"/>
  <c r="F98" i="164"/>
  <c r="F98" i="188"/>
  <c r="F98" i="181"/>
  <c r="F98" i="174"/>
  <c r="F98" i="172"/>
  <c r="F98" i="185"/>
  <c r="F98" i="176"/>
  <c r="F98" i="168"/>
  <c r="F98" i="167"/>
  <c r="F98" i="163"/>
  <c r="F98" i="158"/>
  <c r="F98" i="161"/>
  <c r="F98" i="159"/>
  <c r="F98" i="118"/>
  <c r="F64" i="198"/>
  <c r="F64" i="194"/>
  <c r="F64" i="191"/>
  <c r="F64" i="187"/>
  <c r="F64" i="190"/>
  <c r="F64" i="184"/>
  <c r="F64" i="189"/>
  <c r="F64" i="178"/>
  <c r="F64" i="173"/>
  <c r="F64" i="186"/>
  <c r="F64" i="174"/>
  <c r="F64" i="164"/>
  <c r="F64" i="183"/>
  <c r="F64" i="180"/>
  <c r="F64" i="175"/>
  <c r="F64" i="170"/>
  <c r="F64" i="169"/>
  <c r="F64" i="188"/>
  <c r="F64" i="168"/>
  <c r="F64" i="179"/>
  <c r="F64" i="172"/>
  <c r="F64" i="167"/>
  <c r="F64" i="181"/>
  <c r="F64" i="165"/>
  <c r="F64" i="185"/>
  <c r="F64" i="176"/>
  <c r="F64" i="163"/>
  <c r="F64" i="159"/>
  <c r="F64" i="158"/>
  <c r="F64" i="161"/>
  <c r="F64" i="118"/>
  <c r="F67" i="198"/>
  <c r="F67" i="191"/>
  <c r="F67" i="190"/>
  <c r="F67" i="188"/>
  <c r="F67" i="187"/>
  <c r="F67" i="178"/>
  <c r="F67" i="170"/>
  <c r="F67" i="164"/>
  <c r="F67" i="185"/>
  <c r="F67" i="174"/>
  <c r="F67" i="184"/>
  <c r="F67" i="181"/>
  <c r="F67" i="179"/>
  <c r="F67" i="176"/>
  <c r="F67" i="169"/>
  <c r="F67" i="189"/>
  <c r="F67" i="180"/>
  <c r="F67" i="173"/>
  <c r="F67" i="172"/>
  <c r="F67" i="168"/>
  <c r="F67" i="194"/>
  <c r="F67" i="183"/>
  <c r="F67" i="175"/>
  <c r="F67" i="167"/>
  <c r="F67" i="186"/>
  <c r="F67" i="165"/>
  <c r="F67" i="163"/>
  <c r="F67" i="161"/>
  <c r="F67" i="158"/>
  <c r="F67" i="159"/>
  <c r="F67" i="118"/>
  <c r="F92" i="198"/>
  <c r="F92" i="191"/>
  <c r="F92" i="190"/>
  <c r="F92" i="187"/>
  <c r="F92" i="186"/>
  <c r="F92" i="188"/>
  <c r="F92" i="184"/>
  <c r="F92" i="178"/>
  <c r="F92" i="170"/>
  <c r="F92" i="164"/>
  <c r="F92" i="185"/>
  <c r="F92" i="173"/>
  <c r="F92" i="181"/>
  <c r="F92" i="179"/>
  <c r="F92" i="176"/>
  <c r="F92" i="174"/>
  <c r="F92" i="169"/>
  <c r="F92" i="194"/>
  <c r="F92" i="167"/>
  <c r="F92" i="172"/>
  <c r="F92" i="165"/>
  <c r="F92" i="189"/>
  <c r="F92" i="180"/>
  <c r="F92" i="183"/>
  <c r="F92" i="175"/>
  <c r="F92" i="168"/>
  <c r="F92" i="161"/>
  <c r="F92" i="159"/>
  <c r="F92" i="118"/>
  <c r="F92" i="163"/>
  <c r="F92" i="158"/>
  <c r="H63" i="118"/>
  <c r="H63" i="163"/>
  <c r="H63" i="179"/>
  <c r="H63" i="174"/>
  <c r="H63" i="164"/>
  <c r="H63" i="178"/>
  <c r="H63" i="181"/>
  <c r="H63" i="186"/>
  <c r="E63" i="192"/>
  <c r="F63" i="192"/>
  <c r="F100" i="198"/>
  <c r="F100" i="191"/>
  <c r="F100" i="190"/>
  <c r="F100" i="188"/>
  <c r="F100" i="178"/>
  <c r="F100" i="170"/>
  <c r="F100" i="164"/>
  <c r="F100" i="194"/>
  <c r="F100" i="186"/>
  <c r="F100" i="185"/>
  <c r="F100" i="189"/>
  <c r="F100" i="181"/>
  <c r="F100" i="179"/>
  <c r="F100" i="176"/>
  <c r="F100" i="174"/>
  <c r="F100" i="173"/>
  <c r="F100" i="169"/>
  <c r="F100" i="187"/>
  <c r="F100" i="184"/>
  <c r="F100" i="183"/>
  <c r="F100" i="175"/>
  <c r="F100" i="172"/>
  <c r="F100" i="168"/>
  <c r="F100" i="167"/>
  <c r="F100" i="180"/>
  <c r="F100" i="165"/>
  <c r="F100" i="163"/>
  <c r="F100" i="161"/>
  <c r="F100" i="158"/>
  <c r="F100" i="159"/>
  <c r="F65" i="198"/>
  <c r="F65" i="194"/>
  <c r="F65" i="191"/>
  <c r="F65" i="190"/>
  <c r="F65" i="188"/>
  <c r="F65" i="187"/>
  <c r="F65" i="178"/>
  <c r="F65" i="170"/>
  <c r="F65" i="164"/>
  <c r="F65" i="189"/>
  <c r="F65" i="185"/>
  <c r="F65" i="174"/>
  <c r="F65" i="184"/>
  <c r="F65" i="181"/>
  <c r="F65" i="179"/>
  <c r="F65" i="176"/>
  <c r="F65" i="169"/>
  <c r="F65" i="180"/>
  <c r="F65" i="167"/>
  <c r="F65" i="183"/>
  <c r="F65" i="175"/>
  <c r="F65" i="173"/>
  <c r="F65" i="172"/>
  <c r="F65" i="165"/>
  <c r="F65" i="186"/>
  <c r="F65" i="168"/>
  <c r="F65" i="161"/>
  <c r="F65" i="159"/>
  <c r="F65" i="163"/>
  <c r="F65" i="118"/>
  <c r="F65" i="158"/>
  <c r="F88" i="198"/>
  <c r="F88" i="194"/>
  <c r="F88" i="191"/>
  <c r="F88" i="190"/>
  <c r="F88" i="188"/>
  <c r="F88" i="178"/>
  <c r="F88" i="170"/>
  <c r="F88" i="164"/>
  <c r="F88" i="187"/>
  <c r="F88" i="185"/>
  <c r="F88" i="174"/>
  <c r="F88" i="181"/>
  <c r="F88" i="179"/>
  <c r="F88" i="176"/>
  <c r="F88" i="169"/>
  <c r="F88" i="180"/>
  <c r="F88" i="172"/>
  <c r="F88" i="168"/>
  <c r="F88" i="186"/>
  <c r="F88" i="184"/>
  <c r="F88" i="183"/>
  <c r="F88" i="175"/>
  <c r="F88" i="167"/>
  <c r="F88" i="189"/>
  <c r="F88" i="173"/>
  <c r="F88" i="165"/>
  <c r="F88" i="163"/>
  <c r="F88" i="161"/>
  <c r="F88" i="158"/>
  <c r="F88" i="159"/>
  <c r="F88" i="118"/>
  <c r="F54" i="198"/>
  <c r="F54" i="194"/>
  <c r="F54" i="191"/>
  <c r="F54" i="190"/>
  <c r="F54" i="187"/>
  <c r="F54" i="185"/>
  <c r="F54" i="179"/>
  <c r="F54" i="172"/>
  <c r="F54" i="165"/>
  <c r="F54" i="189"/>
  <c r="F54" i="186"/>
  <c r="F54" i="183"/>
  <c r="F54" i="180"/>
  <c r="F54" i="178"/>
  <c r="F54" i="175"/>
  <c r="F54" i="170"/>
  <c r="F54" i="164"/>
  <c r="F54" i="188"/>
  <c r="F54" i="181"/>
  <c r="F54" i="174"/>
  <c r="F54" i="173"/>
  <c r="F54" i="169"/>
  <c r="F54" i="184"/>
  <c r="F54" i="176"/>
  <c r="F54" i="168"/>
  <c r="F54" i="167"/>
  <c r="F54" i="161"/>
  <c r="F54" i="159"/>
  <c r="F54" i="163"/>
  <c r="F54" i="118"/>
  <c r="F54" i="158"/>
  <c r="F78" i="198"/>
  <c r="F78" i="194"/>
  <c r="F78" i="191"/>
  <c r="F78" i="190"/>
  <c r="F78" i="188"/>
  <c r="F78" i="178"/>
  <c r="F78" i="170"/>
  <c r="F78" i="164"/>
  <c r="F78" i="189"/>
  <c r="F78" i="185"/>
  <c r="F78" i="174"/>
  <c r="F78" i="186"/>
  <c r="F78" i="181"/>
  <c r="F78" i="179"/>
  <c r="F78" i="176"/>
  <c r="F78" i="169"/>
  <c r="F78" i="187"/>
  <c r="F78" i="180"/>
  <c r="F78" i="167"/>
  <c r="F78" i="184"/>
  <c r="F78" i="183"/>
  <c r="F78" i="175"/>
  <c r="F78" i="172"/>
  <c r="F78" i="165"/>
  <c r="F78" i="173"/>
  <c r="F78" i="168"/>
  <c r="F78" i="161"/>
  <c r="F78" i="159"/>
  <c r="F78" i="163"/>
  <c r="F78" i="118"/>
  <c r="F78" i="158"/>
  <c r="H63" i="15"/>
  <c r="H63" i="161"/>
  <c r="H63" i="176"/>
  <c r="H63" i="180"/>
  <c r="H63" i="170"/>
  <c r="H63" i="184"/>
  <c r="H63" i="183"/>
  <c r="H63" i="189"/>
  <c r="F77" i="198"/>
  <c r="F77" i="194"/>
  <c r="F77" i="191"/>
  <c r="F77" i="187"/>
  <c r="F77" i="186"/>
  <c r="F77" i="190"/>
  <c r="F77" i="184"/>
  <c r="F77" i="189"/>
  <c r="F77" i="178"/>
  <c r="F77" i="173"/>
  <c r="F77" i="174"/>
  <c r="F77" i="164"/>
  <c r="F77" i="183"/>
  <c r="F77" i="180"/>
  <c r="F77" i="175"/>
  <c r="F77" i="170"/>
  <c r="F77" i="169"/>
  <c r="F77" i="168"/>
  <c r="F77" i="179"/>
  <c r="F77" i="172"/>
  <c r="F77" i="167"/>
  <c r="F77" i="188"/>
  <c r="F77" i="181"/>
  <c r="F77" i="165"/>
  <c r="F77" i="185"/>
  <c r="F77" i="176"/>
  <c r="F77" i="163"/>
  <c r="F77" i="118"/>
  <c r="F77" i="159"/>
  <c r="F77" i="161"/>
  <c r="F77" i="158"/>
  <c r="F75" i="198"/>
  <c r="F75" i="194"/>
  <c r="F75" i="191"/>
  <c r="F75" i="187"/>
  <c r="F75" i="190"/>
  <c r="F75" i="184"/>
  <c r="F75" i="189"/>
  <c r="F75" i="178"/>
  <c r="F75" i="173"/>
  <c r="F75" i="186"/>
  <c r="F75" i="174"/>
  <c r="F75" i="170"/>
  <c r="F75" i="183"/>
  <c r="F75" i="180"/>
  <c r="F75" i="175"/>
  <c r="F75" i="169"/>
  <c r="F75" i="179"/>
  <c r="F75" i="165"/>
  <c r="F75" i="181"/>
  <c r="F75" i="172"/>
  <c r="F75" i="185"/>
  <c r="F75" i="176"/>
  <c r="F75" i="168"/>
  <c r="F75" i="164"/>
  <c r="F75" i="188"/>
  <c r="F75" i="167"/>
  <c r="F75" i="161"/>
  <c r="F75" i="159"/>
  <c r="F75" i="163"/>
  <c r="F75" i="158"/>
  <c r="F75" i="118"/>
  <c r="F90" i="198"/>
  <c r="F90" i="194"/>
  <c r="F90" i="191"/>
  <c r="F90" i="187"/>
  <c r="F90" i="186"/>
  <c r="F90" i="190"/>
  <c r="F90" i="184"/>
  <c r="F90" i="189"/>
  <c r="F90" i="178"/>
  <c r="F90" i="173"/>
  <c r="F90" i="188"/>
  <c r="F90" i="174"/>
  <c r="F90" i="183"/>
  <c r="F90" i="180"/>
  <c r="F90" i="175"/>
  <c r="F90" i="169"/>
  <c r="F90" i="181"/>
  <c r="F90" i="170"/>
  <c r="F90" i="168"/>
  <c r="F90" i="164"/>
  <c r="F90" i="185"/>
  <c r="F90" i="176"/>
  <c r="F90" i="172"/>
  <c r="F90" i="167"/>
  <c r="F90" i="165"/>
  <c r="F90" i="179"/>
  <c r="F90" i="161"/>
  <c r="F90" i="159"/>
  <c r="F90" i="118"/>
  <c r="F90" i="163"/>
  <c r="F90" i="158"/>
  <c r="F56" i="198"/>
  <c r="F56" i="191"/>
  <c r="F56" i="190"/>
  <c r="F56" i="188"/>
  <c r="F56" i="178"/>
  <c r="F56" i="170"/>
  <c r="F56" i="164"/>
  <c r="F56" i="194"/>
  <c r="F56" i="185"/>
  <c r="F56" i="184"/>
  <c r="F56" i="174"/>
  <c r="F56" i="189"/>
  <c r="F56" i="181"/>
  <c r="F56" i="179"/>
  <c r="F56" i="176"/>
  <c r="F56" i="173"/>
  <c r="F56" i="169"/>
  <c r="F56" i="183"/>
  <c r="F56" i="175"/>
  <c r="F56" i="187"/>
  <c r="F56" i="186"/>
  <c r="F56" i="172"/>
  <c r="F56" i="168"/>
  <c r="F56" i="167"/>
  <c r="F56" i="180"/>
  <c r="F56" i="165"/>
  <c r="F56" i="161"/>
  <c r="F56" i="159"/>
  <c r="F56" i="163"/>
  <c r="F56" i="158"/>
  <c r="F56" i="118"/>
  <c r="F76" i="198"/>
  <c r="F76" i="194"/>
  <c r="F76" i="191"/>
  <c r="F76" i="190"/>
  <c r="F76" i="188"/>
  <c r="F76" i="187"/>
  <c r="F76" i="178"/>
  <c r="F76" i="170"/>
  <c r="F76" i="164"/>
  <c r="F76" i="185"/>
  <c r="F76" i="174"/>
  <c r="F76" i="189"/>
  <c r="F76" i="184"/>
  <c r="F76" i="181"/>
  <c r="F76" i="179"/>
  <c r="F76" i="176"/>
  <c r="F76" i="173"/>
  <c r="F76" i="169"/>
  <c r="F76" i="183"/>
  <c r="F76" i="175"/>
  <c r="F76" i="186"/>
  <c r="F76" i="172"/>
  <c r="F76" i="168"/>
  <c r="F76" i="167"/>
  <c r="F76" i="180"/>
  <c r="F76" i="165"/>
  <c r="F76" i="163"/>
  <c r="F76" i="159"/>
  <c r="F76" i="161"/>
  <c r="F76" i="158"/>
  <c r="F76" i="118"/>
  <c r="F86" i="198"/>
  <c r="F86" i="194"/>
  <c r="F86" i="191"/>
  <c r="F86" i="187"/>
  <c r="F86" i="186"/>
  <c r="F86" i="190"/>
  <c r="F86" i="184"/>
  <c r="F86" i="189"/>
  <c r="F86" i="178"/>
  <c r="F86" i="173"/>
  <c r="F86" i="174"/>
  <c r="F86" i="188"/>
  <c r="F86" i="183"/>
  <c r="F86" i="180"/>
  <c r="F86" i="175"/>
  <c r="F86" i="169"/>
  <c r="F86" i="164"/>
  <c r="F86" i="185"/>
  <c r="F86" i="176"/>
  <c r="F86" i="170"/>
  <c r="F86" i="165"/>
  <c r="F86" i="172"/>
  <c r="F86" i="179"/>
  <c r="F86" i="168"/>
  <c r="F86" i="181"/>
  <c r="F86" i="167"/>
  <c r="F86" i="161"/>
  <c r="F86" i="159"/>
  <c r="F86" i="163"/>
  <c r="F86" i="158"/>
  <c r="F86" i="118"/>
  <c r="F104" i="198"/>
  <c r="F104" i="194"/>
  <c r="F104" i="191"/>
  <c r="F104" i="190"/>
  <c r="F104" i="187"/>
  <c r="F104" i="186"/>
  <c r="F104" i="184"/>
  <c r="F104" i="189"/>
  <c r="F104" i="178"/>
  <c r="F104" i="173"/>
  <c r="F104" i="188"/>
  <c r="F104" i="183"/>
  <c r="F104" i="180"/>
  <c r="F104" i="175"/>
  <c r="F104" i="169"/>
  <c r="F104" i="164"/>
  <c r="F104" i="185"/>
  <c r="F104" i="176"/>
  <c r="F104" i="165"/>
  <c r="F104" i="172"/>
  <c r="F104" i="179"/>
  <c r="F104" i="170"/>
  <c r="F104" i="168"/>
  <c r="F104" i="181"/>
  <c r="F104" i="174"/>
  <c r="F104" i="167"/>
  <c r="F104" i="163"/>
  <c r="F104" i="161"/>
  <c r="F104" i="159"/>
  <c r="F104" i="158"/>
  <c r="H63" i="158"/>
  <c r="H63" i="175"/>
  <c r="H63" i="188"/>
  <c r="H63" i="185"/>
  <c r="H63" i="165"/>
  <c r="H63" i="172"/>
  <c r="H63" i="187"/>
  <c r="H63" i="193"/>
  <c r="F99" i="198"/>
  <c r="F99" i="194"/>
  <c r="F99" i="188"/>
  <c r="F99" i="185"/>
  <c r="F99" i="184"/>
  <c r="F99" i="181"/>
  <c r="F99" i="179"/>
  <c r="F99" i="176"/>
  <c r="F99" i="174"/>
  <c r="F99" i="172"/>
  <c r="F99" i="169"/>
  <c r="F99" i="167"/>
  <c r="F99" i="164"/>
  <c r="F99" i="190"/>
  <c r="F99" i="186"/>
  <c r="F99" i="191"/>
  <c r="F99" i="189"/>
  <c r="F99" i="183"/>
  <c r="F99" i="180"/>
  <c r="F99" i="178"/>
  <c r="F99" i="175"/>
  <c r="F99" i="173"/>
  <c r="F99" i="170"/>
  <c r="F99" i="168"/>
  <c r="F99" i="165"/>
  <c r="F99" i="187"/>
  <c r="F99" i="163"/>
  <c r="F99" i="159"/>
  <c r="F99" i="158"/>
  <c r="F99" i="118"/>
  <c r="F99" i="161"/>
  <c r="H19" i="198"/>
  <c r="H63" i="198"/>
  <c r="G114" i="198"/>
  <c r="H114" i="198"/>
  <c r="H56" i="177"/>
  <c r="H80" i="192"/>
  <c r="H97" i="192"/>
  <c r="I97" i="192"/>
  <c r="I87" i="192"/>
  <c r="I79" i="192"/>
  <c r="I80" i="192"/>
  <c r="I73" i="192"/>
  <c r="I58" i="192"/>
  <c r="I71" i="192"/>
  <c r="I53" i="192"/>
  <c r="J26" i="192"/>
  <c r="J39" i="192"/>
  <c r="J43" i="192"/>
  <c r="J21" i="192"/>
  <c r="J23" i="192"/>
  <c r="J27" i="192"/>
  <c r="J28" i="192"/>
  <c r="J36" i="192"/>
  <c r="J40" i="192"/>
  <c r="J44" i="192"/>
  <c r="J24" i="192"/>
  <c r="J32" i="192"/>
  <c r="J37" i="192"/>
  <c r="J41" i="192"/>
  <c r="J25" i="192"/>
  <c r="J38" i="192"/>
  <c r="J42" i="192"/>
  <c r="J46" i="192"/>
  <c r="J45" i="192"/>
  <c r="J114" i="192"/>
  <c r="J113" i="192"/>
  <c r="J115" i="192"/>
  <c r="J20" i="192"/>
  <c r="H82" i="192"/>
  <c r="Q20" i="191"/>
  <c r="Q19" i="191"/>
  <c r="O20" i="192"/>
  <c r="H79" i="192"/>
  <c r="H95" i="192"/>
  <c r="H71" i="192"/>
  <c r="H94" i="192"/>
  <c r="K28" i="192"/>
  <c r="L19" i="192"/>
  <c r="K19" i="198"/>
  <c r="H81" i="192"/>
  <c r="H91" i="192"/>
  <c r="I96" i="192"/>
  <c r="I93" i="192"/>
  <c r="I85" i="192"/>
  <c r="I72" i="192"/>
  <c r="I69" i="192"/>
  <c r="I61" i="192"/>
  <c r="I52" i="192"/>
  <c r="H53" i="192"/>
  <c r="J19" i="192"/>
  <c r="H59" i="192"/>
  <c r="H69" i="192"/>
  <c r="H85" i="192"/>
  <c r="H84" i="192"/>
  <c r="L21" i="191"/>
  <c r="L26" i="191"/>
  <c r="L39" i="191"/>
  <c r="L43" i="191"/>
  <c r="L23" i="191"/>
  <c r="L27" i="191"/>
  <c r="L36" i="191"/>
  <c r="L40" i="191"/>
  <c r="L44" i="191"/>
  <c r="L24" i="191"/>
  <c r="L28" i="191"/>
  <c r="L32" i="191"/>
  <c r="L37" i="191"/>
  <c r="L41" i="191"/>
  <c r="L45" i="191"/>
  <c r="L25" i="191"/>
  <c r="L38" i="191"/>
  <c r="L42" i="191"/>
  <c r="L46" i="191"/>
  <c r="L113" i="191"/>
  <c r="L114" i="191"/>
  <c r="L115" i="191"/>
  <c r="L20" i="191"/>
  <c r="H73" i="192"/>
  <c r="I95" i="192"/>
  <c r="I91" i="192"/>
  <c r="I83" i="192"/>
  <c r="I84" i="192"/>
  <c r="I112" i="191"/>
  <c r="I62" i="192"/>
  <c r="I111" i="191"/>
  <c r="I59" i="192"/>
  <c r="H23" i="198"/>
  <c r="H27" i="198"/>
  <c r="H36" i="198"/>
  <c r="H40" i="198"/>
  <c r="H44" i="198"/>
  <c r="H25" i="198"/>
  <c r="H38" i="198"/>
  <c r="H42" i="198"/>
  <c r="H46" i="198"/>
  <c r="H24" i="198"/>
  <c r="H39" i="198"/>
  <c r="H26" i="198"/>
  <c r="H32" i="198"/>
  <c r="H41" i="198"/>
  <c r="H43" i="198"/>
  <c r="H21" i="198"/>
  <c r="H28" i="198"/>
  <c r="H37" i="198"/>
  <c r="H45" i="198"/>
  <c r="H20" i="198"/>
  <c r="F112" i="192"/>
  <c r="E112" i="198"/>
  <c r="F112" i="198"/>
  <c r="H111" i="191"/>
  <c r="G116" i="191"/>
  <c r="H116" i="191"/>
  <c r="G111" i="192"/>
  <c r="H83" i="192"/>
  <c r="H96" i="192"/>
  <c r="E116" i="192"/>
  <c r="F116" i="192"/>
  <c r="F111" i="192"/>
  <c r="F52" i="198"/>
  <c r="H62" i="192"/>
  <c r="H72" i="192"/>
  <c r="H87" i="192"/>
  <c r="M28" i="191"/>
  <c r="M19" i="192"/>
  <c r="H58" i="192"/>
  <c r="H57" i="192"/>
  <c r="H89" i="192"/>
  <c r="H52" i="192"/>
  <c r="G113" i="198"/>
  <c r="H113" i="198"/>
  <c r="I94" i="192"/>
  <c r="I89" i="192"/>
  <c r="I81" i="192"/>
  <c r="I82" i="192"/>
  <c r="I74" i="192"/>
  <c r="I60" i="192"/>
  <c r="I57" i="192"/>
  <c r="H74" i="192"/>
  <c r="I28" i="198"/>
  <c r="J103" i="177"/>
  <c r="H60" i="192"/>
  <c r="H112" i="191"/>
  <c r="G112" i="192"/>
  <c r="H61" i="192"/>
  <c r="H93" i="192"/>
  <c r="M20" i="198"/>
  <c r="L19" i="191"/>
  <c r="G115" i="198"/>
  <c r="H115" i="198"/>
  <c r="H84" i="198"/>
  <c r="J63" i="177"/>
  <c r="H86" i="162"/>
  <c r="H86" i="177"/>
  <c r="H78" i="162"/>
  <c r="H78" i="177"/>
  <c r="H90" i="162"/>
  <c r="H90" i="177"/>
  <c r="H88" i="162"/>
  <c r="H88" i="177"/>
  <c r="H104" i="162"/>
  <c r="H104" i="177"/>
  <c r="H66" i="162"/>
  <c r="H66" i="177"/>
  <c r="H77" i="162"/>
  <c r="H77" i="177"/>
  <c r="H75" i="162"/>
  <c r="H75" i="177"/>
  <c r="H76" i="162"/>
  <c r="H76" i="177"/>
  <c r="H54" i="162"/>
  <c r="H92" i="162"/>
  <c r="H92" i="177"/>
  <c r="H99" i="162"/>
  <c r="H99" i="177"/>
  <c r="H65" i="162"/>
  <c r="H65" i="177"/>
  <c r="H98" i="162"/>
  <c r="H98" i="177"/>
  <c r="H64" i="162"/>
  <c r="H64" i="177"/>
  <c r="H100" i="162"/>
  <c r="H100" i="177"/>
  <c r="H67" i="162"/>
  <c r="H67" i="177"/>
  <c r="H70" i="162"/>
  <c r="H70" i="177"/>
  <c r="H68" i="162"/>
  <c r="H68" i="177"/>
  <c r="J103" i="162"/>
  <c r="J63" i="162"/>
  <c r="H56" i="198"/>
  <c r="H56" i="162"/>
  <c r="N94" i="191"/>
  <c r="N87" i="191"/>
  <c r="N82" i="191"/>
  <c r="N74" i="191"/>
  <c r="N69" i="191"/>
  <c r="N53" i="191"/>
  <c r="N91" i="191"/>
  <c r="N80" i="191"/>
  <c r="N93" i="191"/>
  <c r="N85" i="191"/>
  <c r="N81" i="191"/>
  <c r="N73" i="191"/>
  <c r="N62" i="191"/>
  <c r="N52" i="191"/>
  <c r="N96" i="191"/>
  <c r="N84" i="191"/>
  <c r="N72" i="191"/>
  <c r="N61" i="191"/>
  <c r="N58" i="191"/>
  <c r="N95" i="191"/>
  <c r="N89" i="191"/>
  <c r="N83" i="191"/>
  <c r="N71" i="191"/>
  <c r="N79" i="191"/>
  <c r="N57" i="191"/>
  <c r="N60" i="191"/>
  <c r="N97" i="191"/>
  <c r="N59" i="191"/>
  <c r="J97" i="198"/>
  <c r="F102" i="185"/>
  <c r="J81" i="198"/>
  <c r="J91" i="198"/>
  <c r="J85" i="198"/>
  <c r="J89" i="198"/>
  <c r="J95" i="198"/>
  <c r="J93" i="198"/>
  <c r="J74" i="198"/>
  <c r="J94" i="198"/>
  <c r="J69" i="198"/>
  <c r="J96" i="198"/>
  <c r="J71" i="198"/>
  <c r="J79" i="198"/>
  <c r="F102" i="178"/>
  <c r="J62" i="198"/>
  <c r="J73" i="198"/>
  <c r="J82" i="198"/>
  <c r="J83" i="198"/>
  <c r="J72" i="198"/>
  <c r="J58" i="198"/>
  <c r="J87" i="198"/>
  <c r="F102" i="163"/>
  <c r="J57" i="198"/>
  <c r="J60" i="198"/>
  <c r="J61" i="198"/>
  <c r="J53" i="198"/>
  <c r="J80" i="198"/>
  <c r="F102" i="180"/>
  <c r="F102" i="167"/>
  <c r="F102" i="187"/>
  <c r="F102" i="188"/>
  <c r="F102" i="194"/>
  <c r="F102" i="165"/>
  <c r="F102" i="183"/>
  <c r="F102" i="190"/>
  <c r="F102" i="198"/>
  <c r="F102" i="15"/>
  <c r="F102" i="161"/>
  <c r="F102" i="174"/>
  <c r="F102" i="179"/>
  <c r="F102" i="170"/>
  <c r="F102" i="164"/>
  <c r="F102" i="184"/>
  <c r="F102" i="191"/>
  <c r="F102" i="159"/>
  <c r="F102" i="172"/>
  <c r="F102" i="169"/>
  <c r="F102" i="189"/>
  <c r="F102" i="158"/>
  <c r="F102" i="176"/>
  <c r="F102" i="181"/>
  <c r="F102" i="168"/>
  <c r="F102" i="175"/>
  <c r="F102" i="173"/>
  <c r="F102" i="186"/>
  <c r="J59" i="198"/>
  <c r="H102" i="177"/>
  <c r="H102" i="197"/>
  <c r="G105" i="197"/>
  <c r="F105" i="197"/>
  <c r="E107" i="197"/>
  <c r="F107" i="197"/>
  <c r="J63" i="175"/>
  <c r="J63" i="181"/>
  <c r="J63" i="178"/>
  <c r="G63" i="195"/>
  <c r="H63" i="195"/>
  <c r="J63" i="118"/>
  <c r="J63" i="190"/>
  <c r="J63" i="159"/>
  <c r="J63" i="189"/>
  <c r="J63" i="191"/>
  <c r="J63" i="168"/>
  <c r="H78" i="198"/>
  <c r="H78" i="191"/>
  <c r="H78" i="190"/>
  <c r="H78" i="188"/>
  <c r="H78" i="194"/>
  <c r="H78" i="183"/>
  <c r="H78" i="180"/>
  <c r="H78" i="175"/>
  <c r="H78" i="187"/>
  <c r="H78" i="174"/>
  <c r="H78" i="172"/>
  <c r="H78" i="167"/>
  <c r="H78" i="186"/>
  <c r="H78" i="181"/>
  <c r="H78" i="179"/>
  <c r="H78" i="176"/>
  <c r="H78" i="169"/>
  <c r="H78" i="164"/>
  <c r="H78" i="184"/>
  <c r="H78" i="178"/>
  <c r="H78" i="173"/>
  <c r="H78" i="170"/>
  <c r="H78" i="165"/>
  <c r="H78" i="189"/>
  <c r="H78" i="168"/>
  <c r="H78" i="185"/>
  <c r="H78" i="161"/>
  <c r="H78" i="159"/>
  <c r="H78" i="163"/>
  <c r="H78" i="118"/>
  <c r="H78" i="158"/>
  <c r="H88" i="198"/>
  <c r="H88" i="194"/>
  <c r="H88" i="191"/>
  <c r="H88" i="190"/>
  <c r="H88" i="188"/>
  <c r="H88" i="183"/>
  <c r="H88" i="180"/>
  <c r="H88" i="175"/>
  <c r="H88" i="187"/>
  <c r="H88" i="174"/>
  <c r="H88" i="172"/>
  <c r="H88" i="167"/>
  <c r="H88" i="181"/>
  <c r="H88" i="179"/>
  <c r="H88" i="176"/>
  <c r="H88" i="169"/>
  <c r="H88" i="184"/>
  <c r="H88" i="178"/>
  <c r="H88" i="164"/>
  <c r="H88" i="185"/>
  <c r="H88" i="170"/>
  <c r="H88" i="168"/>
  <c r="H88" i="186"/>
  <c r="H88" i="189"/>
  <c r="H88" i="173"/>
  <c r="H88" i="165"/>
  <c r="H88" i="163"/>
  <c r="H88" i="161"/>
  <c r="H88" i="159"/>
  <c r="H88" i="118"/>
  <c r="H88" i="158"/>
  <c r="F76" i="15"/>
  <c r="E76" i="192"/>
  <c r="F76" i="192"/>
  <c r="F65" i="193"/>
  <c r="E65" i="195"/>
  <c r="F65" i="195"/>
  <c r="F103" i="193"/>
  <c r="E103" i="195"/>
  <c r="F103" i="195"/>
  <c r="H104" i="198"/>
  <c r="H104" i="194"/>
  <c r="H104" i="190"/>
  <c r="H104" i="189"/>
  <c r="H104" i="185"/>
  <c r="H104" i="181"/>
  <c r="H104" i="179"/>
  <c r="H104" i="178"/>
  <c r="H104" i="176"/>
  <c r="H104" i="174"/>
  <c r="H104" i="187"/>
  <c r="H104" i="169"/>
  <c r="H104" i="168"/>
  <c r="H104" i="165"/>
  <c r="H104" i="188"/>
  <c r="H104" i="183"/>
  <c r="H104" i="180"/>
  <c r="H104" i="175"/>
  <c r="H104" i="164"/>
  <c r="H104" i="184"/>
  <c r="H104" i="172"/>
  <c r="H104" i="170"/>
  <c r="H104" i="186"/>
  <c r="H104" i="173"/>
  <c r="H104" i="167"/>
  <c r="H104" i="191"/>
  <c r="H104" i="163"/>
  <c r="H104" i="161"/>
  <c r="H104" i="159"/>
  <c r="H104" i="158"/>
  <c r="H103" i="198"/>
  <c r="H103" i="194"/>
  <c r="H103" i="191"/>
  <c r="H103" i="188"/>
  <c r="H103" i="183"/>
  <c r="H103" i="180"/>
  <c r="H103" i="175"/>
  <c r="H103" i="190"/>
  <c r="H103" i="172"/>
  <c r="H103" i="167"/>
  <c r="H103" i="187"/>
  <c r="H103" i="181"/>
  <c r="H103" i="179"/>
  <c r="H103" i="176"/>
  <c r="H103" i="174"/>
  <c r="H103" i="169"/>
  <c r="H103" i="164"/>
  <c r="H103" i="178"/>
  <c r="H103" i="173"/>
  <c r="H103" i="170"/>
  <c r="H103" i="186"/>
  <c r="H103" i="184"/>
  <c r="H103" i="165"/>
  <c r="H103" i="168"/>
  <c r="H103" i="189"/>
  <c r="H103" i="185"/>
  <c r="H103" i="163"/>
  <c r="H103" i="161"/>
  <c r="H103" i="159"/>
  <c r="H103" i="158"/>
  <c r="H70" i="198"/>
  <c r="H70" i="191"/>
  <c r="H70" i="190"/>
  <c r="H70" i="188"/>
  <c r="H70" i="186"/>
  <c r="H70" i="183"/>
  <c r="H70" i="180"/>
  <c r="H70" i="175"/>
  <c r="H70" i="194"/>
  <c r="H70" i="174"/>
  <c r="H70" i="172"/>
  <c r="H70" i="167"/>
  <c r="H70" i="184"/>
  <c r="H70" i="181"/>
  <c r="H70" i="179"/>
  <c r="H70" i="176"/>
  <c r="H70" i="169"/>
  <c r="H70" i="189"/>
  <c r="H70" i="178"/>
  <c r="H70" i="165"/>
  <c r="H70" i="187"/>
  <c r="H70" i="185"/>
  <c r="H70" i="170"/>
  <c r="H70" i="168"/>
  <c r="H70" i="164"/>
  <c r="H70" i="173"/>
  <c r="H70" i="163"/>
  <c r="H70" i="159"/>
  <c r="H70" i="158"/>
  <c r="H70" i="161"/>
  <c r="H70" i="118"/>
  <c r="H76" i="198"/>
  <c r="H76" i="191"/>
  <c r="H76" i="194"/>
  <c r="H76" i="190"/>
  <c r="H76" i="188"/>
  <c r="H76" i="187"/>
  <c r="H76" i="186"/>
  <c r="H76" i="183"/>
  <c r="H76" i="180"/>
  <c r="H76" i="175"/>
  <c r="H76" i="184"/>
  <c r="H76" i="174"/>
  <c r="H76" i="172"/>
  <c r="H76" i="167"/>
  <c r="H76" i="189"/>
  <c r="H76" i="181"/>
  <c r="H76" i="179"/>
  <c r="H76" i="176"/>
  <c r="H76" i="173"/>
  <c r="H76" i="170"/>
  <c r="H76" i="169"/>
  <c r="H76" i="178"/>
  <c r="H76" i="168"/>
  <c r="H76" i="164"/>
  <c r="H76" i="185"/>
  <c r="H76" i="165"/>
  <c r="H76" i="163"/>
  <c r="H76" i="161"/>
  <c r="H76" i="159"/>
  <c r="H76" i="118"/>
  <c r="H76" i="158"/>
  <c r="J63" i="163"/>
  <c r="J63" i="169"/>
  <c r="J63" i="176"/>
  <c r="J63" i="186"/>
  <c r="J63" i="164"/>
  <c r="J63" i="188"/>
  <c r="J63" i="170"/>
  <c r="J63" i="180"/>
  <c r="F86" i="193"/>
  <c r="E86" i="195"/>
  <c r="F86" i="195"/>
  <c r="F56" i="15"/>
  <c r="E56" i="192"/>
  <c r="F56" i="192"/>
  <c r="F90" i="15"/>
  <c r="E90" i="192"/>
  <c r="F90" i="192"/>
  <c r="F54" i="15"/>
  <c r="E54" i="192"/>
  <c r="F54" i="192"/>
  <c r="F88" i="193"/>
  <c r="E88" i="195"/>
  <c r="F88" i="195"/>
  <c r="F102" i="193"/>
  <c r="F92" i="15"/>
  <c r="E92" i="192"/>
  <c r="F92" i="192"/>
  <c r="F64" i="193"/>
  <c r="E64" i="195"/>
  <c r="F64" i="195"/>
  <c r="F70" i="15"/>
  <c r="E70" i="192"/>
  <c r="F70" i="192"/>
  <c r="F68" i="193"/>
  <c r="E68" i="195"/>
  <c r="F68" i="195"/>
  <c r="H75" i="198"/>
  <c r="H75" i="189"/>
  <c r="H75" i="194"/>
  <c r="H75" i="187"/>
  <c r="H75" i="185"/>
  <c r="H75" i="181"/>
  <c r="H75" i="179"/>
  <c r="H75" i="178"/>
  <c r="H75" i="176"/>
  <c r="H75" i="184"/>
  <c r="H75" i="169"/>
  <c r="H75" i="168"/>
  <c r="H75" i="165"/>
  <c r="H75" i="183"/>
  <c r="H75" i="180"/>
  <c r="H75" i="175"/>
  <c r="H75" i="173"/>
  <c r="H75" i="172"/>
  <c r="H75" i="190"/>
  <c r="H75" i="186"/>
  <c r="H75" i="170"/>
  <c r="H75" i="164"/>
  <c r="H75" i="188"/>
  <c r="H75" i="174"/>
  <c r="H75" i="167"/>
  <c r="H75" i="191"/>
  <c r="H75" i="163"/>
  <c r="H75" i="161"/>
  <c r="H75" i="159"/>
  <c r="H75" i="118"/>
  <c r="H75" i="158"/>
  <c r="F78" i="15"/>
  <c r="E78" i="192"/>
  <c r="F78" i="192"/>
  <c r="F92" i="193"/>
  <c r="E92" i="195"/>
  <c r="F92" i="195"/>
  <c r="F66" i="193"/>
  <c r="E66" i="195"/>
  <c r="F66" i="195"/>
  <c r="J63" i="15"/>
  <c r="J63" i="167"/>
  <c r="J63" i="187"/>
  <c r="J63" i="172"/>
  <c r="J63" i="194"/>
  <c r="J63" i="173"/>
  <c r="J63" i="183"/>
  <c r="F104" i="15"/>
  <c r="E104" i="192"/>
  <c r="F104" i="192"/>
  <c r="F104" i="193"/>
  <c r="E104" i="195"/>
  <c r="F104" i="195"/>
  <c r="F76" i="193"/>
  <c r="E76" i="195"/>
  <c r="F76" i="195"/>
  <c r="F100" i="193"/>
  <c r="E100" i="195"/>
  <c r="F100" i="195"/>
  <c r="F98" i="193"/>
  <c r="E98" i="195"/>
  <c r="F98" i="195"/>
  <c r="F103" i="15"/>
  <c r="E103" i="192"/>
  <c r="F103" i="192"/>
  <c r="H86" i="198"/>
  <c r="H86" i="194"/>
  <c r="H86" i="189"/>
  <c r="H86" i="185"/>
  <c r="H86" i="181"/>
  <c r="H86" i="179"/>
  <c r="H86" i="178"/>
  <c r="H86" i="176"/>
  <c r="H86" i="169"/>
  <c r="H86" i="168"/>
  <c r="H86" i="165"/>
  <c r="H86" i="188"/>
  <c r="H86" i="186"/>
  <c r="H86" i="184"/>
  <c r="H86" i="183"/>
  <c r="H86" i="180"/>
  <c r="H86" i="175"/>
  <c r="H86" i="164"/>
  <c r="H86" i="190"/>
  <c r="H86" i="187"/>
  <c r="H86" i="172"/>
  <c r="H86" i="170"/>
  <c r="H86" i="174"/>
  <c r="H86" i="167"/>
  <c r="H86" i="191"/>
  <c r="H86" i="173"/>
  <c r="H86" i="163"/>
  <c r="H86" i="161"/>
  <c r="H86" i="159"/>
  <c r="H86" i="118"/>
  <c r="H86" i="158"/>
  <c r="H67" i="198"/>
  <c r="H67" i="194"/>
  <c r="H67" i="191"/>
  <c r="H67" i="190"/>
  <c r="H67" i="188"/>
  <c r="H67" i="186"/>
  <c r="H67" i="183"/>
  <c r="H67" i="180"/>
  <c r="H67" i="175"/>
  <c r="H67" i="174"/>
  <c r="H67" i="172"/>
  <c r="H67" i="167"/>
  <c r="H67" i="184"/>
  <c r="H67" i="181"/>
  <c r="H67" i="179"/>
  <c r="H67" i="176"/>
  <c r="H67" i="169"/>
  <c r="H67" i="187"/>
  <c r="H67" i="178"/>
  <c r="H67" i="164"/>
  <c r="H67" i="189"/>
  <c r="H67" i="185"/>
  <c r="H67" i="173"/>
  <c r="H67" i="168"/>
  <c r="H67" i="170"/>
  <c r="H67" i="165"/>
  <c r="H67" i="163"/>
  <c r="H67" i="161"/>
  <c r="H67" i="159"/>
  <c r="H67" i="118"/>
  <c r="H67" i="158"/>
  <c r="H77" i="198"/>
  <c r="H77" i="189"/>
  <c r="H77" i="194"/>
  <c r="H77" i="185"/>
  <c r="H77" i="181"/>
  <c r="H77" i="179"/>
  <c r="H77" i="178"/>
  <c r="H77" i="176"/>
  <c r="H77" i="191"/>
  <c r="H77" i="186"/>
  <c r="H77" i="169"/>
  <c r="H77" i="168"/>
  <c r="H77" i="165"/>
  <c r="H77" i="183"/>
  <c r="H77" i="180"/>
  <c r="H77" i="175"/>
  <c r="H77" i="170"/>
  <c r="H77" i="188"/>
  <c r="H77" i="173"/>
  <c r="H77" i="172"/>
  <c r="H77" i="184"/>
  <c r="H77" i="174"/>
  <c r="H77" i="167"/>
  <c r="H77" i="164"/>
  <c r="H77" i="187"/>
  <c r="H77" i="190"/>
  <c r="H77" i="161"/>
  <c r="H77" i="158"/>
  <c r="H77" i="163"/>
  <c r="H77" i="159"/>
  <c r="H77" i="118"/>
  <c r="F75" i="193"/>
  <c r="E75" i="195"/>
  <c r="F75" i="195"/>
  <c r="F88" i="15"/>
  <c r="E88" i="192"/>
  <c r="F88" i="192"/>
  <c r="F100" i="15"/>
  <c r="E100" i="192"/>
  <c r="F100" i="192"/>
  <c r="F67" i="15"/>
  <c r="E67" i="192"/>
  <c r="F67" i="192"/>
  <c r="F67" i="193"/>
  <c r="E67" i="195"/>
  <c r="F67" i="195"/>
  <c r="H100" i="198"/>
  <c r="H100" i="194"/>
  <c r="H100" i="191"/>
  <c r="H100" i="188"/>
  <c r="H100" i="187"/>
  <c r="H100" i="186"/>
  <c r="H100" i="183"/>
  <c r="H100" i="180"/>
  <c r="H100" i="175"/>
  <c r="H100" i="184"/>
  <c r="H100" i="172"/>
  <c r="H100" i="167"/>
  <c r="H100" i="189"/>
  <c r="H100" i="181"/>
  <c r="H100" i="179"/>
  <c r="H100" i="176"/>
  <c r="H100" i="174"/>
  <c r="H100" i="173"/>
  <c r="H100" i="170"/>
  <c r="H100" i="169"/>
  <c r="H100" i="178"/>
  <c r="H100" i="168"/>
  <c r="H100" i="185"/>
  <c r="H100" i="165"/>
  <c r="H100" i="190"/>
  <c r="H100" i="164"/>
  <c r="H100" i="161"/>
  <c r="H100" i="159"/>
  <c r="H100" i="158"/>
  <c r="H100" i="163"/>
  <c r="H66" i="198"/>
  <c r="H66" i="194"/>
  <c r="H66" i="189"/>
  <c r="H66" i="185"/>
  <c r="H66" i="181"/>
  <c r="H66" i="179"/>
  <c r="H66" i="178"/>
  <c r="H66" i="176"/>
  <c r="H66" i="169"/>
  <c r="H66" i="168"/>
  <c r="H66" i="165"/>
  <c r="H66" i="188"/>
  <c r="H66" i="183"/>
  <c r="H66" i="180"/>
  <c r="H66" i="175"/>
  <c r="H66" i="164"/>
  <c r="H66" i="190"/>
  <c r="H66" i="172"/>
  <c r="H66" i="170"/>
  <c r="H66" i="184"/>
  <c r="H66" i="173"/>
  <c r="H66" i="187"/>
  <c r="H66" i="186"/>
  <c r="H66" i="174"/>
  <c r="H66" i="167"/>
  <c r="H66" i="191"/>
  <c r="H66" i="163"/>
  <c r="H66" i="161"/>
  <c r="H66" i="159"/>
  <c r="H66" i="118"/>
  <c r="H66" i="158"/>
  <c r="H65" i="198"/>
  <c r="H65" i="191"/>
  <c r="H65" i="190"/>
  <c r="H65" i="188"/>
  <c r="H65" i="186"/>
  <c r="H65" i="183"/>
  <c r="H65" i="180"/>
  <c r="H65" i="175"/>
  <c r="H65" i="174"/>
  <c r="H65" i="172"/>
  <c r="H65" i="167"/>
  <c r="H65" i="184"/>
  <c r="H65" i="181"/>
  <c r="H65" i="179"/>
  <c r="H65" i="176"/>
  <c r="H65" i="169"/>
  <c r="H65" i="164"/>
  <c r="H65" i="178"/>
  <c r="H65" i="173"/>
  <c r="H65" i="170"/>
  <c r="H65" i="187"/>
  <c r="H65" i="165"/>
  <c r="H65" i="194"/>
  <c r="H65" i="168"/>
  <c r="H65" i="189"/>
  <c r="H65" i="185"/>
  <c r="H65" i="161"/>
  <c r="H65" i="159"/>
  <c r="H65" i="163"/>
  <c r="H65" i="158"/>
  <c r="H65" i="118"/>
  <c r="H68" i="198"/>
  <c r="H68" i="189"/>
  <c r="H68" i="185"/>
  <c r="H68" i="181"/>
  <c r="H68" i="179"/>
  <c r="H68" i="178"/>
  <c r="H68" i="176"/>
  <c r="H68" i="191"/>
  <c r="H68" i="169"/>
  <c r="H68" i="168"/>
  <c r="H68" i="165"/>
  <c r="H68" i="190"/>
  <c r="H68" i="187"/>
  <c r="H68" i="183"/>
  <c r="H68" i="180"/>
  <c r="H68" i="175"/>
  <c r="H68" i="172"/>
  <c r="H68" i="164"/>
  <c r="H68" i="194"/>
  <c r="H68" i="174"/>
  <c r="H68" i="173"/>
  <c r="H68" i="167"/>
  <c r="H68" i="188"/>
  <c r="H68" i="184"/>
  <c r="H68" i="170"/>
  <c r="H68" i="186"/>
  <c r="H68" i="159"/>
  <c r="H68" i="163"/>
  <c r="H68" i="158"/>
  <c r="H68" i="161"/>
  <c r="H68" i="118"/>
  <c r="G63" i="192"/>
  <c r="H63" i="192"/>
  <c r="J63" i="174"/>
  <c r="H54" i="198"/>
  <c r="H54" i="190"/>
  <c r="H54" i="184"/>
  <c r="H54" i="181"/>
  <c r="H54" i="176"/>
  <c r="H54" i="173"/>
  <c r="H54" i="168"/>
  <c r="H54" i="185"/>
  <c r="H54" i="183"/>
  <c r="H54" i="180"/>
  <c r="H54" i="178"/>
  <c r="H54" i="175"/>
  <c r="H54" i="170"/>
  <c r="H54" i="179"/>
  <c r="H54" i="165"/>
  <c r="H54" i="188"/>
  <c r="H54" i="186"/>
  <c r="H54" i="174"/>
  <c r="H54" i="169"/>
  <c r="H54" i="189"/>
  <c r="H54" i="194"/>
  <c r="H54" i="187"/>
  <c r="H54" i="172"/>
  <c r="H54" i="167"/>
  <c r="H54" i="191"/>
  <c r="H54" i="164"/>
  <c r="H54" i="159"/>
  <c r="H54" i="161"/>
  <c r="H54" i="118"/>
  <c r="H54" i="163"/>
  <c r="H54" i="158"/>
  <c r="H92" i="198"/>
  <c r="H92" i="194"/>
  <c r="H92" i="191"/>
  <c r="H92" i="190"/>
  <c r="H92" i="188"/>
  <c r="H92" i="183"/>
  <c r="H92" i="180"/>
  <c r="H92" i="175"/>
  <c r="H92" i="187"/>
  <c r="H92" i="172"/>
  <c r="H92" i="167"/>
  <c r="H92" i="181"/>
  <c r="H92" i="179"/>
  <c r="H92" i="176"/>
  <c r="H92" i="174"/>
  <c r="H92" i="169"/>
  <c r="H92" i="189"/>
  <c r="H92" i="186"/>
  <c r="H92" i="184"/>
  <c r="H92" i="178"/>
  <c r="H92" i="165"/>
  <c r="H92" i="164"/>
  <c r="H92" i="185"/>
  <c r="H92" i="173"/>
  <c r="H92" i="168"/>
  <c r="H92" i="170"/>
  <c r="H92" i="163"/>
  <c r="H92" i="161"/>
  <c r="H92" i="159"/>
  <c r="H92" i="158"/>
  <c r="H92" i="118"/>
  <c r="H90" i="198"/>
  <c r="H90" i="189"/>
  <c r="H90" i="185"/>
  <c r="H90" i="181"/>
  <c r="H90" i="179"/>
  <c r="H90" i="178"/>
  <c r="H90" i="176"/>
  <c r="H90" i="191"/>
  <c r="H90" i="186"/>
  <c r="H90" i="169"/>
  <c r="H90" i="168"/>
  <c r="H90" i="165"/>
  <c r="H90" i="194"/>
  <c r="H90" i="190"/>
  <c r="H90" i="183"/>
  <c r="H90" i="180"/>
  <c r="H90" i="175"/>
  <c r="H90" i="172"/>
  <c r="H90" i="164"/>
  <c r="H90" i="174"/>
  <c r="H90" i="167"/>
  <c r="H90" i="184"/>
  <c r="H90" i="173"/>
  <c r="H90" i="188"/>
  <c r="H90" i="187"/>
  <c r="H90" i="170"/>
  <c r="H90" i="159"/>
  <c r="H90" i="163"/>
  <c r="H90" i="161"/>
  <c r="H90" i="158"/>
  <c r="H90" i="118"/>
  <c r="H56" i="191"/>
  <c r="H56" i="194"/>
  <c r="H56" i="190"/>
  <c r="H56" i="188"/>
  <c r="H56" i="187"/>
  <c r="H56" i="186"/>
  <c r="H56" i="183"/>
  <c r="H56" i="180"/>
  <c r="H56" i="175"/>
  <c r="H56" i="184"/>
  <c r="H56" i="174"/>
  <c r="H56" i="172"/>
  <c r="H56" i="167"/>
  <c r="H56" i="189"/>
  <c r="H56" i="181"/>
  <c r="H56" i="179"/>
  <c r="H56" i="176"/>
  <c r="H56" i="173"/>
  <c r="H56" i="170"/>
  <c r="H56" i="169"/>
  <c r="H56" i="178"/>
  <c r="H56" i="168"/>
  <c r="H56" i="185"/>
  <c r="H56" i="165"/>
  <c r="H56" i="164"/>
  <c r="H56" i="163"/>
  <c r="H56" i="161"/>
  <c r="H56" i="159"/>
  <c r="H56" i="118"/>
  <c r="H56" i="158"/>
  <c r="H98" i="198"/>
  <c r="H98" i="190"/>
  <c r="H98" i="194"/>
  <c r="H98" i="189"/>
  <c r="H98" i="187"/>
  <c r="H98" i="186"/>
  <c r="H98" i="185"/>
  <c r="H98" i="181"/>
  <c r="H98" i="179"/>
  <c r="H98" i="178"/>
  <c r="H98" i="176"/>
  <c r="H98" i="174"/>
  <c r="H98" i="184"/>
  <c r="H98" i="169"/>
  <c r="H98" i="168"/>
  <c r="H98" i="165"/>
  <c r="H98" i="183"/>
  <c r="H98" i="180"/>
  <c r="H98" i="175"/>
  <c r="H98" i="173"/>
  <c r="H98" i="172"/>
  <c r="H98" i="188"/>
  <c r="H98" i="170"/>
  <c r="H98" i="167"/>
  <c r="H98" i="191"/>
  <c r="H98" i="164"/>
  <c r="H98" i="163"/>
  <c r="H98" i="161"/>
  <c r="H98" i="159"/>
  <c r="H98" i="158"/>
  <c r="H98" i="118"/>
  <c r="H64" i="198"/>
  <c r="H64" i="194"/>
  <c r="H64" i="189"/>
  <c r="H64" i="185"/>
  <c r="H64" i="181"/>
  <c r="H64" i="179"/>
  <c r="H64" i="178"/>
  <c r="H64" i="176"/>
  <c r="H64" i="191"/>
  <c r="H64" i="169"/>
  <c r="H64" i="168"/>
  <c r="H64" i="165"/>
  <c r="H64" i="183"/>
  <c r="H64" i="180"/>
  <c r="H64" i="175"/>
  <c r="H64" i="170"/>
  <c r="H64" i="188"/>
  <c r="H64" i="173"/>
  <c r="H64" i="172"/>
  <c r="H64" i="174"/>
  <c r="H64" i="167"/>
  <c r="H64" i="190"/>
  <c r="H64" i="186"/>
  <c r="H64" i="187"/>
  <c r="H64" i="184"/>
  <c r="H64" i="164"/>
  <c r="H64" i="161"/>
  <c r="H64" i="163"/>
  <c r="H64" i="159"/>
  <c r="H64" i="158"/>
  <c r="H64" i="118"/>
  <c r="J63" i="161"/>
  <c r="J63" i="158"/>
  <c r="J63" i="179"/>
  <c r="J63" i="193"/>
  <c r="J63" i="185"/>
  <c r="J63" i="184"/>
  <c r="J63" i="165"/>
  <c r="F86" i="15"/>
  <c r="E86" i="192"/>
  <c r="F86" i="192"/>
  <c r="F56" i="193"/>
  <c r="E56" i="195"/>
  <c r="F56" i="195"/>
  <c r="F90" i="193"/>
  <c r="E90" i="195"/>
  <c r="F90" i="195"/>
  <c r="F75" i="15"/>
  <c r="E75" i="192"/>
  <c r="F75" i="192"/>
  <c r="F77" i="15"/>
  <c r="E77" i="192"/>
  <c r="F77" i="192"/>
  <c r="F77" i="193"/>
  <c r="E77" i="195"/>
  <c r="F77" i="195"/>
  <c r="F78" i="193"/>
  <c r="E78" i="195"/>
  <c r="F78" i="195"/>
  <c r="F54" i="193"/>
  <c r="E54" i="195"/>
  <c r="F54" i="195"/>
  <c r="F65" i="15"/>
  <c r="E65" i="192"/>
  <c r="F65" i="192"/>
  <c r="F64" i="15"/>
  <c r="E64" i="192"/>
  <c r="F64" i="192"/>
  <c r="F98" i="15"/>
  <c r="E98" i="192"/>
  <c r="F98" i="192"/>
  <c r="F70" i="193"/>
  <c r="E70" i="195"/>
  <c r="F70" i="195"/>
  <c r="F66" i="15"/>
  <c r="E66" i="192"/>
  <c r="F66" i="192"/>
  <c r="F68" i="15"/>
  <c r="E68" i="192"/>
  <c r="F68" i="192"/>
  <c r="H99" i="198"/>
  <c r="H99" i="189"/>
  <c r="H99" i="188"/>
  <c r="H99" i="185"/>
  <c r="H99" i="184"/>
  <c r="H99" i="181"/>
  <c r="H99" i="179"/>
  <c r="H99" i="176"/>
  <c r="H99" i="174"/>
  <c r="H99" i="172"/>
  <c r="H99" i="169"/>
  <c r="H99" i="167"/>
  <c r="H99" i="164"/>
  <c r="H99" i="194"/>
  <c r="H99" i="186"/>
  <c r="H99" i="187"/>
  <c r="H99" i="190"/>
  <c r="H99" i="191"/>
  <c r="H99" i="183"/>
  <c r="H99" i="180"/>
  <c r="H99" i="178"/>
  <c r="H99" i="175"/>
  <c r="H99" i="173"/>
  <c r="H99" i="170"/>
  <c r="H99" i="168"/>
  <c r="H99" i="165"/>
  <c r="H99" i="159"/>
  <c r="H99" i="118"/>
  <c r="H99" i="161"/>
  <c r="H99" i="163"/>
  <c r="H99" i="158"/>
  <c r="F99" i="193"/>
  <c r="E99" i="195"/>
  <c r="F99" i="195"/>
  <c r="F99" i="15"/>
  <c r="E99" i="192"/>
  <c r="F99" i="192"/>
  <c r="J19" i="198"/>
  <c r="J63" i="198"/>
  <c r="I114" i="198"/>
  <c r="J114" i="198"/>
  <c r="M28" i="192"/>
  <c r="M19" i="198"/>
  <c r="I116" i="191"/>
  <c r="J116" i="191"/>
  <c r="J111" i="191"/>
  <c r="I111" i="192"/>
  <c r="K97" i="192"/>
  <c r="K96" i="192"/>
  <c r="K87" i="192"/>
  <c r="K79" i="192"/>
  <c r="K73" i="192"/>
  <c r="K57" i="192"/>
  <c r="K60" i="192"/>
  <c r="K52" i="192"/>
  <c r="J69" i="192"/>
  <c r="J93" i="192"/>
  <c r="J96" i="192"/>
  <c r="K28" i="198"/>
  <c r="L103" i="177"/>
  <c r="J58" i="192"/>
  <c r="J73" i="192"/>
  <c r="J87" i="192"/>
  <c r="H52" i="198"/>
  <c r="H112" i="192"/>
  <c r="G112" i="198"/>
  <c r="H112" i="198"/>
  <c r="J57" i="192"/>
  <c r="J82" i="192"/>
  <c r="J81" i="192"/>
  <c r="N25" i="191"/>
  <c r="N28" i="191"/>
  <c r="N38" i="191"/>
  <c r="N42" i="191"/>
  <c r="N46" i="191"/>
  <c r="N21" i="191"/>
  <c r="N26" i="191"/>
  <c r="N39" i="191"/>
  <c r="N43" i="191"/>
  <c r="N23" i="191"/>
  <c r="N27" i="191"/>
  <c r="N36" i="191"/>
  <c r="N40" i="191"/>
  <c r="N44" i="191"/>
  <c r="N24" i="191"/>
  <c r="N32" i="191"/>
  <c r="N37" i="191"/>
  <c r="N41" i="191"/>
  <c r="N45" i="191"/>
  <c r="N113" i="191"/>
  <c r="N114" i="191"/>
  <c r="N115" i="191"/>
  <c r="N20" i="191"/>
  <c r="J84" i="192"/>
  <c r="J83" i="192"/>
  <c r="J95" i="192"/>
  <c r="K95" i="192"/>
  <c r="K94" i="192"/>
  <c r="K84" i="192"/>
  <c r="K85" i="192"/>
  <c r="K71" i="192"/>
  <c r="K58" i="192"/>
  <c r="L25" i="192"/>
  <c r="L38" i="192"/>
  <c r="L42" i="192"/>
  <c r="L46" i="192"/>
  <c r="L26" i="192"/>
  <c r="L39" i="192"/>
  <c r="L43" i="192"/>
  <c r="L21" i="192"/>
  <c r="L23" i="192"/>
  <c r="L27" i="192"/>
  <c r="L36" i="192"/>
  <c r="L40" i="192"/>
  <c r="L24" i="192"/>
  <c r="L28" i="192"/>
  <c r="L32" i="192"/>
  <c r="L37" i="192"/>
  <c r="L41" i="192"/>
  <c r="L45" i="192"/>
  <c r="L44" i="192"/>
  <c r="L113" i="192"/>
  <c r="L115" i="192"/>
  <c r="L114" i="192"/>
  <c r="L20" i="192"/>
  <c r="O20" i="198"/>
  <c r="J21" i="198"/>
  <c r="J26" i="198"/>
  <c r="J39" i="198"/>
  <c r="J43" i="198"/>
  <c r="J24" i="198"/>
  <c r="J32" i="198"/>
  <c r="J37" i="198"/>
  <c r="J41" i="198"/>
  <c r="J45" i="198"/>
  <c r="J23" i="198"/>
  <c r="J28" i="198"/>
  <c r="J38" i="198"/>
  <c r="J46" i="198"/>
  <c r="J25" i="198"/>
  <c r="J40" i="198"/>
  <c r="J27" i="198"/>
  <c r="J42" i="198"/>
  <c r="J36" i="198"/>
  <c r="J44" i="198"/>
  <c r="J20" i="198"/>
  <c r="H111" i="192"/>
  <c r="G116" i="192"/>
  <c r="H116" i="192"/>
  <c r="J62" i="192"/>
  <c r="K93" i="192"/>
  <c r="K82" i="192"/>
  <c r="K74" i="192"/>
  <c r="K83" i="192"/>
  <c r="K69" i="192"/>
  <c r="K61" i="192"/>
  <c r="K53" i="192"/>
  <c r="J61" i="192"/>
  <c r="J72" i="192"/>
  <c r="J85" i="192"/>
  <c r="S20" i="191"/>
  <c r="S19" i="191"/>
  <c r="Q20" i="192"/>
  <c r="J53" i="192"/>
  <c r="J71" i="192"/>
  <c r="J80" i="192"/>
  <c r="J79" i="192"/>
  <c r="J97" i="192"/>
  <c r="O28" i="191"/>
  <c r="O19" i="192"/>
  <c r="J60" i="192"/>
  <c r="J74" i="192"/>
  <c r="J89" i="192"/>
  <c r="J94" i="192"/>
  <c r="N19" i="191"/>
  <c r="E116" i="198"/>
  <c r="F116" i="198"/>
  <c r="F111" i="198"/>
  <c r="J59" i="192"/>
  <c r="J112" i="191"/>
  <c r="I112" i="192"/>
  <c r="J91" i="192"/>
  <c r="K91" i="192"/>
  <c r="K80" i="192"/>
  <c r="K89" i="192"/>
  <c r="K81" i="192"/>
  <c r="K72" i="192"/>
  <c r="K111" i="191"/>
  <c r="K59" i="192"/>
  <c r="K112" i="191"/>
  <c r="K62" i="192"/>
  <c r="J52" i="192"/>
  <c r="I113" i="198"/>
  <c r="J113" i="198"/>
  <c r="J84" i="198"/>
  <c r="I115" i="198"/>
  <c r="J115" i="198"/>
  <c r="F102" i="177"/>
  <c r="E105" i="177"/>
  <c r="L63" i="177"/>
  <c r="J104" i="162"/>
  <c r="J104" i="177"/>
  <c r="J66" i="162"/>
  <c r="J66" i="177"/>
  <c r="J90" i="162"/>
  <c r="J90" i="177"/>
  <c r="J56" i="162"/>
  <c r="J56" i="177"/>
  <c r="J76" i="162"/>
  <c r="J76" i="177"/>
  <c r="J100" i="162"/>
  <c r="J100" i="177"/>
  <c r="J75" i="162"/>
  <c r="J75" i="177"/>
  <c r="J77" i="162"/>
  <c r="J77" i="177"/>
  <c r="J86" i="162"/>
  <c r="J86" i="177"/>
  <c r="J68" i="162"/>
  <c r="J68" i="177"/>
  <c r="J54" i="162"/>
  <c r="J92" i="162"/>
  <c r="J92" i="177"/>
  <c r="J70" i="162"/>
  <c r="J70" i="177"/>
  <c r="J98" i="162"/>
  <c r="J98" i="177"/>
  <c r="J64" i="162"/>
  <c r="J64" i="177"/>
  <c r="J67" i="162"/>
  <c r="J67" i="177"/>
  <c r="J78" i="162"/>
  <c r="J78" i="177"/>
  <c r="J99" i="162"/>
  <c r="J99" i="177"/>
  <c r="J65" i="162"/>
  <c r="J65" i="177"/>
  <c r="J88" i="162"/>
  <c r="J88" i="177"/>
  <c r="H54" i="177"/>
  <c r="G105" i="177"/>
  <c r="L103" i="162"/>
  <c r="L63" i="162"/>
  <c r="H102" i="193"/>
  <c r="H102" i="162"/>
  <c r="P93" i="191"/>
  <c r="P85" i="191"/>
  <c r="P81" i="191"/>
  <c r="P73" i="191"/>
  <c r="P62" i="191"/>
  <c r="P52" i="191"/>
  <c r="P95" i="191"/>
  <c r="P89" i="191"/>
  <c r="P83" i="191"/>
  <c r="P71" i="191"/>
  <c r="P60" i="191"/>
  <c r="P57" i="191"/>
  <c r="P94" i="191"/>
  <c r="P87" i="191"/>
  <c r="P82" i="191"/>
  <c r="P96" i="191"/>
  <c r="P91" i="191"/>
  <c r="P84" i="191"/>
  <c r="P80" i="191"/>
  <c r="P72" i="191"/>
  <c r="P61" i="191"/>
  <c r="P58" i="191"/>
  <c r="P79" i="191"/>
  <c r="P74" i="191"/>
  <c r="P69" i="191"/>
  <c r="P53" i="191"/>
  <c r="P97" i="191"/>
  <c r="P59" i="191"/>
  <c r="H102" i="194"/>
  <c r="L97" i="198"/>
  <c r="L83" i="198"/>
  <c r="L85" i="198"/>
  <c r="L62" i="198"/>
  <c r="L91" i="198"/>
  <c r="L74" i="198"/>
  <c r="L96" i="198"/>
  <c r="L81" i="198"/>
  <c r="L61" i="198"/>
  <c r="L82" i="198"/>
  <c r="L58" i="198"/>
  <c r="L94" i="198"/>
  <c r="L73" i="198"/>
  <c r="L60" i="198"/>
  <c r="L89" i="198"/>
  <c r="L69" i="198"/>
  <c r="L93" i="198"/>
  <c r="L71" i="198"/>
  <c r="L95" i="198"/>
  <c r="L79" i="198"/>
  <c r="L80" i="198"/>
  <c r="L87" i="198"/>
  <c r="L72" i="198"/>
  <c r="L53" i="198"/>
  <c r="L57" i="198"/>
  <c r="E102" i="195"/>
  <c r="F102" i="195"/>
  <c r="H102" i="183"/>
  <c r="H102" i="15"/>
  <c r="H102" i="178"/>
  <c r="H102" i="172"/>
  <c r="H102" i="189"/>
  <c r="H102" i="159"/>
  <c r="H102" i="169"/>
  <c r="E102" i="192"/>
  <c r="F102" i="192"/>
  <c r="L59" i="198"/>
  <c r="L63" i="191"/>
  <c r="H102" i="161"/>
  <c r="H102" i="173"/>
  <c r="H102" i="184"/>
  <c r="H102" i="190"/>
  <c r="H102" i="163"/>
  <c r="H102" i="167"/>
  <c r="H102" i="188"/>
  <c r="H102" i="180"/>
  <c r="H102" i="168"/>
  <c r="H102" i="176"/>
  <c r="H102" i="185"/>
  <c r="H102" i="198"/>
  <c r="J102" i="177"/>
  <c r="J102" i="197"/>
  <c r="I105" i="197"/>
  <c r="H102" i="186"/>
  <c r="H102" i="170"/>
  <c r="H102" i="191"/>
  <c r="H102" i="179"/>
  <c r="G107" i="197"/>
  <c r="H107" i="197"/>
  <c r="H105" i="197"/>
  <c r="H102" i="158"/>
  <c r="H102" i="164"/>
  <c r="H102" i="187"/>
  <c r="H102" i="175"/>
  <c r="H102" i="165"/>
  <c r="H102" i="174"/>
  <c r="H102" i="181"/>
  <c r="L63" i="163"/>
  <c r="L63" i="168"/>
  <c r="I63" i="195"/>
  <c r="J63" i="195"/>
  <c r="L63" i="184"/>
  <c r="L63" i="167"/>
  <c r="L63" i="183"/>
  <c r="L63" i="193"/>
  <c r="L63" i="186"/>
  <c r="L63" i="185"/>
  <c r="J92" i="198"/>
  <c r="J92" i="194"/>
  <c r="J92" i="187"/>
  <c r="J92" i="186"/>
  <c r="J92" i="189"/>
  <c r="J92" i="184"/>
  <c r="J92" i="190"/>
  <c r="J92" i="185"/>
  <c r="J92" i="181"/>
  <c r="J92" i="179"/>
  <c r="J92" i="176"/>
  <c r="J92" i="174"/>
  <c r="J92" i="173"/>
  <c r="J92" i="178"/>
  <c r="J92" i="172"/>
  <c r="J92" i="168"/>
  <c r="J92" i="165"/>
  <c r="J92" i="164"/>
  <c r="J92" i="188"/>
  <c r="J92" i="180"/>
  <c r="J92" i="191"/>
  <c r="J92" i="183"/>
  <c r="J92" i="175"/>
  <c r="J92" i="170"/>
  <c r="J92" i="169"/>
  <c r="J92" i="167"/>
  <c r="J92" i="161"/>
  <c r="J92" i="158"/>
  <c r="J92" i="118"/>
  <c r="J92" i="163"/>
  <c r="J92" i="159"/>
  <c r="J64" i="198"/>
  <c r="J64" i="188"/>
  <c r="J64" i="187"/>
  <c r="J64" i="186"/>
  <c r="J64" i="184"/>
  <c r="J64" i="183"/>
  <c r="J64" i="180"/>
  <c r="J64" i="175"/>
  <c r="J64" i="170"/>
  <c r="J64" i="164"/>
  <c r="J64" i="189"/>
  <c r="J64" i="173"/>
  <c r="J64" i="172"/>
  <c r="J64" i="169"/>
  <c r="J64" i="194"/>
  <c r="J64" i="190"/>
  <c r="J64" i="185"/>
  <c r="J64" i="167"/>
  <c r="J64" i="179"/>
  <c r="J64" i="178"/>
  <c r="J64" i="191"/>
  <c r="J64" i="181"/>
  <c r="J64" i="165"/>
  <c r="J64" i="176"/>
  <c r="J64" i="174"/>
  <c r="J64" i="168"/>
  <c r="J64" i="161"/>
  <c r="J64" i="159"/>
  <c r="J64" i="163"/>
  <c r="J64" i="158"/>
  <c r="J64" i="118"/>
  <c r="H64" i="15"/>
  <c r="G64" i="192"/>
  <c r="H64" i="192"/>
  <c r="H98" i="193"/>
  <c r="G98" i="195"/>
  <c r="H98" i="195"/>
  <c r="H90" i="193"/>
  <c r="G90" i="195"/>
  <c r="H90" i="195"/>
  <c r="H77" i="15"/>
  <c r="G77" i="192"/>
  <c r="H77" i="192"/>
  <c r="H77" i="193"/>
  <c r="G77" i="195"/>
  <c r="H77" i="195"/>
  <c r="H75" i="193"/>
  <c r="G75" i="195"/>
  <c r="H75" i="195"/>
  <c r="H103" i="15"/>
  <c r="G103" i="192"/>
  <c r="H103" i="192"/>
  <c r="H104" i="15"/>
  <c r="G104" i="192"/>
  <c r="H104" i="192"/>
  <c r="H88" i="193"/>
  <c r="G88" i="195"/>
  <c r="H88" i="195"/>
  <c r="J67" i="198"/>
  <c r="J67" i="194"/>
  <c r="J67" i="187"/>
  <c r="J67" i="189"/>
  <c r="J67" i="184"/>
  <c r="J67" i="190"/>
  <c r="J67" i="185"/>
  <c r="J67" i="181"/>
  <c r="J67" i="179"/>
  <c r="J67" i="176"/>
  <c r="J67" i="173"/>
  <c r="J67" i="188"/>
  <c r="J67" i="178"/>
  <c r="J67" i="164"/>
  <c r="J67" i="186"/>
  <c r="J67" i="172"/>
  <c r="J67" i="170"/>
  <c r="J67" i="168"/>
  <c r="J67" i="165"/>
  <c r="J67" i="191"/>
  <c r="J67" i="180"/>
  <c r="J67" i="183"/>
  <c r="J67" i="175"/>
  <c r="J67" i="174"/>
  <c r="J67" i="167"/>
  <c r="J67" i="169"/>
  <c r="J67" i="163"/>
  <c r="J67" i="161"/>
  <c r="J67" i="159"/>
  <c r="J67" i="158"/>
  <c r="J67" i="118"/>
  <c r="J78" i="198"/>
  <c r="J78" i="194"/>
  <c r="J78" i="187"/>
  <c r="J78" i="186"/>
  <c r="J78" i="189"/>
  <c r="J78" i="184"/>
  <c r="J78" i="190"/>
  <c r="J78" i="185"/>
  <c r="J78" i="181"/>
  <c r="J78" i="179"/>
  <c r="J78" i="176"/>
  <c r="J78" i="173"/>
  <c r="J78" i="178"/>
  <c r="J78" i="170"/>
  <c r="J78" i="188"/>
  <c r="J78" i="172"/>
  <c r="J78" i="168"/>
  <c r="J78" i="165"/>
  <c r="J78" i="183"/>
  <c r="J78" i="175"/>
  <c r="J78" i="191"/>
  <c r="J78" i="169"/>
  <c r="J78" i="180"/>
  <c r="J78" i="174"/>
  <c r="J78" i="167"/>
  <c r="J78" i="164"/>
  <c r="J78" i="163"/>
  <c r="J78" i="159"/>
  <c r="J78" i="161"/>
  <c r="J78" i="158"/>
  <c r="J78" i="118"/>
  <c r="J75" i="198"/>
  <c r="J75" i="194"/>
  <c r="J75" i="188"/>
  <c r="J75" i="186"/>
  <c r="J75" i="183"/>
  <c r="J75" i="180"/>
  <c r="J75" i="175"/>
  <c r="J75" i="170"/>
  <c r="J75" i="164"/>
  <c r="J75" i="172"/>
  <c r="J75" i="169"/>
  <c r="J75" i="189"/>
  <c r="J75" i="185"/>
  <c r="J75" i="167"/>
  <c r="J75" i="181"/>
  <c r="J75" i="176"/>
  <c r="J75" i="174"/>
  <c r="J75" i="168"/>
  <c r="J75" i="191"/>
  <c r="J75" i="187"/>
  <c r="J75" i="184"/>
  <c r="J75" i="173"/>
  <c r="J75" i="190"/>
  <c r="J75" i="179"/>
  <c r="J75" i="178"/>
  <c r="J75" i="165"/>
  <c r="J75" i="163"/>
  <c r="J75" i="161"/>
  <c r="J75" i="159"/>
  <c r="J75" i="158"/>
  <c r="J75" i="118"/>
  <c r="J90" i="198"/>
  <c r="J90" i="194"/>
  <c r="J90" i="188"/>
  <c r="J90" i="183"/>
  <c r="J90" i="180"/>
  <c r="J90" i="175"/>
  <c r="J90" i="170"/>
  <c r="J90" i="164"/>
  <c r="J90" i="172"/>
  <c r="J90" i="169"/>
  <c r="J90" i="186"/>
  <c r="J90" i="185"/>
  <c r="J90" i="167"/>
  <c r="J90" i="190"/>
  <c r="J90" i="189"/>
  <c r="J90" i="176"/>
  <c r="J90" i="191"/>
  <c r="J90" i="184"/>
  <c r="J90" i="173"/>
  <c r="J90" i="165"/>
  <c r="J90" i="187"/>
  <c r="J90" i="179"/>
  <c r="J90" i="178"/>
  <c r="J90" i="181"/>
  <c r="J90" i="174"/>
  <c r="J90" i="168"/>
  <c r="J90" i="161"/>
  <c r="J90" i="159"/>
  <c r="J90" i="158"/>
  <c r="J90" i="118"/>
  <c r="J90" i="163"/>
  <c r="J56" i="198"/>
  <c r="J56" i="194"/>
  <c r="J56" i="187"/>
  <c r="J56" i="189"/>
  <c r="J56" i="184"/>
  <c r="J56" i="190"/>
  <c r="J56" i="185"/>
  <c r="J56" i="181"/>
  <c r="J56" i="179"/>
  <c r="J56" i="176"/>
  <c r="J56" i="173"/>
  <c r="J56" i="178"/>
  <c r="J56" i="186"/>
  <c r="J56" i="172"/>
  <c r="J56" i="168"/>
  <c r="J56" i="165"/>
  <c r="J56" i="191"/>
  <c r="J56" i="174"/>
  <c r="J56" i="170"/>
  <c r="J56" i="167"/>
  <c r="J56" i="188"/>
  <c r="J56" i="180"/>
  <c r="J56" i="169"/>
  <c r="J56" i="164"/>
  <c r="J56" i="183"/>
  <c r="J56" i="175"/>
  <c r="J56" i="163"/>
  <c r="J56" i="161"/>
  <c r="J56" i="158"/>
  <c r="J56" i="159"/>
  <c r="J56" i="118"/>
  <c r="J88" i="198"/>
  <c r="J88" i="194"/>
  <c r="J88" i="187"/>
  <c r="J88" i="186"/>
  <c r="J88" i="189"/>
  <c r="J88" i="184"/>
  <c r="J88" i="190"/>
  <c r="J88" i="185"/>
  <c r="J88" i="181"/>
  <c r="J88" i="179"/>
  <c r="J88" i="176"/>
  <c r="J88" i="173"/>
  <c r="J88" i="188"/>
  <c r="J88" i="178"/>
  <c r="J88" i="164"/>
  <c r="J88" i="172"/>
  <c r="J88" i="170"/>
  <c r="J88" i="168"/>
  <c r="J88" i="165"/>
  <c r="J88" i="191"/>
  <c r="J88" i="180"/>
  <c r="J88" i="183"/>
  <c r="J88" i="175"/>
  <c r="J88" i="174"/>
  <c r="J88" i="167"/>
  <c r="J88" i="169"/>
  <c r="J88" i="163"/>
  <c r="J88" i="161"/>
  <c r="J88" i="159"/>
  <c r="J88" i="158"/>
  <c r="J88" i="118"/>
  <c r="L63" i="118"/>
  <c r="L63" i="169"/>
  <c r="L63" i="164"/>
  <c r="L63" i="194"/>
  <c r="L63" i="174"/>
  <c r="L63" i="175"/>
  <c r="L63" i="187"/>
  <c r="H98" i="15"/>
  <c r="G98" i="192"/>
  <c r="H98" i="192"/>
  <c r="H56" i="15"/>
  <c r="G56" i="192"/>
  <c r="H56" i="192"/>
  <c r="H68" i="193"/>
  <c r="G68" i="195"/>
  <c r="H68" i="195"/>
  <c r="H65" i="193"/>
  <c r="G65" i="195"/>
  <c r="H65" i="195"/>
  <c r="H66" i="193"/>
  <c r="G66" i="195"/>
  <c r="H66" i="195"/>
  <c r="H86" i="193"/>
  <c r="G86" i="195"/>
  <c r="H86" i="195"/>
  <c r="H75" i="15"/>
  <c r="G75" i="192"/>
  <c r="H75" i="192"/>
  <c r="H76" i="193"/>
  <c r="G76" i="195"/>
  <c r="H76" i="195"/>
  <c r="H70" i="193"/>
  <c r="G70" i="195"/>
  <c r="H70" i="195"/>
  <c r="H103" i="193"/>
  <c r="G103" i="195"/>
  <c r="H103" i="195"/>
  <c r="H104" i="193"/>
  <c r="G104" i="195"/>
  <c r="H104" i="195"/>
  <c r="J54" i="198"/>
  <c r="J54" i="194"/>
  <c r="J54" i="189"/>
  <c r="J54" i="187"/>
  <c r="J54" i="188"/>
  <c r="J54" i="186"/>
  <c r="J54" i="183"/>
  <c r="J54" i="180"/>
  <c r="J54" i="178"/>
  <c r="J54" i="175"/>
  <c r="J54" i="174"/>
  <c r="J54" i="164"/>
  <c r="J54" i="190"/>
  <c r="J54" i="179"/>
  <c r="J54" i="165"/>
  <c r="J54" i="173"/>
  <c r="J54" i="172"/>
  <c r="J54" i="169"/>
  <c r="J54" i="167"/>
  <c r="J54" i="181"/>
  <c r="J54" i="184"/>
  <c r="J54" i="176"/>
  <c r="J54" i="168"/>
  <c r="J54" i="191"/>
  <c r="J54" i="170"/>
  <c r="J54" i="185"/>
  <c r="J54" i="163"/>
  <c r="J54" i="161"/>
  <c r="J54" i="158"/>
  <c r="J54" i="118"/>
  <c r="J54" i="159"/>
  <c r="J65" i="198"/>
  <c r="J65" i="194"/>
  <c r="J65" i="187"/>
  <c r="J65" i="189"/>
  <c r="J65" i="184"/>
  <c r="J65" i="190"/>
  <c r="J65" i="185"/>
  <c r="J65" i="181"/>
  <c r="J65" i="179"/>
  <c r="J65" i="176"/>
  <c r="J65" i="173"/>
  <c r="J65" i="178"/>
  <c r="J65" i="170"/>
  <c r="J65" i="188"/>
  <c r="J65" i="186"/>
  <c r="J65" i="172"/>
  <c r="J65" i="168"/>
  <c r="J65" i="165"/>
  <c r="J65" i="183"/>
  <c r="J65" i="175"/>
  <c r="J65" i="164"/>
  <c r="J65" i="191"/>
  <c r="J65" i="169"/>
  <c r="J65" i="180"/>
  <c r="J65" i="174"/>
  <c r="J65" i="167"/>
  <c r="J65" i="163"/>
  <c r="J65" i="159"/>
  <c r="J65" i="158"/>
  <c r="J65" i="118"/>
  <c r="J65" i="161"/>
  <c r="J98" i="198"/>
  <c r="J98" i="188"/>
  <c r="J98" i="186"/>
  <c r="J98" i="183"/>
  <c r="J98" i="180"/>
  <c r="J98" i="175"/>
  <c r="J98" i="170"/>
  <c r="J98" i="164"/>
  <c r="J98" i="172"/>
  <c r="J98" i="169"/>
  <c r="J98" i="189"/>
  <c r="J98" i="185"/>
  <c r="J98" i="167"/>
  <c r="J98" i="181"/>
  <c r="J98" i="174"/>
  <c r="J98" i="173"/>
  <c r="J98" i="194"/>
  <c r="J98" i="176"/>
  <c r="J98" i="168"/>
  <c r="J98" i="191"/>
  <c r="J98" i="190"/>
  <c r="J98" i="187"/>
  <c r="J98" i="184"/>
  <c r="J98" i="179"/>
  <c r="J98" i="178"/>
  <c r="J98" i="165"/>
  <c r="J98" i="163"/>
  <c r="J98" i="161"/>
  <c r="J98" i="159"/>
  <c r="J98" i="158"/>
  <c r="J98" i="118"/>
  <c r="H56" i="193"/>
  <c r="G56" i="195"/>
  <c r="H56" i="195"/>
  <c r="H68" i="15"/>
  <c r="G68" i="192"/>
  <c r="H68" i="192"/>
  <c r="H66" i="15"/>
  <c r="G66" i="192"/>
  <c r="H66" i="192"/>
  <c r="J86" i="198"/>
  <c r="J86" i="194"/>
  <c r="J86" i="188"/>
  <c r="J86" i="186"/>
  <c r="J86" i="183"/>
  <c r="J86" i="180"/>
  <c r="J86" i="175"/>
  <c r="J86" i="170"/>
  <c r="J86" i="164"/>
  <c r="J86" i="190"/>
  <c r="J86" i="187"/>
  <c r="J86" i="172"/>
  <c r="J86" i="169"/>
  <c r="J86" i="185"/>
  <c r="J86" i="173"/>
  <c r="J86" i="167"/>
  <c r="J86" i="184"/>
  <c r="J86" i="179"/>
  <c r="J86" i="178"/>
  <c r="J86" i="174"/>
  <c r="J86" i="168"/>
  <c r="J86" i="191"/>
  <c r="J86" i="189"/>
  <c r="J86" i="181"/>
  <c r="J86" i="176"/>
  <c r="J86" i="165"/>
  <c r="J86" i="163"/>
  <c r="J86" i="161"/>
  <c r="J86" i="158"/>
  <c r="J86" i="159"/>
  <c r="J86" i="118"/>
  <c r="L63" i="161"/>
  <c r="L63" i="158"/>
  <c r="L63" i="173"/>
  <c r="L63" i="170"/>
  <c r="L63" i="178"/>
  <c r="L63" i="180"/>
  <c r="L63" i="176"/>
  <c r="L63" i="188"/>
  <c r="H90" i="15"/>
  <c r="G90" i="192"/>
  <c r="H90" i="192"/>
  <c r="H92" i="15"/>
  <c r="G92" i="192"/>
  <c r="H92" i="192"/>
  <c r="H92" i="193"/>
  <c r="G92" i="195"/>
  <c r="H92" i="195"/>
  <c r="H54" i="193"/>
  <c r="G54" i="195"/>
  <c r="H54" i="195"/>
  <c r="H100" i="15"/>
  <c r="G100" i="192"/>
  <c r="H100" i="192"/>
  <c r="H67" i="15"/>
  <c r="G67" i="192"/>
  <c r="H67" i="192"/>
  <c r="H76" i="15"/>
  <c r="G76" i="192"/>
  <c r="H76" i="192"/>
  <c r="H88" i="15"/>
  <c r="G88" i="192"/>
  <c r="H88" i="192"/>
  <c r="H78" i="193"/>
  <c r="G78" i="195"/>
  <c r="H78" i="195"/>
  <c r="J104" i="198"/>
  <c r="J104" i="194"/>
  <c r="J104" i="188"/>
  <c r="J104" i="183"/>
  <c r="J104" i="180"/>
  <c r="J104" i="175"/>
  <c r="J104" i="170"/>
  <c r="J104" i="164"/>
  <c r="J104" i="187"/>
  <c r="J104" i="184"/>
  <c r="J104" i="172"/>
  <c r="J104" i="169"/>
  <c r="J104" i="185"/>
  <c r="J104" i="173"/>
  <c r="J104" i="167"/>
  <c r="J104" i="189"/>
  <c r="J104" i="186"/>
  <c r="J104" i="179"/>
  <c r="J104" i="178"/>
  <c r="J104" i="168"/>
  <c r="J104" i="191"/>
  <c r="J104" i="190"/>
  <c r="J104" i="181"/>
  <c r="J104" i="174"/>
  <c r="J104" i="176"/>
  <c r="J104" i="165"/>
  <c r="J104" i="163"/>
  <c r="J104" i="161"/>
  <c r="J104" i="159"/>
  <c r="J104" i="158"/>
  <c r="J77" i="198"/>
  <c r="J77" i="194"/>
  <c r="J77" i="188"/>
  <c r="J77" i="187"/>
  <c r="J77" i="186"/>
  <c r="J77" i="184"/>
  <c r="J77" i="183"/>
  <c r="J77" i="180"/>
  <c r="J77" i="175"/>
  <c r="J77" i="170"/>
  <c r="J77" i="164"/>
  <c r="J77" i="189"/>
  <c r="J77" i="173"/>
  <c r="J77" i="172"/>
  <c r="J77" i="169"/>
  <c r="J77" i="190"/>
  <c r="J77" i="185"/>
  <c r="J77" i="167"/>
  <c r="J77" i="179"/>
  <c r="J77" i="178"/>
  <c r="J77" i="191"/>
  <c r="J77" i="181"/>
  <c r="J77" i="165"/>
  <c r="J77" i="176"/>
  <c r="J77" i="174"/>
  <c r="J77" i="168"/>
  <c r="J77" i="161"/>
  <c r="J77" i="159"/>
  <c r="J77" i="163"/>
  <c r="J77" i="158"/>
  <c r="J77" i="118"/>
  <c r="J76" i="198"/>
  <c r="J76" i="194"/>
  <c r="J76" i="187"/>
  <c r="J76" i="186"/>
  <c r="J76" i="189"/>
  <c r="J76" i="184"/>
  <c r="J76" i="190"/>
  <c r="J76" i="185"/>
  <c r="J76" i="181"/>
  <c r="J76" i="179"/>
  <c r="J76" i="176"/>
  <c r="J76" i="173"/>
  <c r="J76" i="178"/>
  <c r="J76" i="172"/>
  <c r="J76" i="168"/>
  <c r="J76" i="165"/>
  <c r="J76" i="191"/>
  <c r="J76" i="188"/>
  <c r="J76" i="164"/>
  <c r="J76" i="174"/>
  <c r="J76" i="167"/>
  <c r="J76" i="180"/>
  <c r="J76" i="169"/>
  <c r="J76" i="183"/>
  <c r="J76" i="175"/>
  <c r="J76" i="170"/>
  <c r="J76" i="163"/>
  <c r="J76" i="161"/>
  <c r="J76" i="159"/>
  <c r="J76" i="158"/>
  <c r="J76" i="118"/>
  <c r="J100" i="198"/>
  <c r="J100" i="194"/>
  <c r="J100" i="187"/>
  <c r="J100" i="186"/>
  <c r="J100" i="189"/>
  <c r="J100" i="184"/>
  <c r="J100" i="185"/>
  <c r="J100" i="181"/>
  <c r="J100" i="179"/>
  <c r="J100" i="176"/>
  <c r="J100" i="174"/>
  <c r="J100" i="173"/>
  <c r="J100" i="178"/>
  <c r="J100" i="172"/>
  <c r="J100" i="168"/>
  <c r="J100" i="165"/>
  <c r="J100" i="191"/>
  <c r="J100" i="170"/>
  <c r="J100" i="167"/>
  <c r="J100" i="190"/>
  <c r="J100" i="188"/>
  <c r="J100" i="180"/>
  <c r="J100" i="169"/>
  <c r="J100" i="164"/>
  <c r="J100" i="183"/>
  <c r="J100" i="175"/>
  <c r="J100" i="161"/>
  <c r="J100" i="159"/>
  <c r="J100" i="163"/>
  <c r="J100" i="158"/>
  <c r="J66" i="198"/>
  <c r="J66" i="194"/>
  <c r="J66" i="188"/>
  <c r="J66" i="186"/>
  <c r="J66" i="183"/>
  <c r="J66" i="180"/>
  <c r="J66" i="175"/>
  <c r="J66" i="170"/>
  <c r="J66" i="164"/>
  <c r="J66" i="190"/>
  <c r="J66" i="172"/>
  <c r="J66" i="169"/>
  <c r="J66" i="187"/>
  <c r="J66" i="185"/>
  <c r="J66" i="173"/>
  <c r="J66" i="167"/>
  <c r="J66" i="189"/>
  <c r="J66" i="179"/>
  <c r="J66" i="178"/>
  <c r="J66" i="174"/>
  <c r="J66" i="168"/>
  <c r="J66" i="191"/>
  <c r="J66" i="181"/>
  <c r="J66" i="184"/>
  <c r="J66" i="176"/>
  <c r="J66" i="165"/>
  <c r="J66" i="163"/>
  <c r="J66" i="159"/>
  <c r="J66" i="161"/>
  <c r="J66" i="158"/>
  <c r="J66" i="118"/>
  <c r="J103" i="198"/>
  <c r="J103" i="194"/>
  <c r="J103" i="187"/>
  <c r="J103" i="186"/>
  <c r="J103" i="189"/>
  <c r="J103" i="184"/>
  <c r="J103" i="185"/>
  <c r="J103" i="181"/>
  <c r="J103" i="179"/>
  <c r="J103" i="176"/>
  <c r="J103" i="174"/>
  <c r="J103" i="173"/>
  <c r="J103" i="178"/>
  <c r="J103" i="170"/>
  <c r="J103" i="188"/>
  <c r="J103" i="172"/>
  <c r="J103" i="168"/>
  <c r="J103" i="165"/>
  <c r="J103" i="183"/>
  <c r="J103" i="175"/>
  <c r="J103" i="190"/>
  <c r="J103" i="164"/>
  <c r="J103" i="191"/>
  <c r="J103" i="169"/>
  <c r="J103" i="180"/>
  <c r="J103" i="167"/>
  <c r="J103" i="163"/>
  <c r="J103" i="161"/>
  <c r="J103" i="159"/>
  <c r="J103" i="158"/>
  <c r="J70" i="198"/>
  <c r="J70" i="194"/>
  <c r="J70" i="187"/>
  <c r="J70" i="189"/>
  <c r="J70" i="184"/>
  <c r="J70" i="190"/>
  <c r="J70" i="185"/>
  <c r="J70" i="181"/>
  <c r="J70" i="179"/>
  <c r="J70" i="176"/>
  <c r="J70" i="173"/>
  <c r="J70" i="178"/>
  <c r="J70" i="186"/>
  <c r="J70" i="172"/>
  <c r="J70" i="168"/>
  <c r="J70" i="165"/>
  <c r="J70" i="164"/>
  <c r="J70" i="170"/>
  <c r="J70" i="180"/>
  <c r="J70" i="191"/>
  <c r="J70" i="188"/>
  <c r="J70" i="183"/>
  <c r="J70" i="175"/>
  <c r="J70" i="169"/>
  <c r="J70" i="174"/>
  <c r="J70" i="167"/>
  <c r="J70" i="161"/>
  <c r="J70" i="158"/>
  <c r="J70" i="118"/>
  <c r="J70" i="163"/>
  <c r="J70" i="159"/>
  <c r="J68" i="198"/>
  <c r="J68" i="194"/>
  <c r="J68" i="188"/>
  <c r="J68" i="187"/>
  <c r="J68" i="186"/>
  <c r="J68" i="183"/>
  <c r="J68" i="180"/>
  <c r="J68" i="175"/>
  <c r="J68" i="170"/>
  <c r="J68" i="164"/>
  <c r="J68" i="172"/>
  <c r="J68" i="169"/>
  <c r="J68" i="185"/>
  <c r="J68" i="184"/>
  <c r="J68" i="167"/>
  <c r="J68" i="176"/>
  <c r="J68" i="191"/>
  <c r="J68" i="165"/>
  <c r="J68" i="190"/>
  <c r="J68" i="189"/>
  <c r="J68" i="179"/>
  <c r="J68" i="178"/>
  <c r="J68" i="181"/>
  <c r="J68" i="174"/>
  <c r="J68" i="173"/>
  <c r="J68" i="168"/>
  <c r="J68" i="161"/>
  <c r="J68" i="159"/>
  <c r="J68" i="163"/>
  <c r="J68" i="158"/>
  <c r="J68" i="118"/>
  <c r="L63" i="159"/>
  <c r="L63" i="172"/>
  <c r="L63" i="181"/>
  <c r="L63" i="179"/>
  <c r="L63" i="189"/>
  <c r="L63" i="165"/>
  <c r="L63" i="190"/>
  <c r="I63" i="192"/>
  <c r="J63" i="192"/>
  <c r="H64" i="193"/>
  <c r="G64" i="195"/>
  <c r="H64" i="195"/>
  <c r="H54" i="15"/>
  <c r="G54" i="192"/>
  <c r="H54" i="192"/>
  <c r="H65" i="15"/>
  <c r="G65" i="192"/>
  <c r="H65" i="192"/>
  <c r="H100" i="193"/>
  <c r="G100" i="195"/>
  <c r="H100" i="195"/>
  <c r="H67" i="193"/>
  <c r="G67" i="195"/>
  <c r="H67" i="195"/>
  <c r="H86" i="15"/>
  <c r="G86" i="192"/>
  <c r="H86" i="192"/>
  <c r="H70" i="15"/>
  <c r="G70" i="192"/>
  <c r="H70" i="192"/>
  <c r="H78" i="15"/>
  <c r="G78" i="192"/>
  <c r="H78" i="192"/>
  <c r="H99" i="15"/>
  <c r="G99" i="192"/>
  <c r="H99" i="192"/>
  <c r="H99" i="193"/>
  <c r="G99" i="195"/>
  <c r="H99" i="195"/>
  <c r="J99" i="198"/>
  <c r="J99" i="184"/>
  <c r="J99" i="183"/>
  <c r="J99" i="181"/>
  <c r="J99" i="180"/>
  <c r="J99" i="179"/>
  <c r="J99" i="178"/>
  <c r="J99" i="176"/>
  <c r="J99" i="175"/>
  <c r="J99" i="174"/>
  <c r="J99" i="173"/>
  <c r="J99" i="172"/>
  <c r="J99" i="170"/>
  <c r="J99" i="169"/>
  <c r="J99" i="168"/>
  <c r="J99" i="167"/>
  <c r="J99" i="165"/>
  <c r="J99" i="164"/>
  <c r="J99" i="191"/>
  <c r="J99" i="187"/>
  <c r="J99" i="189"/>
  <c r="J99" i="190"/>
  <c r="J99" i="185"/>
  <c r="J99" i="194"/>
  <c r="J99" i="188"/>
  <c r="J99" i="186"/>
  <c r="J99" i="163"/>
  <c r="J99" i="158"/>
  <c r="J99" i="161"/>
  <c r="J99" i="159"/>
  <c r="J99" i="118"/>
  <c r="P19" i="191"/>
  <c r="L19" i="198"/>
  <c r="L63" i="198"/>
  <c r="K114" i="198"/>
  <c r="L114" i="198"/>
  <c r="L62" i="192"/>
  <c r="L81" i="192"/>
  <c r="U20" i="191"/>
  <c r="U19" i="191"/>
  <c r="S20" i="192"/>
  <c r="L53" i="192"/>
  <c r="L69" i="192"/>
  <c r="L83" i="192"/>
  <c r="L82" i="192"/>
  <c r="L93" i="192"/>
  <c r="H111" i="198"/>
  <c r="G116" i="198"/>
  <c r="H116" i="198"/>
  <c r="M94" i="192"/>
  <c r="M93" i="192"/>
  <c r="M85" i="192"/>
  <c r="M80" i="192"/>
  <c r="M72" i="192"/>
  <c r="M57" i="192"/>
  <c r="L79" i="192"/>
  <c r="L96" i="192"/>
  <c r="L72" i="192"/>
  <c r="J52" i="198"/>
  <c r="L80" i="192"/>
  <c r="P24" i="191"/>
  <c r="P32" i="191"/>
  <c r="P37" i="191"/>
  <c r="P41" i="191"/>
  <c r="P45" i="191"/>
  <c r="P25" i="191"/>
  <c r="P38" i="191"/>
  <c r="P42" i="191"/>
  <c r="P46" i="191"/>
  <c r="P21" i="191"/>
  <c r="P26" i="191"/>
  <c r="P28" i="191"/>
  <c r="P39" i="191"/>
  <c r="P43" i="191"/>
  <c r="P23" i="191"/>
  <c r="P27" i="191"/>
  <c r="P36" i="191"/>
  <c r="P40" i="191"/>
  <c r="P44" i="191"/>
  <c r="P115" i="191"/>
  <c r="P113" i="191"/>
  <c r="P114" i="191"/>
  <c r="P20" i="191"/>
  <c r="L112" i="191"/>
  <c r="K112" i="192"/>
  <c r="L59" i="192"/>
  <c r="Q28" i="191"/>
  <c r="R19" i="191"/>
  <c r="Q19" i="192"/>
  <c r="L58" i="192"/>
  <c r="L71" i="192"/>
  <c r="L85" i="192"/>
  <c r="L84" i="192"/>
  <c r="L94" i="192"/>
  <c r="L95" i="192"/>
  <c r="M96" i="192"/>
  <c r="M91" i="192"/>
  <c r="M83" i="192"/>
  <c r="M112" i="191"/>
  <c r="M62" i="192"/>
  <c r="M71" i="192"/>
  <c r="M28" i="198"/>
  <c r="N103" i="177"/>
  <c r="L111" i="191"/>
  <c r="K116" i="191"/>
  <c r="L116" i="191"/>
  <c r="K111" i="192"/>
  <c r="L89" i="192"/>
  <c r="L91" i="192"/>
  <c r="L61" i="192"/>
  <c r="L74" i="192"/>
  <c r="M97" i="192"/>
  <c r="M89" i="192"/>
  <c r="M81" i="192"/>
  <c r="M73" i="192"/>
  <c r="M84" i="192"/>
  <c r="M60" i="192"/>
  <c r="M69" i="192"/>
  <c r="M61" i="192"/>
  <c r="M52" i="192"/>
  <c r="L25" i="198"/>
  <c r="L38" i="198"/>
  <c r="L42" i="198"/>
  <c r="L46" i="198"/>
  <c r="L23" i="198"/>
  <c r="L27" i="198"/>
  <c r="L36" i="198"/>
  <c r="L40" i="198"/>
  <c r="L44" i="198"/>
  <c r="L21" i="198"/>
  <c r="L37" i="198"/>
  <c r="L45" i="198"/>
  <c r="L24" i="198"/>
  <c r="L28" i="198"/>
  <c r="L39" i="198"/>
  <c r="L26" i="198"/>
  <c r="L32" i="198"/>
  <c r="L41" i="198"/>
  <c r="L43" i="198"/>
  <c r="L20" i="198"/>
  <c r="L60" i="192"/>
  <c r="L57" i="192"/>
  <c r="L73" i="192"/>
  <c r="L87" i="192"/>
  <c r="L97" i="192"/>
  <c r="I116" i="192"/>
  <c r="J116" i="192"/>
  <c r="J111" i="192"/>
  <c r="N24" i="192"/>
  <c r="N32" i="192"/>
  <c r="N37" i="192"/>
  <c r="N41" i="192"/>
  <c r="N45" i="192"/>
  <c r="N25" i="192"/>
  <c r="N28" i="192"/>
  <c r="N38" i="192"/>
  <c r="N42" i="192"/>
  <c r="N46" i="192"/>
  <c r="N26" i="192"/>
  <c r="N39" i="192"/>
  <c r="N21" i="192"/>
  <c r="N23" i="192"/>
  <c r="N27" i="192"/>
  <c r="N36" i="192"/>
  <c r="N40" i="192"/>
  <c r="N44" i="192"/>
  <c r="N43" i="192"/>
  <c r="N114" i="192"/>
  <c r="N115" i="192"/>
  <c r="N113" i="192"/>
  <c r="N20" i="192"/>
  <c r="J112" i="192"/>
  <c r="I112" i="198"/>
  <c r="J112" i="198"/>
  <c r="O28" i="192"/>
  <c r="O19" i="198"/>
  <c r="Q20" i="198"/>
  <c r="M95" i="192"/>
  <c r="M87" i="192"/>
  <c r="M79" i="192"/>
  <c r="M82" i="192"/>
  <c r="M74" i="192"/>
  <c r="M58" i="192"/>
  <c r="M111" i="191"/>
  <c r="M59" i="192"/>
  <c r="M53" i="192"/>
  <c r="L52" i="192"/>
  <c r="K113" i="198"/>
  <c r="L113" i="198"/>
  <c r="N19" i="192"/>
  <c r="L84" i="198"/>
  <c r="K115" i="198"/>
  <c r="L115" i="198"/>
  <c r="F105" i="177"/>
  <c r="E107" i="177"/>
  <c r="F107" i="177"/>
  <c r="L70" i="162"/>
  <c r="L70" i="177"/>
  <c r="L100" i="162"/>
  <c r="L100" i="177"/>
  <c r="L86" i="162"/>
  <c r="L86" i="177"/>
  <c r="L77" i="162"/>
  <c r="L77" i="177"/>
  <c r="L54" i="162"/>
  <c r="L76" i="162"/>
  <c r="L76" i="177"/>
  <c r="L68" i="162"/>
  <c r="L68" i="177"/>
  <c r="L75" i="162"/>
  <c r="L75" i="177"/>
  <c r="L78" i="162"/>
  <c r="L78" i="177"/>
  <c r="L99" i="162"/>
  <c r="L99" i="177"/>
  <c r="L65" i="162"/>
  <c r="L65" i="177"/>
  <c r="L98" i="162"/>
  <c r="L98" i="177"/>
  <c r="L64" i="162"/>
  <c r="L64" i="177"/>
  <c r="L92" i="162"/>
  <c r="L92" i="177"/>
  <c r="L67" i="162"/>
  <c r="L67" i="177"/>
  <c r="L104" i="162"/>
  <c r="L104" i="177"/>
  <c r="L66" i="162"/>
  <c r="L66" i="177"/>
  <c r="L90" i="162"/>
  <c r="L90" i="177"/>
  <c r="L56" i="162"/>
  <c r="L56" i="177"/>
  <c r="L88" i="162"/>
  <c r="L88" i="177"/>
  <c r="N63" i="177"/>
  <c r="J54" i="177"/>
  <c r="I105" i="177"/>
  <c r="H105" i="177"/>
  <c r="G107" i="177"/>
  <c r="H107" i="177"/>
  <c r="G105" i="162"/>
  <c r="H105" i="162"/>
  <c r="J102" i="193"/>
  <c r="J102" i="162"/>
  <c r="N63" i="162"/>
  <c r="N103" i="162"/>
  <c r="R96" i="191"/>
  <c r="R91" i="191"/>
  <c r="R84" i="191"/>
  <c r="R80" i="191"/>
  <c r="R72" i="191"/>
  <c r="R61" i="191"/>
  <c r="R58" i="191"/>
  <c r="R94" i="191"/>
  <c r="R87" i="191"/>
  <c r="R82" i="191"/>
  <c r="R69" i="191"/>
  <c r="R53" i="191"/>
  <c r="R93" i="191"/>
  <c r="R85" i="191"/>
  <c r="R95" i="191"/>
  <c r="R89" i="191"/>
  <c r="R83" i="191"/>
  <c r="R79" i="191"/>
  <c r="R71" i="191"/>
  <c r="R60" i="191"/>
  <c r="R57" i="191"/>
  <c r="R74" i="191"/>
  <c r="R73" i="191"/>
  <c r="R81" i="191"/>
  <c r="R52" i="191"/>
  <c r="R62" i="191"/>
  <c r="R97" i="191"/>
  <c r="R59" i="191"/>
  <c r="J102" i="188"/>
  <c r="G102" i="195"/>
  <c r="H102" i="195"/>
  <c r="N97" i="198"/>
  <c r="N83" i="198"/>
  <c r="N53" i="198"/>
  <c r="N95" i="198"/>
  <c r="N61" i="198"/>
  <c r="N71" i="198"/>
  <c r="N82" i="198"/>
  <c r="N69" i="198"/>
  <c r="N81" i="198"/>
  <c r="N62" i="198"/>
  <c r="N96" i="198"/>
  <c r="N85" i="198"/>
  <c r="N79" i="198"/>
  <c r="N60" i="198"/>
  <c r="N89" i="198"/>
  <c r="N57" i="198"/>
  <c r="N93" i="198"/>
  <c r="N58" i="198"/>
  <c r="N74" i="198"/>
  <c r="N73" i="198"/>
  <c r="N91" i="198"/>
  <c r="N80" i="198"/>
  <c r="J102" i="190"/>
  <c r="J102" i="161"/>
  <c r="J102" i="172"/>
  <c r="J102" i="181"/>
  <c r="J102" i="183"/>
  <c r="J102" i="168"/>
  <c r="J102" i="164"/>
  <c r="J102" i="159"/>
  <c r="J102" i="179"/>
  <c r="J102" i="194"/>
  <c r="J102" i="187"/>
  <c r="J102" i="163"/>
  <c r="J102" i="174"/>
  <c r="J102" i="169"/>
  <c r="J102" i="180"/>
  <c r="N63" i="181"/>
  <c r="G102" i="192"/>
  <c r="H102" i="192"/>
  <c r="N59" i="198"/>
  <c r="J102" i="158"/>
  <c r="J102" i="165"/>
  <c r="J102" i="178"/>
  <c r="J102" i="185"/>
  <c r="J102" i="189"/>
  <c r="J102" i="175"/>
  <c r="J102" i="186"/>
  <c r="J102" i="198"/>
  <c r="J105" i="197"/>
  <c r="I107" i="197"/>
  <c r="J107" i="197"/>
  <c r="L102" i="177"/>
  <c r="L102" i="197"/>
  <c r="K105" i="197"/>
  <c r="J102" i="15"/>
  <c r="J102" i="176"/>
  <c r="J102" i="191"/>
  <c r="J102" i="167"/>
  <c r="J102" i="173"/>
  <c r="J102" i="170"/>
  <c r="J102" i="184"/>
  <c r="K63" i="195"/>
  <c r="L63" i="195"/>
  <c r="N63" i="194"/>
  <c r="N63" i="161"/>
  <c r="N63" i="180"/>
  <c r="N63" i="164"/>
  <c r="N63" i="189"/>
  <c r="N63" i="174"/>
  <c r="N63" i="170"/>
  <c r="N63" i="184"/>
  <c r="L78" i="198"/>
  <c r="L78" i="189"/>
  <c r="L78" i="191"/>
  <c r="L78" i="188"/>
  <c r="L78" i="187"/>
  <c r="L78" i="186"/>
  <c r="L78" i="185"/>
  <c r="L78" i="181"/>
  <c r="L78" i="179"/>
  <c r="L78" i="178"/>
  <c r="L78" i="176"/>
  <c r="L78" i="194"/>
  <c r="L78" i="184"/>
  <c r="L78" i="183"/>
  <c r="L78" i="180"/>
  <c r="L78" i="175"/>
  <c r="L78" i="169"/>
  <c r="L78" i="168"/>
  <c r="L78" i="165"/>
  <c r="L78" i="173"/>
  <c r="L78" i="172"/>
  <c r="L78" i="190"/>
  <c r="L78" i="167"/>
  <c r="L78" i="174"/>
  <c r="L78" i="164"/>
  <c r="L78" i="170"/>
  <c r="L78" i="161"/>
  <c r="L78" i="159"/>
  <c r="L78" i="158"/>
  <c r="L78" i="163"/>
  <c r="L78" i="118"/>
  <c r="L98" i="198"/>
  <c r="L98" i="194"/>
  <c r="L98" i="191"/>
  <c r="L98" i="188"/>
  <c r="L98" i="190"/>
  <c r="L98" i="189"/>
  <c r="L98" i="183"/>
  <c r="L98" i="180"/>
  <c r="L98" i="175"/>
  <c r="L98" i="185"/>
  <c r="L98" i="181"/>
  <c r="L98" i="179"/>
  <c r="L98" i="176"/>
  <c r="L98" i="174"/>
  <c r="L98" i="172"/>
  <c r="L98" i="167"/>
  <c r="L98" i="186"/>
  <c r="L98" i="187"/>
  <c r="L98" i="168"/>
  <c r="L98" i="165"/>
  <c r="L98" i="164"/>
  <c r="L98" i="170"/>
  <c r="L98" i="184"/>
  <c r="L98" i="178"/>
  <c r="L98" i="169"/>
  <c r="L98" i="173"/>
  <c r="L98" i="163"/>
  <c r="L98" i="161"/>
  <c r="L98" i="159"/>
  <c r="L98" i="118"/>
  <c r="L98" i="158"/>
  <c r="J70" i="193"/>
  <c r="I70" i="195"/>
  <c r="J70" i="195"/>
  <c r="J77" i="193"/>
  <c r="I77" i="195"/>
  <c r="J77" i="195"/>
  <c r="J104" i="193"/>
  <c r="I104" i="195"/>
  <c r="J104" i="195"/>
  <c r="J98" i="15"/>
  <c r="I98" i="192"/>
  <c r="J98" i="192"/>
  <c r="J54" i="193"/>
  <c r="I54" i="195"/>
  <c r="J54" i="195"/>
  <c r="L63" i="15"/>
  <c r="K63" i="192"/>
  <c r="L63" i="192"/>
  <c r="J88" i="193"/>
  <c r="I88" i="195"/>
  <c r="J88" i="195"/>
  <c r="J56" i="15"/>
  <c r="I56" i="192"/>
  <c r="J56" i="192"/>
  <c r="J75" i="193"/>
  <c r="I75" i="195"/>
  <c r="J75" i="195"/>
  <c r="J78" i="193"/>
  <c r="I78" i="195"/>
  <c r="J78" i="195"/>
  <c r="J67" i="15"/>
  <c r="I67" i="192"/>
  <c r="J67" i="192"/>
  <c r="L104" i="198"/>
  <c r="L104" i="191"/>
  <c r="L104" i="194"/>
  <c r="L104" i="188"/>
  <c r="L104" i="190"/>
  <c r="L104" i="189"/>
  <c r="L104" i="187"/>
  <c r="L104" i="186"/>
  <c r="L104" i="183"/>
  <c r="L104" i="180"/>
  <c r="L104" i="175"/>
  <c r="L104" i="185"/>
  <c r="L104" i="184"/>
  <c r="L104" i="181"/>
  <c r="L104" i="179"/>
  <c r="L104" i="176"/>
  <c r="L104" i="174"/>
  <c r="L104" i="172"/>
  <c r="L104" i="167"/>
  <c r="L104" i="173"/>
  <c r="L104" i="170"/>
  <c r="L104" i="168"/>
  <c r="L104" i="165"/>
  <c r="L104" i="178"/>
  <c r="L104" i="164"/>
  <c r="L104" i="169"/>
  <c r="L104" i="163"/>
  <c r="L104" i="161"/>
  <c r="L104" i="159"/>
  <c r="L104" i="158"/>
  <c r="L77" i="198"/>
  <c r="L77" i="191"/>
  <c r="L77" i="190"/>
  <c r="L77" i="188"/>
  <c r="L77" i="189"/>
  <c r="L77" i="183"/>
  <c r="L77" i="180"/>
  <c r="L77" i="175"/>
  <c r="L77" i="185"/>
  <c r="L77" i="181"/>
  <c r="L77" i="179"/>
  <c r="L77" i="176"/>
  <c r="L77" i="174"/>
  <c r="L77" i="172"/>
  <c r="L77" i="167"/>
  <c r="L77" i="194"/>
  <c r="L77" i="187"/>
  <c r="L77" i="186"/>
  <c r="L77" i="168"/>
  <c r="L77" i="165"/>
  <c r="L77" i="173"/>
  <c r="L77" i="169"/>
  <c r="L77" i="184"/>
  <c r="L77" i="178"/>
  <c r="L77" i="170"/>
  <c r="L77" i="164"/>
  <c r="L77" i="161"/>
  <c r="L77" i="159"/>
  <c r="L77" i="158"/>
  <c r="L77" i="163"/>
  <c r="L77" i="118"/>
  <c r="L54" i="198"/>
  <c r="L54" i="194"/>
  <c r="L54" i="191"/>
  <c r="L54" i="188"/>
  <c r="L54" i="190"/>
  <c r="L54" i="186"/>
  <c r="L54" i="185"/>
  <c r="L54" i="183"/>
  <c r="L54" i="180"/>
  <c r="L54" i="179"/>
  <c r="L54" i="178"/>
  <c r="L54" i="175"/>
  <c r="L54" i="189"/>
  <c r="L54" i="184"/>
  <c r="L54" i="181"/>
  <c r="L54" i="176"/>
  <c r="L54" i="170"/>
  <c r="L54" i="169"/>
  <c r="L54" i="167"/>
  <c r="L54" i="173"/>
  <c r="L54" i="172"/>
  <c r="L54" i="187"/>
  <c r="L54" i="174"/>
  <c r="L54" i="168"/>
  <c r="L54" i="164"/>
  <c r="L54" i="165"/>
  <c r="L54" i="161"/>
  <c r="L54" i="159"/>
  <c r="L54" i="163"/>
  <c r="L54" i="158"/>
  <c r="L54" i="118"/>
  <c r="L88" i="198"/>
  <c r="L88" i="189"/>
  <c r="L88" i="191"/>
  <c r="L88" i="188"/>
  <c r="L88" i="185"/>
  <c r="L88" i="181"/>
  <c r="L88" i="179"/>
  <c r="L88" i="178"/>
  <c r="L88" i="176"/>
  <c r="L88" i="183"/>
  <c r="L88" i="180"/>
  <c r="L88" i="175"/>
  <c r="L88" i="169"/>
  <c r="L88" i="168"/>
  <c r="L88" i="165"/>
  <c r="L88" i="190"/>
  <c r="L88" i="184"/>
  <c r="L88" i="172"/>
  <c r="L88" i="170"/>
  <c r="L88" i="186"/>
  <c r="L88" i="173"/>
  <c r="L88" i="167"/>
  <c r="L88" i="194"/>
  <c r="L88" i="174"/>
  <c r="L88" i="187"/>
  <c r="L88" i="164"/>
  <c r="L88" i="163"/>
  <c r="L88" i="158"/>
  <c r="L88" i="118"/>
  <c r="L88" i="161"/>
  <c r="L88" i="159"/>
  <c r="N63" i="158"/>
  <c r="N63" i="15"/>
  <c r="N63" i="185"/>
  <c r="N63" i="173"/>
  <c r="N63" i="183"/>
  <c r="N63" i="168"/>
  <c r="N63" i="167"/>
  <c r="N63" i="176"/>
  <c r="J70" i="15"/>
  <c r="I70" i="192"/>
  <c r="J70" i="192"/>
  <c r="J100" i="193"/>
  <c r="I100" i="195"/>
  <c r="J100" i="195"/>
  <c r="J76" i="15"/>
  <c r="I76" i="192"/>
  <c r="J76" i="192"/>
  <c r="J86" i="15"/>
  <c r="I86" i="192"/>
  <c r="J86" i="192"/>
  <c r="J56" i="193"/>
  <c r="I56" i="195"/>
  <c r="J56" i="195"/>
  <c r="J67" i="193"/>
  <c r="I67" i="195"/>
  <c r="J67" i="195"/>
  <c r="J64" i="193"/>
  <c r="I64" i="195"/>
  <c r="J64" i="195"/>
  <c r="L75" i="198"/>
  <c r="L75" i="194"/>
  <c r="L75" i="191"/>
  <c r="L75" i="190"/>
  <c r="L75" i="188"/>
  <c r="L75" i="189"/>
  <c r="L75" i="186"/>
  <c r="L75" i="183"/>
  <c r="L75" i="180"/>
  <c r="L75" i="175"/>
  <c r="L75" i="187"/>
  <c r="L75" i="185"/>
  <c r="L75" i="181"/>
  <c r="L75" i="179"/>
  <c r="L75" i="176"/>
  <c r="L75" i="174"/>
  <c r="L75" i="172"/>
  <c r="L75" i="167"/>
  <c r="L75" i="184"/>
  <c r="L75" i="168"/>
  <c r="L75" i="165"/>
  <c r="L75" i="164"/>
  <c r="L75" i="173"/>
  <c r="L75" i="178"/>
  <c r="L75" i="169"/>
  <c r="L75" i="170"/>
  <c r="L75" i="163"/>
  <c r="L75" i="161"/>
  <c r="L75" i="118"/>
  <c r="L75" i="159"/>
  <c r="L75" i="158"/>
  <c r="L90" i="198"/>
  <c r="L90" i="191"/>
  <c r="L90" i="194"/>
  <c r="L90" i="190"/>
  <c r="L90" i="188"/>
  <c r="L90" i="189"/>
  <c r="L90" i="183"/>
  <c r="L90" i="180"/>
  <c r="L90" i="175"/>
  <c r="L90" i="187"/>
  <c r="L90" i="185"/>
  <c r="L90" i="181"/>
  <c r="L90" i="179"/>
  <c r="L90" i="176"/>
  <c r="L90" i="174"/>
  <c r="L90" i="172"/>
  <c r="L90" i="167"/>
  <c r="L90" i="186"/>
  <c r="L90" i="164"/>
  <c r="L90" i="184"/>
  <c r="L90" i="173"/>
  <c r="L90" i="170"/>
  <c r="L90" i="168"/>
  <c r="L90" i="165"/>
  <c r="L90" i="178"/>
  <c r="L90" i="169"/>
  <c r="L90" i="161"/>
  <c r="L90" i="159"/>
  <c r="L90" i="158"/>
  <c r="L90" i="163"/>
  <c r="L90" i="118"/>
  <c r="L64" i="198"/>
  <c r="L64" i="191"/>
  <c r="L64" i="190"/>
  <c r="L64" i="188"/>
  <c r="L64" i="194"/>
  <c r="L64" i="189"/>
  <c r="L64" i="186"/>
  <c r="L64" i="183"/>
  <c r="L64" i="180"/>
  <c r="L64" i="175"/>
  <c r="L64" i="187"/>
  <c r="L64" i="185"/>
  <c r="L64" i="181"/>
  <c r="L64" i="179"/>
  <c r="L64" i="176"/>
  <c r="L64" i="174"/>
  <c r="L64" i="172"/>
  <c r="L64" i="167"/>
  <c r="L64" i="184"/>
  <c r="L64" i="168"/>
  <c r="L64" i="165"/>
  <c r="L64" i="173"/>
  <c r="L64" i="170"/>
  <c r="L64" i="164"/>
  <c r="L64" i="169"/>
  <c r="L64" i="178"/>
  <c r="L64" i="161"/>
  <c r="L64" i="159"/>
  <c r="L64" i="158"/>
  <c r="L64" i="163"/>
  <c r="L64" i="118"/>
  <c r="J103" i="15"/>
  <c r="I103" i="192"/>
  <c r="J103" i="192"/>
  <c r="J103" i="193"/>
  <c r="I103" i="195"/>
  <c r="J103" i="195"/>
  <c r="J100" i="15"/>
  <c r="I100" i="192"/>
  <c r="J100" i="192"/>
  <c r="L100" i="198"/>
  <c r="L100" i="190"/>
  <c r="L100" i="189"/>
  <c r="L100" i="191"/>
  <c r="L100" i="188"/>
  <c r="L100" i="185"/>
  <c r="L100" i="181"/>
  <c r="L100" i="179"/>
  <c r="L100" i="178"/>
  <c r="L100" i="176"/>
  <c r="L100" i="174"/>
  <c r="L100" i="187"/>
  <c r="L100" i="183"/>
  <c r="L100" i="180"/>
  <c r="L100" i="175"/>
  <c r="L100" i="169"/>
  <c r="L100" i="168"/>
  <c r="L100" i="165"/>
  <c r="L100" i="172"/>
  <c r="L100" i="184"/>
  <c r="L100" i="167"/>
  <c r="L100" i="164"/>
  <c r="L100" i="173"/>
  <c r="L100" i="170"/>
  <c r="L100" i="186"/>
  <c r="L100" i="194"/>
  <c r="L100" i="161"/>
  <c r="L100" i="159"/>
  <c r="L100" i="158"/>
  <c r="L100" i="163"/>
  <c r="L66" i="198"/>
  <c r="L66" i="191"/>
  <c r="L66" i="190"/>
  <c r="L66" i="188"/>
  <c r="L66" i="189"/>
  <c r="L66" i="187"/>
  <c r="L66" i="186"/>
  <c r="L66" i="183"/>
  <c r="L66" i="180"/>
  <c r="L66" i="175"/>
  <c r="L66" i="194"/>
  <c r="L66" i="185"/>
  <c r="L66" i="184"/>
  <c r="L66" i="181"/>
  <c r="L66" i="179"/>
  <c r="L66" i="176"/>
  <c r="L66" i="174"/>
  <c r="L66" i="172"/>
  <c r="L66" i="167"/>
  <c r="L66" i="173"/>
  <c r="L66" i="170"/>
  <c r="L66" i="168"/>
  <c r="L66" i="165"/>
  <c r="L66" i="178"/>
  <c r="L66" i="164"/>
  <c r="L66" i="169"/>
  <c r="L66" i="163"/>
  <c r="L66" i="159"/>
  <c r="L66" i="158"/>
  <c r="L66" i="118"/>
  <c r="L66" i="161"/>
  <c r="L103" i="198"/>
  <c r="L103" i="190"/>
  <c r="L103" i="189"/>
  <c r="L103" i="191"/>
  <c r="L103" i="188"/>
  <c r="L103" i="187"/>
  <c r="L103" i="186"/>
  <c r="L103" i="185"/>
  <c r="L103" i="181"/>
  <c r="L103" i="179"/>
  <c r="L103" i="178"/>
  <c r="L103" i="176"/>
  <c r="L103" i="174"/>
  <c r="L103" i="184"/>
  <c r="L103" i="183"/>
  <c r="L103" i="180"/>
  <c r="L103" i="175"/>
  <c r="L103" i="169"/>
  <c r="L103" i="168"/>
  <c r="L103" i="165"/>
  <c r="L103" i="173"/>
  <c r="L103" i="172"/>
  <c r="L103" i="167"/>
  <c r="L103" i="194"/>
  <c r="L103" i="164"/>
  <c r="L103" i="170"/>
  <c r="L103" i="163"/>
  <c r="L103" i="159"/>
  <c r="L103" i="158"/>
  <c r="L103" i="161"/>
  <c r="L70" i="198"/>
  <c r="L70" i="194"/>
  <c r="L70" i="189"/>
  <c r="L70" i="191"/>
  <c r="L70" i="188"/>
  <c r="L70" i="185"/>
  <c r="L70" i="181"/>
  <c r="L70" i="179"/>
  <c r="L70" i="178"/>
  <c r="L70" i="176"/>
  <c r="L70" i="186"/>
  <c r="L70" i="183"/>
  <c r="L70" i="180"/>
  <c r="L70" i="175"/>
  <c r="L70" i="169"/>
  <c r="L70" i="168"/>
  <c r="L70" i="165"/>
  <c r="L70" i="172"/>
  <c r="L70" i="164"/>
  <c r="L70" i="170"/>
  <c r="L70" i="167"/>
  <c r="L70" i="187"/>
  <c r="L70" i="184"/>
  <c r="L70" i="174"/>
  <c r="L70" i="173"/>
  <c r="L70" i="190"/>
  <c r="L70" i="161"/>
  <c r="L70" i="159"/>
  <c r="L70" i="158"/>
  <c r="L70" i="163"/>
  <c r="L70" i="118"/>
  <c r="L67" i="198"/>
  <c r="L67" i="189"/>
  <c r="L67" i="191"/>
  <c r="L67" i="188"/>
  <c r="L67" i="185"/>
  <c r="L67" i="181"/>
  <c r="L67" i="179"/>
  <c r="L67" i="178"/>
  <c r="L67" i="176"/>
  <c r="L67" i="186"/>
  <c r="L67" i="183"/>
  <c r="L67" i="180"/>
  <c r="L67" i="175"/>
  <c r="L67" i="169"/>
  <c r="L67" i="168"/>
  <c r="L67" i="165"/>
  <c r="L67" i="190"/>
  <c r="L67" i="187"/>
  <c r="L67" i="172"/>
  <c r="L67" i="170"/>
  <c r="L67" i="194"/>
  <c r="L67" i="173"/>
  <c r="L67" i="167"/>
  <c r="L67" i="184"/>
  <c r="L67" i="174"/>
  <c r="L67" i="164"/>
  <c r="L67" i="163"/>
  <c r="L67" i="159"/>
  <c r="L67" i="118"/>
  <c r="L67" i="161"/>
  <c r="L67" i="158"/>
  <c r="L76" i="198"/>
  <c r="L76" i="189"/>
  <c r="L76" i="194"/>
  <c r="L76" i="191"/>
  <c r="L76" i="188"/>
  <c r="L76" i="185"/>
  <c r="L76" i="181"/>
  <c r="L76" i="179"/>
  <c r="L76" i="178"/>
  <c r="L76" i="176"/>
  <c r="L76" i="183"/>
  <c r="L76" i="180"/>
  <c r="L76" i="175"/>
  <c r="L76" i="169"/>
  <c r="L76" i="168"/>
  <c r="L76" i="165"/>
  <c r="L76" i="184"/>
  <c r="L76" i="172"/>
  <c r="L76" i="186"/>
  <c r="L76" i="167"/>
  <c r="L76" i="164"/>
  <c r="L76" i="187"/>
  <c r="L76" i="174"/>
  <c r="L76" i="190"/>
  <c r="L76" i="173"/>
  <c r="L76" i="170"/>
  <c r="L76" i="163"/>
  <c r="L76" i="161"/>
  <c r="L76" i="159"/>
  <c r="L76" i="118"/>
  <c r="L76" i="158"/>
  <c r="N63" i="118"/>
  <c r="N63" i="163"/>
  <c r="N63" i="190"/>
  <c r="N63" i="186"/>
  <c r="N63" i="187"/>
  <c r="N63" i="178"/>
  <c r="N63" i="169"/>
  <c r="N63" i="179"/>
  <c r="J68" i="15"/>
  <c r="I68" i="192"/>
  <c r="J68" i="192"/>
  <c r="J68" i="193"/>
  <c r="I68" i="195"/>
  <c r="J68" i="195"/>
  <c r="J66" i="15"/>
  <c r="I66" i="192"/>
  <c r="J66" i="192"/>
  <c r="J66" i="193"/>
  <c r="I66" i="195"/>
  <c r="J66" i="195"/>
  <c r="J76" i="193"/>
  <c r="I76" i="195"/>
  <c r="J76" i="195"/>
  <c r="J77" i="15"/>
  <c r="I77" i="192"/>
  <c r="J77" i="192"/>
  <c r="J104" i="15"/>
  <c r="I104" i="192"/>
  <c r="J104" i="192"/>
  <c r="J98" i="193"/>
  <c r="I98" i="195"/>
  <c r="J98" i="195"/>
  <c r="J65" i="15"/>
  <c r="I65" i="192"/>
  <c r="J65" i="192"/>
  <c r="J65" i="193"/>
  <c r="I65" i="195"/>
  <c r="J65" i="195"/>
  <c r="J90" i="15"/>
  <c r="I90" i="192"/>
  <c r="J90" i="192"/>
  <c r="J75" i="15"/>
  <c r="I75" i="192"/>
  <c r="J75" i="192"/>
  <c r="J92" i="15"/>
  <c r="I92" i="192"/>
  <c r="J92" i="192"/>
  <c r="L86" i="198"/>
  <c r="L86" i="194"/>
  <c r="L86" i="191"/>
  <c r="L86" i="190"/>
  <c r="L86" i="188"/>
  <c r="L86" i="189"/>
  <c r="L86" i="187"/>
  <c r="L86" i="186"/>
  <c r="L86" i="183"/>
  <c r="L86" i="180"/>
  <c r="L86" i="175"/>
  <c r="L86" i="185"/>
  <c r="L86" i="184"/>
  <c r="L86" i="181"/>
  <c r="L86" i="179"/>
  <c r="L86" i="176"/>
  <c r="L86" i="174"/>
  <c r="L86" i="172"/>
  <c r="L86" i="167"/>
  <c r="L86" i="173"/>
  <c r="L86" i="170"/>
  <c r="L86" i="168"/>
  <c r="L86" i="165"/>
  <c r="L86" i="178"/>
  <c r="L86" i="169"/>
  <c r="L86" i="164"/>
  <c r="L86" i="163"/>
  <c r="L86" i="159"/>
  <c r="L86" i="158"/>
  <c r="L86" i="161"/>
  <c r="L86" i="118"/>
  <c r="L56" i="198"/>
  <c r="L56" i="189"/>
  <c r="L56" i="191"/>
  <c r="L56" i="188"/>
  <c r="L56" i="185"/>
  <c r="L56" i="181"/>
  <c r="L56" i="179"/>
  <c r="L56" i="178"/>
  <c r="L56" i="176"/>
  <c r="L56" i="186"/>
  <c r="L56" i="183"/>
  <c r="L56" i="180"/>
  <c r="L56" i="175"/>
  <c r="L56" i="169"/>
  <c r="L56" i="168"/>
  <c r="L56" i="165"/>
  <c r="L56" i="172"/>
  <c r="L56" i="167"/>
  <c r="L56" i="164"/>
  <c r="L56" i="194"/>
  <c r="L56" i="187"/>
  <c r="L56" i="174"/>
  <c r="L56" i="173"/>
  <c r="L56" i="170"/>
  <c r="L56" i="184"/>
  <c r="L56" i="190"/>
  <c r="L56" i="163"/>
  <c r="L56" i="161"/>
  <c r="L56" i="158"/>
  <c r="L56" i="118"/>
  <c r="L56" i="159"/>
  <c r="L92" i="198"/>
  <c r="L92" i="194"/>
  <c r="L92" i="189"/>
  <c r="L92" i="191"/>
  <c r="L92" i="188"/>
  <c r="L92" i="185"/>
  <c r="L92" i="181"/>
  <c r="L92" i="179"/>
  <c r="L92" i="178"/>
  <c r="L92" i="176"/>
  <c r="L92" i="174"/>
  <c r="L92" i="183"/>
  <c r="L92" i="180"/>
  <c r="L92" i="175"/>
  <c r="L92" i="169"/>
  <c r="L92" i="168"/>
  <c r="L92" i="165"/>
  <c r="L92" i="186"/>
  <c r="L92" i="184"/>
  <c r="L92" i="172"/>
  <c r="L92" i="164"/>
  <c r="L92" i="170"/>
  <c r="L92" i="167"/>
  <c r="L92" i="187"/>
  <c r="L92" i="173"/>
  <c r="L92" i="190"/>
  <c r="L92" i="161"/>
  <c r="L92" i="159"/>
  <c r="L92" i="158"/>
  <c r="L92" i="163"/>
  <c r="L92" i="118"/>
  <c r="L65" i="198"/>
  <c r="L65" i="189"/>
  <c r="L65" i="194"/>
  <c r="L65" i="191"/>
  <c r="L65" i="188"/>
  <c r="L65" i="187"/>
  <c r="L65" i="185"/>
  <c r="L65" i="181"/>
  <c r="L65" i="179"/>
  <c r="L65" i="178"/>
  <c r="L65" i="176"/>
  <c r="L65" i="186"/>
  <c r="L65" i="184"/>
  <c r="L65" i="183"/>
  <c r="L65" i="180"/>
  <c r="L65" i="175"/>
  <c r="L65" i="169"/>
  <c r="L65" i="168"/>
  <c r="L65" i="165"/>
  <c r="L65" i="173"/>
  <c r="L65" i="172"/>
  <c r="L65" i="190"/>
  <c r="L65" i="167"/>
  <c r="L65" i="164"/>
  <c r="L65" i="170"/>
  <c r="L65" i="174"/>
  <c r="L65" i="161"/>
  <c r="L65" i="159"/>
  <c r="L65" i="158"/>
  <c r="L65" i="163"/>
  <c r="L65" i="118"/>
  <c r="L68" i="198"/>
  <c r="L68" i="194"/>
  <c r="L68" i="191"/>
  <c r="L68" i="190"/>
  <c r="L68" i="188"/>
  <c r="L68" i="189"/>
  <c r="L68" i="186"/>
  <c r="L68" i="183"/>
  <c r="L68" i="180"/>
  <c r="L68" i="175"/>
  <c r="L68" i="185"/>
  <c r="L68" i="181"/>
  <c r="L68" i="179"/>
  <c r="L68" i="176"/>
  <c r="L68" i="174"/>
  <c r="L68" i="172"/>
  <c r="L68" i="167"/>
  <c r="L68" i="184"/>
  <c r="L68" i="164"/>
  <c r="L68" i="173"/>
  <c r="L68" i="170"/>
  <c r="L68" i="168"/>
  <c r="L68" i="165"/>
  <c r="L68" i="187"/>
  <c r="L68" i="178"/>
  <c r="L68" i="169"/>
  <c r="L68" i="161"/>
  <c r="L68" i="159"/>
  <c r="L68" i="158"/>
  <c r="L68" i="163"/>
  <c r="L68" i="118"/>
  <c r="N63" i="159"/>
  <c r="N63" i="165"/>
  <c r="N63" i="175"/>
  <c r="N63" i="188"/>
  <c r="N63" i="191"/>
  <c r="N63" i="172"/>
  <c r="J86" i="193"/>
  <c r="I86" i="195"/>
  <c r="J86" i="195"/>
  <c r="J54" i="15"/>
  <c r="I54" i="192"/>
  <c r="J54" i="192"/>
  <c r="J88" i="15"/>
  <c r="I88" i="192"/>
  <c r="J88" i="192"/>
  <c r="J90" i="193"/>
  <c r="I90" i="195"/>
  <c r="J90" i="195"/>
  <c r="J78" i="15"/>
  <c r="I78" i="192"/>
  <c r="J78" i="192"/>
  <c r="J64" i="15"/>
  <c r="I64" i="192"/>
  <c r="J64" i="192"/>
  <c r="J92" i="193"/>
  <c r="I92" i="195"/>
  <c r="J92" i="195"/>
  <c r="J99" i="15"/>
  <c r="I99" i="192"/>
  <c r="J99" i="192"/>
  <c r="L99" i="191"/>
  <c r="L99" i="190"/>
  <c r="L99" i="188"/>
  <c r="L99" i="189"/>
  <c r="L99" i="187"/>
  <c r="L99" i="186"/>
  <c r="L99" i="185"/>
  <c r="L99" i="194"/>
  <c r="L99" i="183"/>
  <c r="L99" i="180"/>
  <c r="L99" i="178"/>
  <c r="L99" i="175"/>
  <c r="L99" i="173"/>
  <c r="L99" i="170"/>
  <c r="L99" i="168"/>
  <c r="L99" i="165"/>
  <c r="L99" i="184"/>
  <c r="L99" i="181"/>
  <c r="L99" i="179"/>
  <c r="L99" i="176"/>
  <c r="L99" i="174"/>
  <c r="L99" i="172"/>
  <c r="L99" i="169"/>
  <c r="L99" i="167"/>
  <c r="L99" i="164"/>
  <c r="L99" i="161"/>
  <c r="L99" i="163"/>
  <c r="L99" i="159"/>
  <c r="L99" i="118"/>
  <c r="L99" i="158"/>
  <c r="L99" i="198"/>
  <c r="J99" i="193"/>
  <c r="I99" i="195"/>
  <c r="J99" i="195"/>
  <c r="N87" i="198"/>
  <c r="N72" i="198"/>
  <c r="N19" i="198"/>
  <c r="N63" i="198"/>
  <c r="M114" i="198"/>
  <c r="N114" i="198"/>
  <c r="N94" i="198"/>
  <c r="N58" i="192"/>
  <c r="N61" i="192"/>
  <c r="N60" i="192"/>
  <c r="N73" i="192"/>
  <c r="N89" i="192"/>
  <c r="N24" i="198"/>
  <c r="N32" i="198"/>
  <c r="N37" i="198"/>
  <c r="N41" i="198"/>
  <c r="N45" i="198"/>
  <c r="N21" i="198"/>
  <c r="N26" i="198"/>
  <c r="N39" i="198"/>
  <c r="N43" i="198"/>
  <c r="N36" i="198"/>
  <c r="N44" i="198"/>
  <c r="N23" i="198"/>
  <c r="N38" i="198"/>
  <c r="N46" i="198"/>
  <c r="N25" i="198"/>
  <c r="N28" i="198"/>
  <c r="N40" i="198"/>
  <c r="N27" i="198"/>
  <c r="N42" i="198"/>
  <c r="N20" i="198"/>
  <c r="N112" i="191"/>
  <c r="M112" i="192"/>
  <c r="N91" i="192"/>
  <c r="Q28" i="192"/>
  <c r="Q19" i="198"/>
  <c r="O93" i="192"/>
  <c r="O91" i="192"/>
  <c r="O84" i="192"/>
  <c r="O87" i="192"/>
  <c r="O79" i="192"/>
  <c r="O71" i="192"/>
  <c r="O112" i="191"/>
  <c r="O62" i="192"/>
  <c r="U20" i="192"/>
  <c r="N79" i="192"/>
  <c r="M116" i="191"/>
  <c r="N116" i="191"/>
  <c r="N111" i="191"/>
  <c r="M111" i="192"/>
  <c r="N74" i="192"/>
  <c r="N87" i="192"/>
  <c r="N53" i="192"/>
  <c r="O28" i="198"/>
  <c r="P103" i="177"/>
  <c r="N71" i="192"/>
  <c r="R23" i="191"/>
  <c r="R27" i="191"/>
  <c r="R28" i="191"/>
  <c r="R36" i="191"/>
  <c r="R40" i="191"/>
  <c r="R44" i="191"/>
  <c r="R24" i="191"/>
  <c r="R32" i="191"/>
  <c r="R37" i="191"/>
  <c r="R41" i="191"/>
  <c r="R45" i="191"/>
  <c r="R25" i="191"/>
  <c r="R38" i="191"/>
  <c r="R42" i="191"/>
  <c r="R46" i="191"/>
  <c r="R21" i="191"/>
  <c r="R26" i="191"/>
  <c r="R39" i="191"/>
  <c r="R43" i="191"/>
  <c r="R114" i="191"/>
  <c r="R115" i="191"/>
  <c r="R113" i="191"/>
  <c r="R20" i="191"/>
  <c r="O82" i="192"/>
  <c r="O74" i="192"/>
  <c r="O85" i="192"/>
  <c r="O69" i="192"/>
  <c r="O61" i="192"/>
  <c r="O60" i="192"/>
  <c r="O53" i="192"/>
  <c r="N80" i="192"/>
  <c r="N93" i="192"/>
  <c r="N94" i="192"/>
  <c r="N82" i="192"/>
  <c r="N95" i="192"/>
  <c r="P21" i="192"/>
  <c r="P23" i="192"/>
  <c r="P27" i="192"/>
  <c r="P36" i="192"/>
  <c r="P40" i="192"/>
  <c r="P44" i="192"/>
  <c r="P24" i="192"/>
  <c r="P32" i="192"/>
  <c r="P37" i="192"/>
  <c r="P41" i="192"/>
  <c r="P45" i="192"/>
  <c r="P25" i="192"/>
  <c r="P38" i="192"/>
  <c r="P42" i="192"/>
  <c r="P26" i="192"/>
  <c r="P28" i="192"/>
  <c r="P39" i="192"/>
  <c r="P43" i="192"/>
  <c r="P46" i="192"/>
  <c r="P115" i="192"/>
  <c r="P113" i="192"/>
  <c r="P114" i="192"/>
  <c r="P20" i="192"/>
  <c r="I116" i="198"/>
  <c r="J116" i="198"/>
  <c r="J111" i="198"/>
  <c r="N69" i="192"/>
  <c r="N84" i="192"/>
  <c r="N81" i="192"/>
  <c r="N97" i="192"/>
  <c r="L111" i="192"/>
  <c r="K116" i="192"/>
  <c r="L116" i="192"/>
  <c r="N83" i="192"/>
  <c r="N96" i="192"/>
  <c r="S28" i="191"/>
  <c r="S19" i="192"/>
  <c r="L112" i="192"/>
  <c r="K112" i="198"/>
  <c r="L112" i="198"/>
  <c r="O97" i="192"/>
  <c r="O80" i="192"/>
  <c r="O72" i="192"/>
  <c r="O83" i="192"/>
  <c r="O111" i="191"/>
  <c r="O59" i="192"/>
  <c r="O58" i="192"/>
  <c r="L52" i="198"/>
  <c r="N59" i="192"/>
  <c r="P19" i="192"/>
  <c r="N52" i="192"/>
  <c r="M113" i="198"/>
  <c r="N113" i="198"/>
  <c r="N62" i="192"/>
  <c r="O96" i="192"/>
  <c r="O95" i="192"/>
  <c r="O94" i="192"/>
  <c r="O89" i="192"/>
  <c r="O81" i="192"/>
  <c r="O73" i="192"/>
  <c r="O57" i="192"/>
  <c r="O52" i="192"/>
  <c r="N57" i="192"/>
  <c r="N72" i="192"/>
  <c r="N85" i="192"/>
  <c r="S20" i="198"/>
  <c r="N84" i="198"/>
  <c r="M115" i="198"/>
  <c r="N115" i="198"/>
  <c r="P63" i="177"/>
  <c r="N99" i="162"/>
  <c r="N99" i="177"/>
  <c r="N98" i="162"/>
  <c r="N98" i="177"/>
  <c r="N78" i="162"/>
  <c r="N78" i="177"/>
  <c r="N77" i="162"/>
  <c r="N77" i="177"/>
  <c r="N86" i="162"/>
  <c r="N86" i="177"/>
  <c r="N76" i="162"/>
  <c r="N76" i="177"/>
  <c r="N104" i="162"/>
  <c r="N104" i="177"/>
  <c r="N66" i="162"/>
  <c r="N66" i="177"/>
  <c r="N70" i="162"/>
  <c r="N70" i="177"/>
  <c r="N67" i="162"/>
  <c r="N67" i="177"/>
  <c r="N68" i="162"/>
  <c r="N68" i="177"/>
  <c r="N54" i="162"/>
  <c r="N65" i="162"/>
  <c r="N65" i="177"/>
  <c r="N75" i="162"/>
  <c r="N75" i="177"/>
  <c r="N92" i="162"/>
  <c r="N92" i="177"/>
  <c r="N90" i="162"/>
  <c r="N90" i="177"/>
  <c r="N56" i="162"/>
  <c r="N56" i="177"/>
  <c r="N88" i="162"/>
  <c r="N88" i="177"/>
  <c r="L54" i="177"/>
  <c r="K105" i="177"/>
  <c r="N100" i="162"/>
  <c r="N100" i="177"/>
  <c r="N64" i="162"/>
  <c r="N64" i="177"/>
  <c r="J105" i="177"/>
  <c r="I107" i="177"/>
  <c r="J107" i="177"/>
  <c r="G107" i="162"/>
  <c r="H107" i="162"/>
  <c r="L102" i="191"/>
  <c r="L102" i="162"/>
  <c r="P103" i="162"/>
  <c r="P63" i="162"/>
  <c r="T95" i="191"/>
  <c r="T89" i="191"/>
  <c r="T83" i="191"/>
  <c r="T79" i="191"/>
  <c r="T71" i="191"/>
  <c r="T60" i="191"/>
  <c r="T57" i="191"/>
  <c r="T93" i="191"/>
  <c r="T62" i="191"/>
  <c r="T91" i="191"/>
  <c r="T84" i="191"/>
  <c r="T94" i="191"/>
  <c r="T87" i="191"/>
  <c r="T82" i="191"/>
  <c r="T74" i="191"/>
  <c r="T69" i="191"/>
  <c r="T53" i="191"/>
  <c r="T85" i="191"/>
  <c r="T81" i="191"/>
  <c r="T73" i="191"/>
  <c r="T52" i="191"/>
  <c r="T96" i="191"/>
  <c r="T72" i="191"/>
  <c r="T61" i="191"/>
  <c r="T80" i="191"/>
  <c r="T58" i="191"/>
  <c r="T97" i="191"/>
  <c r="T59" i="191"/>
  <c r="P97" i="198"/>
  <c r="P87" i="198"/>
  <c r="P94" i="198"/>
  <c r="P95" i="198"/>
  <c r="P72" i="198"/>
  <c r="P61" i="198"/>
  <c r="P81" i="198"/>
  <c r="P96" i="198"/>
  <c r="P80" i="198"/>
  <c r="P69" i="198"/>
  <c r="P79" i="198"/>
  <c r="P93" i="198"/>
  <c r="P83" i="198"/>
  <c r="P60" i="198"/>
  <c r="P74" i="198"/>
  <c r="P89" i="198"/>
  <c r="P85" i="198"/>
  <c r="P57" i="198"/>
  <c r="P73" i="198"/>
  <c r="P58" i="198"/>
  <c r="P82" i="198"/>
  <c r="P71" i="198"/>
  <c r="P91" i="198"/>
  <c r="L102" i="159"/>
  <c r="L102" i="167"/>
  <c r="L102" i="179"/>
  <c r="I102" i="195"/>
  <c r="J102" i="195"/>
  <c r="L102" i="198"/>
  <c r="L102" i="164"/>
  <c r="L102" i="175"/>
  <c r="L102" i="190"/>
  <c r="L102" i="161"/>
  <c r="L102" i="165"/>
  <c r="L102" i="181"/>
  <c r="L102" i="188"/>
  <c r="P59" i="198"/>
  <c r="P63" i="190"/>
  <c r="M63" i="195"/>
  <c r="N63" i="195"/>
  <c r="L102" i="158"/>
  <c r="L102" i="169"/>
  <c r="L102" i="184"/>
  <c r="L102" i="187"/>
  <c r="L102" i="176"/>
  <c r="L102" i="186"/>
  <c r="L102" i="189"/>
  <c r="L102" i="194"/>
  <c r="L102" i="15"/>
  <c r="L102" i="170"/>
  <c r="L102" i="172"/>
  <c r="L102" i="180"/>
  <c r="I102" i="192"/>
  <c r="J102" i="192"/>
  <c r="N102" i="177"/>
  <c r="N102" i="197"/>
  <c r="M105" i="197"/>
  <c r="L102" i="163"/>
  <c r="L102" i="178"/>
  <c r="L102" i="173"/>
  <c r="L102" i="168"/>
  <c r="L102" i="174"/>
  <c r="L102" i="185"/>
  <c r="L102" i="183"/>
  <c r="K107" i="197"/>
  <c r="L107" i="197"/>
  <c r="L105" i="197"/>
  <c r="P63" i="15"/>
  <c r="P63" i="170"/>
  <c r="P63" i="174"/>
  <c r="P63" i="186"/>
  <c r="P63" i="183"/>
  <c r="P63" i="184"/>
  <c r="P63" i="159"/>
  <c r="P63" i="187"/>
  <c r="P63" i="167"/>
  <c r="P63" i="173"/>
  <c r="P63" i="179"/>
  <c r="P63" i="189"/>
  <c r="P63" i="163"/>
  <c r="P63" i="165"/>
  <c r="P63" i="181"/>
  <c r="P63" i="176"/>
  <c r="P63" i="180"/>
  <c r="P63" i="194"/>
  <c r="P63" i="118"/>
  <c r="P63" i="161"/>
  <c r="P63" i="178"/>
  <c r="P63" i="191"/>
  <c r="P63" i="188"/>
  <c r="P63" i="193"/>
  <c r="N63" i="193"/>
  <c r="N75" i="198"/>
  <c r="N75" i="194"/>
  <c r="N75" i="187"/>
  <c r="N75" i="184"/>
  <c r="N75" i="191"/>
  <c r="N75" i="190"/>
  <c r="N75" i="188"/>
  <c r="N75" i="173"/>
  <c r="N75" i="189"/>
  <c r="N75" i="185"/>
  <c r="N75" i="168"/>
  <c r="N75" i="167"/>
  <c r="N75" i="165"/>
  <c r="N75" i="164"/>
  <c r="N75" i="181"/>
  <c r="N75" i="179"/>
  <c r="N75" i="178"/>
  <c r="N75" i="176"/>
  <c r="N75" i="174"/>
  <c r="N75" i="170"/>
  <c r="N75" i="172"/>
  <c r="N75" i="169"/>
  <c r="N75" i="180"/>
  <c r="N75" i="186"/>
  <c r="N75" i="183"/>
  <c r="N75" i="175"/>
  <c r="N75" i="161"/>
  <c r="N75" i="159"/>
  <c r="N75" i="158"/>
  <c r="N75" i="163"/>
  <c r="N75" i="118"/>
  <c r="N77" i="198"/>
  <c r="N77" i="194"/>
  <c r="N77" i="187"/>
  <c r="N77" i="186"/>
  <c r="N77" i="184"/>
  <c r="N77" i="190"/>
  <c r="N77" i="188"/>
  <c r="N77" i="173"/>
  <c r="N77" i="185"/>
  <c r="N77" i="168"/>
  <c r="N77" i="167"/>
  <c r="N77" i="165"/>
  <c r="N77" i="181"/>
  <c r="N77" i="179"/>
  <c r="N77" i="178"/>
  <c r="N77" i="176"/>
  <c r="N77" i="174"/>
  <c r="N77" i="164"/>
  <c r="N77" i="191"/>
  <c r="N77" i="189"/>
  <c r="N77" i="183"/>
  <c r="N77" i="175"/>
  <c r="N77" i="172"/>
  <c r="N77" i="169"/>
  <c r="N77" i="170"/>
  <c r="N77" i="180"/>
  <c r="N77" i="161"/>
  <c r="N77" i="163"/>
  <c r="N77" i="159"/>
  <c r="N77" i="158"/>
  <c r="N77" i="118"/>
  <c r="N86" i="198"/>
  <c r="N86" i="194"/>
  <c r="N86" i="187"/>
  <c r="N86" i="186"/>
  <c r="N86" i="184"/>
  <c r="N86" i="191"/>
  <c r="N86" i="190"/>
  <c r="N86" i="188"/>
  <c r="N86" i="173"/>
  <c r="N86" i="185"/>
  <c r="N86" i="168"/>
  <c r="N86" i="167"/>
  <c r="N86" i="165"/>
  <c r="N86" i="181"/>
  <c r="N86" i="179"/>
  <c r="N86" i="178"/>
  <c r="N86" i="176"/>
  <c r="N86" i="174"/>
  <c r="N86" i="180"/>
  <c r="N86" i="172"/>
  <c r="N86" i="189"/>
  <c r="N86" i="183"/>
  <c r="N86" i="175"/>
  <c r="N86" i="169"/>
  <c r="N86" i="164"/>
  <c r="N86" i="170"/>
  <c r="N86" i="161"/>
  <c r="N86" i="159"/>
  <c r="N86" i="158"/>
  <c r="N86" i="163"/>
  <c r="N86" i="118"/>
  <c r="L68" i="15"/>
  <c r="K68" i="192"/>
  <c r="L68" i="192"/>
  <c r="L68" i="193"/>
  <c r="K68" i="195"/>
  <c r="L68" i="195"/>
  <c r="L56" i="193"/>
  <c r="K56" i="195"/>
  <c r="L56" i="195"/>
  <c r="L70" i="193"/>
  <c r="K70" i="195"/>
  <c r="L70" i="195"/>
  <c r="L103" i="193"/>
  <c r="K103" i="195"/>
  <c r="L103" i="195"/>
  <c r="L90" i="15"/>
  <c r="K90" i="192"/>
  <c r="L90" i="192"/>
  <c r="L77" i="193"/>
  <c r="K77" i="195"/>
  <c r="L77" i="195"/>
  <c r="L104" i="193"/>
  <c r="K104" i="195"/>
  <c r="L104" i="195"/>
  <c r="L98" i="193"/>
  <c r="K98" i="195"/>
  <c r="L98" i="195"/>
  <c r="L78" i="15"/>
  <c r="K78" i="192"/>
  <c r="L78" i="192"/>
  <c r="N78" i="198"/>
  <c r="N78" i="194"/>
  <c r="N78" i="189"/>
  <c r="N78" i="170"/>
  <c r="N78" i="164"/>
  <c r="N78" i="190"/>
  <c r="N78" i="188"/>
  <c r="N78" i="184"/>
  <c r="N78" i="168"/>
  <c r="N78" i="167"/>
  <c r="N78" i="165"/>
  <c r="N78" i="187"/>
  <c r="N78" i="183"/>
  <c r="N78" i="180"/>
  <c r="N78" i="175"/>
  <c r="N78" i="174"/>
  <c r="N78" i="186"/>
  <c r="N78" i="178"/>
  <c r="N78" i="172"/>
  <c r="N78" i="191"/>
  <c r="N78" i="179"/>
  <c r="N78" i="169"/>
  <c r="N78" i="185"/>
  <c r="N78" i="181"/>
  <c r="N78" i="173"/>
  <c r="N78" i="176"/>
  <c r="N78" i="161"/>
  <c r="N78" i="159"/>
  <c r="N78" i="158"/>
  <c r="N78" i="163"/>
  <c r="N78" i="118"/>
  <c r="N103" i="198"/>
  <c r="N103" i="194"/>
  <c r="N103" i="189"/>
  <c r="N103" i="187"/>
  <c r="N103" i="170"/>
  <c r="N103" i="164"/>
  <c r="N103" i="188"/>
  <c r="N103" i="168"/>
  <c r="N103" i="167"/>
  <c r="N103" i="165"/>
  <c r="N103" i="184"/>
  <c r="N103" i="183"/>
  <c r="N103" i="180"/>
  <c r="N103" i="175"/>
  <c r="N103" i="190"/>
  <c r="N103" i="178"/>
  <c r="N103" i="173"/>
  <c r="N103" i="172"/>
  <c r="N103" i="191"/>
  <c r="N103" i="179"/>
  <c r="N103" i="169"/>
  <c r="N103" i="185"/>
  <c r="N103" i="181"/>
  <c r="N103" i="174"/>
  <c r="N103" i="186"/>
  <c r="N103" i="176"/>
  <c r="N103" i="161"/>
  <c r="N103" i="159"/>
  <c r="N103" i="158"/>
  <c r="N103" i="163"/>
  <c r="N70" i="198"/>
  <c r="N70" i="194"/>
  <c r="N70" i="189"/>
  <c r="N70" i="170"/>
  <c r="N70" i="164"/>
  <c r="N70" i="186"/>
  <c r="N70" i="168"/>
  <c r="N70" i="167"/>
  <c r="N70" i="165"/>
  <c r="N70" i="187"/>
  <c r="N70" i="183"/>
  <c r="N70" i="180"/>
  <c r="N70" i="175"/>
  <c r="N70" i="174"/>
  <c r="N70" i="173"/>
  <c r="N70" i="185"/>
  <c r="N70" i="184"/>
  <c r="N70" i="181"/>
  <c r="N70" i="172"/>
  <c r="N70" i="191"/>
  <c r="N70" i="188"/>
  <c r="N70" i="176"/>
  <c r="N70" i="169"/>
  <c r="N70" i="190"/>
  <c r="N70" i="178"/>
  <c r="N70" i="179"/>
  <c r="N70" i="161"/>
  <c r="N70" i="159"/>
  <c r="N70" i="158"/>
  <c r="N70" i="118"/>
  <c r="N70" i="163"/>
  <c r="N67" i="198"/>
  <c r="N67" i="194"/>
  <c r="N67" i="187"/>
  <c r="N67" i="191"/>
  <c r="N67" i="189"/>
  <c r="N67" i="184"/>
  <c r="N67" i="170"/>
  <c r="N67" i="164"/>
  <c r="N67" i="186"/>
  <c r="N67" i="173"/>
  <c r="N67" i="168"/>
  <c r="N67" i="167"/>
  <c r="N67" i="165"/>
  <c r="N67" i="183"/>
  <c r="N67" i="180"/>
  <c r="N67" i="175"/>
  <c r="N67" i="174"/>
  <c r="N67" i="188"/>
  <c r="N67" i="176"/>
  <c r="N67" i="172"/>
  <c r="N67" i="190"/>
  <c r="N67" i="178"/>
  <c r="N67" i="169"/>
  <c r="N67" i="179"/>
  <c r="N67" i="185"/>
  <c r="N67" i="181"/>
  <c r="N67" i="163"/>
  <c r="N67" i="159"/>
  <c r="N67" i="158"/>
  <c r="N67" i="161"/>
  <c r="N67" i="118"/>
  <c r="N76" i="198"/>
  <c r="N76" i="194"/>
  <c r="N76" i="191"/>
  <c r="N76" i="189"/>
  <c r="N76" i="186"/>
  <c r="N76" i="170"/>
  <c r="N76" i="164"/>
  <c r="N76" i="168"/>
  <c r="N76" i="167"/>
  <c r="N76" i="165"/>
  <c r="N76" i="190"/>
  <c r="N76" i="188"/>
  <c r="N76" i="187"/>
  <c r="N76" i="183"/>
  <c r="N76" i="180"/>
  <c r="N76" i="175"/>
  <c r="N76" i="174"/>
  <c r="N76" i="179"/>
  <c r="N76" i="172"/>
  <c r="N76" i="185"/>
  <c r="N76" i="181"/>
  <c r="N76" i="173"/>
  <c r="N76" i="169"/>
  <c r="N76" i="176"/>
  <c r="N76" i="184"/>
  <c r="N76" i="178"/>
  <c r="N76" i="163"/>
  <c r="N76" i="161"/>
  <c r="N76" i="159"/>
  <c r="N76" i="158"/>
  <c r="N76" i="118"/>
  <c r="P63" i="158"/>
  <c r="P63" i="168"/>
  <c r="P63" i="172"/>
  <c r="P63" i="175"/>
  <c r="P63" i="164"/>
  <c r="P63" i="169"/>
  <c r="P63" i="185"/>
  <c r="M63" i="192"/>
  <c r="N63" i="192"/>
  <c r="L76" i="15"/>
  <c r="K76" i="192"/>
  <c r="L76" i="192"/>
  <c r="L67" i="15"/>
  <c r="K67" i="192"/>
  <c r="L67" i="192"/>
  <c r="L66" i="15"/>
  <c r="K66" i="192"/>
  <c r="L66" i="192"/>
  <c r="L64" i="193"/>
  <c r="K64" i="195"/>
  <c r="L64" i="195"/>
  <c r="L54" i="193"/>
  <c r="K54" i="195"/>
  <c r="L54" i="195"/>
  <c r="N88" i="198"/>
  <c r="N88" i="194"/>
  <c r="N88" i="187"/>
  <c r="N88" i="186"/>
  <c r="N88" i="191"/>
  <c r="N88" i="189"/>
  <c r="N88" i="184"/>
  <c r="N88" i="170"/>
  <c r="N88" i="164"/>
  <c r="N88" i="173"/>
  <c r="N88" i="168"/>
  <c r="N88" i="167"/>
  <c r="N88" i="165"/>
  <c r="N88" i="183"/>
  <c r="N88" i="180"/>
  <c r="N88" i="175"/>
  <c r="N88" i="174"/>
  <c r="N88" i="176"/>
  <c r="N88" i="172"/>
  <c r="N88" i="178"/>
  <c r="N88" i="169"/>
  <c r="N88" i="188"/>
  <c r="N88" i="179"/>
  <c r="N88" i="190"/>
  <c r="N88" i="185"/>
  <c r="N88" i="181"/>
  <c r="N88" i="163"/>
  <c r="N88" i="159"/>
  <c r="N88" i="158"/>
  <c r="N88" i="161"/>
  <c r="N88" i="118"/>
  <c r="L76" i="193"/>
  <c r="K76" i="195"/>
  <c r="L76" i="195"/>
  <c r="L67" i="193"/>
  <c r="K67" i="195"/>
  <c r="L67" i="195"/>
  <c r="L103" i="15"/>
  <c r="K103" i="192"/>
  <c r="L103" i="192"/>
  <c r="N65" i="198"/>
  <c r="N65" i="194"/>
  <c r="N65" i="189"/>
  <c r="N65" i="170"/>
  <c r="N65" i="164"/>
  <c r="N65" i="190"/>
  <c r="N65" i="188"/>
  <c r="N65" i="186"/>
  <c r="N65" i="168"/>
  <c r="N65" i="167"/>
  <c r="N65" i="165"/>
  <c r="N65" i="187"/>
  <c r="N65" i="183"/>
  <c r="N65" i="180"/>
  <c r="N65" i="175"/>
  <c r="N65" i="174"/>
  <c r="N65" i="178"/>
  <c r="N65" i="173"/>
  <c r="N65" i="172"/>
  <c r="N65" i="191"/>
  <c r="N65" i="179"/>
  <c r="N65" i="169"/>
  <c r="N65" i="185"/>
  <c r="N65" i="181"/>
  <c r="N65" i="184"/>
  <c r="N65" i="176"/>
  <c r="N65" i="161"/>
  <c r="N65" i="159"/>
  <c r="N65" i="158"/>
  <c r="N65" i="163"/>
  <c r="N65" i="118"/>
  <c r="N68" i="198"/>
  <c r="N68" i="194"/>
  <c r="N68" i="187"/>
  <c r="N68" i="184"/>
  <c r="N68" i="190"/>
  <c r="N68" i="188"/>
  <c r="N68" i="173"/>
  <c r="N68" i="185"/>
  <c r="N68" i="170"/>
  <c r="N68" i="168"/>
  <c r="N68" i="167"/>
  <c r="N68" i="165"/>
  <c r="N68" i="189"/>
  <c r="N68" i="181"/>
  <c r="N68" i="179"/>
  <c r="N68" i="178"/>
  <c r="N68" i="176"/>
  <c r="N68" i="174"/>
  <c r="N68" i="191"/>
  <c r="N68" i="172"/>
  <c r="N68" i="180"/>
  <c r="N68" i="169"/>
  <c r="N68" i="164"/>
  <c r="N68" i="186"/>
  <c r="N68" i="183"/>
  <c r="N68" i="175"/>
  <c r="N68" i="161"/>
  <c r="N68" i="118"/>
  <c r="N68" i="163"/>
  <c r="N68" i="159"/>
  <c r="N68" i="158"/>
  <c r="L65" i="15"/>
  <c r="K65" i="192"/>
  <c r="L65" i="192"/>
  <c r="L92" i="15"/>
  <c r="K92" i="192"/>
  <c r="L92" i="192"/>
  <c r="L86" i="15"/>
  <c r="K86" i="192"/>
  <c r="L86" i="192"/>
  <c r="L66" i="193"/>
  <c r="K66" i="195"/>
  <c r="L66" i="195"/>
  <c r="L90" i="193"/>
  <c r="K90" i="195"/>
  <c r="L90" i="195"/>
  <c r="L75" i="193"/>
  <c r="K75" i="195"/>
  <c r="L75" i="195"/>
  <c r="L88" i="193"/>
  <c r="K88" i="195"/>
  <c r="L88" i="195"/>
  <c r="L77" i="15"/>
  <c r="K77" i="192"/>
  <c r="L77" i="192"/>
  <c r="L78" i="193"/>
  <c r="K78" i="195"/>
  <c r="L78" i="195"/>
  <c r="N92" i="198"/>
  <c r="N92" i="194"/>
  <c r="N92" i="189"/>
  <c r="N92" i="186"/>
  <c r="N92" i="170"/>
  <c r="N92" i="164"/>
  <c r="N92" i="168"/>
  <c r="N92" i="167"/>
  <c r="N92" i="165"/>
  <c r="N92" i="187"/>
  <c r="N92" i="183"/>
  <c r="N92" i="180"/>
  <c r="N92" i="175"/>
  <c r="N92" i="173"/>
  <c r="N92" i="190"/>
  <c r="N92" i="185"/>
  <c r="N92" i="181"/>
  <c r="N92" i="174"/>
  <c r="N92" i="172"/>
  <c r="N92" i="191"/>
  <c r="N92" i="176"/>
  <c r="N92" i="169"/>
  <c r="N92" i="184"/>
  <c r="N92" i="178"/>
  <c r="N92" i="188"/>
  <c r="N92" i="179"/>
  <c r="N92" i="161"/>
  <c r="N92" i="159"/>
  <c r="N92" i="158"/>
  <c r="N92" i="163"/>
  <c r="N92" i="118"/>
  <c r="L86" i="193"/>
  <c r="K86" i="195"/>
  <c r="L86" i="195"/>
  <c r="L100" i="15"/>
  <c r="K100" i="192"/>
  <c r="L100" i="192"/>
  <c r="L100" i="193"/>
  <c r="K100" i="195"/>
  <c r="L100" i="195"/>
  <c r="N104" i="198"/>
  <c r="N104" i="194"/>
  <c r="N104" i="187"/>
  <c r="N104" i="186"/>
  <c r="N104" i="184"/>
  <c r="N104" i="191"/>
  <c r="N104" i="188"/>
  <c r="N104" i="173"/>
  <c r="N104" i="185"/>
  <c r="N104" i="168"/>
  <c r="N104" i="167"/>
  <c r="N104" i="165"/>
  <c r="N104" i="181"/>
  <c r="N104" i="179"/>
  <c r="N104" i="178"/>
  <c r="N104" i="176"/>
  <c r="N104" i="174"/>
  <c r="N104" i="180"/>
  <c r="N104" i="172"/>
  <c r="N104" i="164"/>
  <c r="N104" i="190"/>
  <c r="N104" i="183"/>
  <c r="N104" i="175"/>
  <c r="N104" i="170"/>
  <c r="N104" i="169"/>
  <c r="N104" i="189"/>
  <c r="N104" i="163"/>
  <c r="N104" i="161"/>
  <c r="N104" i="158"/>
  <c r="N104" i="159"/>
  <c r="N54" i="198"/>
  <c r="N54" i="194"/>
  <c r="N54" i="189"/>
  <c r="N54" i="187"/>
  <c r="N54" i="191"/>
  <c r="N54" i="188"/>
  <c r="N54" i="172"/>
  <c r="N54" i="165"/>
  <c r="N54" i="174"/>
  <c r="N54" i="169"/>
  <c r="N54" i="168"/>
  <c r="N54" i="167"/>
  <c r="N54" i="164"/>
  <c r="N54" i="184"/>
  <c r="N54" i="181"/>
  <c r="N54" i="176"/>
  <c r="N54" i="190"/>
  <c r="N54" i="178"/>
  <c r="N54" i="173"/>
  <c r="N54" i="179"/>
  <c r="N54" i="170"/>
  <c r="N54" i="185"/>
  <c r="N54" i="180"/>
  <c r="N54" i="186"/>
  <c r="N54" i="183"/>
  <c r="N54" i="175"/>
  <c r="N54" i="161"/>
  <c r="N54" i="159"/>
  <c r="N54" i="158"/>
  <c r="N54" i="163"/>
  <c r="N54" i="118"/>
  <c r="N100" i="198"/>
  <c r="N100" i="194"/>
  <c r="N100" i="191"/>
  <c r="N100" i="190"/>
  <c r="N100" i="189"/>
  <c r="N100" i="170"/>
  <c r="N100" i="164"/>
  <c r="N100" i="184"/>
  <c r="N100" i="168"/>
  <c r="N100" i="167"/>
  <c r="N100" i="165"/>
  <c r="N100" i="188"/>
  <c r="N100" i="187"/>
  <c r="N100" i="183"/>
  <c r="N100" i="180"/>
  <c r="N100" i="175"/>
  <c r="N100" i="179"/>
  <c r="N100" i="172"/>
  <c r="N100" i="186"/>
  <c r="N100" i="185"/>
  <c r="N100" i="181"/>
  <c r="N100" i="174"/>
  <c r="N100" i="169"/>
  <c r="N100" i="176"/>
  <c r="N100" i="178"/>
  <c r="N100" i="173"/>
  <c r="N100" i="163"/>
  <c r="N100" i="159"/>
  <c r="N100" i="158"/>
  <c r="N100" i="161"/>
  <c r="N66" i="198"/>
  <c r="N66" i="194"/>
  <c r="N66" i="187"/>
  <c r="N66" i="184"/>
  <c r="N66" i="191"/>
  <c r="N66" i="190"/>
  <c r="N66" i="188"/>
  <c r="N66" i="173"/>
  <c r="N66" i="185"/>
  <c r="N66" i="168"/>
  <c r="N66" i="167"/>
  <c r="N66" i="165"/>
  <c r="N66" i="181"/>
  <c r="N66" i="179"/>
  <c r="N66" i="178"/>
  <c r="N66" i="176"/>
  <c r="N66" i="174"/>
  <c r="N66" i="180"/>
  <c r="N66" i="172"/>
  <c r="N66" i="164"/>
  <c r="N66" i="186"/>
  <c r="N66" i="183"/>
  <c r="N66" i="175"/>
  <c r="N66" i="170"/>
  <c r="N66" i="169"/>
  <c r="N66" i="189"/>
  <c r="N66" i="161"/>
  <c r="N66" i="159"/>
  <c r="N66" i="158"/>
  <c r="N66" i="163"/>
  <c r="N66" i="118"/>
  <c r="N90" i="198"/>
  <c r="N90" i="194"/>
  <c r="N90" i="187"/>
  <c r="N90" i="186"/>
  <c r="N90" i="184"/>
  <c r="N90" i="190"/>
  <c r="N90" i="188"/>
  <c r="N90" i="173"/>
  <c r="N90" i="185"/>
  <c r="N90" i="170"/>
  <c r="N90" i="168"/>
  <c r="N90" i="167"/>
  <c r="N90" i="165"/>
  <c r="N90" i="189"/>
  <c r="N90" i="181"/>
  <c r="N90" i="179"/>
  <c r="N90" i="178"/>
  <c r="N90" i="176"/>
  <c r="N90" i="174"/>
  <c r="N90" i="191"/>
  <c r="N90" i="172"/>
  <c r="N90" i="180"/>
  <c r="N90" i="169"/>
  <c r="N90" i="183"/>
  <c r="N90" i="175"/>
  <c r="N90" i="164"/>
  <c r="N90" i="159"/>
  <c r="N90" i="158"/>
  <c r="N90" i="163"/>
  <c r="N90" i="118"/>
  <c r="N90" i="161"/>
  <c r="N56" i="198"/>
  <c r="N56" i="194"/>
  <c r="N56" i="191"/>
  <c r="N56" i="189"/>
  <c r="N56" i="170"/>
  <c r="N56" i="164"/>
  <c r="N56" i="186"/>
  <c r="N56" i="168"/>
  <c r="N56" i="167"/>
  <c r="N56" i="165"/>
  <c r="N56" i="190"/>
  <c r="N56" i="188"/>
  <c r="N56" i="187"/>
  <c r="N56" i="183"/>
  <c r="N56" i="180"/>
  <c r="N56" i="175"/>
  <c r="N56" i="174"/>
  <c r="N56" i="184"/>
  <c r="N56" i="179"/>
  <c r="N56" i="172"/>
  <c r="N56" i="185"/>
  <c r="N56" i="181"/>
  <c r="N56" i="169"/>
  <c r="N56" i="176"/>
  <c r="N56" i="178"/>
  <c r="N56" i="173"/>
  <c r="N56" i="161"/>
  <c r="N56" i="159"/>
  <c r="N56" i="158"/>
  <c r="N56" i="163"/>
  <c r="N56" i="118"/>
  <c r="N98" i="198"/>
  <c r="N98" i="194"/>
  <c r="N98" i="187"/>
  <c r="N98" i="186"/>
  <c r="N98" i="184"/>
  <c r="N98" i="191"/>
  <c r="N98" i="188"/>
  <c r="N98" i="173"/>
  <c r="N98" i="189"/>
  <c r="N98" i="185"/>
  <c r="N98" i="168"/>
  <c r="N98" i="167"/>
  <c r="N98" i="165"/>
  <c r="N98" i="164"/>
  <c r="N98" i="181"/>
  <c r="N98" i="179"/>
  <c r="N98" i="178"/>
  <c r="N98" i="176"/>
  <c r="N98" i="174"/>
  <c r="N98" i="170"/>
  <c r="N98" i="172"/>
  <c r="N98" i="190"/>
  <c r="N98" i="169"/>
  <c r="N98" i="180"/>
  <c r="N98" i="183"/>
  <c r="N98" i="175"/>
  <c r="N98" i="163"/>
  <c r="N98" i="161"/>
  <c r="N98" i="159"/>
  <c r="N98" i="158"/>
  <c r="N98" i="118"/>
  <c r="N64" i="198"/>
  <c r="N64" i="194"/>
  <c r="N64" i="187"/>
  <c r="N64" i="184"/>
  <c r="N64" i="190"/>
  <c r="N64" i="188"/>
  <c r="N64" i="173"/>
  <c r="N64" i="185"/>
  <c r="N64" i="168"/>
  <c r="N64" i="167"/>
  <c r="N64" i="165"/>
  <c r="N64" i="181"/>
  <c r="N64" i="179"/>
  <c r="N64" i="178"/>
  <c r="N64" i="176"/>
  <c r="N64" i="174"/>
  <c r="N64" i="164"/>
  <c r="N64" i="191"/>
  <c r="N64" i="186"/>
  <c r="N64" i="183"/>
  <c r="N64" i="175"/>
  <c r="N64" i="172"/>
  <c r="N64" i="170"/>
  <c r="N64" i="169"/>
  <c r="N64" i="189"/>
  <c r="N64" i="180"/>
  <c r="N64" i="161"/>
  <c r="N64" i="163"/>
  <c r="N64" i="159"/>
  <c r="N64" i="118"/>
  <c r="N64" i="158"/>
  <c r="L65" i="193"/>
  <c r="K65" i="195"/>
  <c r="L65" i="195"/>
  <c r="L92" i="193"/>
  <c r="K92" i="195"/>
  <c r="L92" i="195"/>
  <c r="L56" i="15"/>
  <c r="K56" i="192"/>
  <c r="L56" i="192"/>
  <c r="L70" i="15"/>
  <c r="K70" i="192"/>
  <c r="L70" i="192"/>
  <c r="L64" i="15"/>
  <c r="K64" i="192"/>
  <c r="L64" i="192"/>
  <c r="L75" i="15"/>
  <c r="K75" i="192"/>
  <c r="L75" i="192"/>
  <c r="L88" i="15"/>
  <c r="K88" i="192"/>
  <c r="L88" i="192"/>
  <c r="L54" i="15"/>
  <c r="K54" i="192"/>
  <c r="L54" i="192"/>
  <c r="L104" i="15"/>
  <c r="K104" i="192"/>
  <c r="L104" i="192"/>
  <c r="L98" i="15"/>
  <c r="K98" i="192"/>
  <c r="L98" i="192"/>
  <c r="L99" i="193"/>
  <c r="K99" i="195"/>
  <c r="L99" i="195"/>
  <c r="N99" i="198"/>
  <c r="N99" i="194"/>
  <c r="N99" i="190"/>
  <c r="N99" i="186"/>
  <c r="N99" i="191"/>
  <c r="N99" i="187"/>
  <c r="N99" i="183"/>
  <c r="N99" i="180"/>
  <c r="N99" i="178"/>
  <c r="N99" i="175"/>
  <c r="N99" i="173"/>
  <c r="N99" i="170"/>
  <c r="N99" i="168"/>
  <c r="N99" i="165"/>
  <c r="N99" i="185"/>
  <c r="N99" i="184"/>
  <c r="N99" i="181"/>
  <c r="N99" i="179"/>
  <c r="N99" i="176"/>
  <c r="N99" i="174"/>
  <c r="N99" i="172"/>
  <c r="N99" i="169"/>
  <c r="N99" i="167"/>
  <c r="N99" i="164"/>
  <c r="N99" i="188"/>
  <c r="N99" i="189"/>
  <c r="N99" i="163"/>
  <c r="N99" i="159"/>
  <c r="N99" i="158"/>
  <c r="N99" i="118"/>
  <c r="N99" i="161"/>
  <c r="L99" i="15"/>
  <c r="K99" i="192"/>
  <c r="L99" i="192"/>
  <c r="T19" i="191"/>
  <c r="P62" i="198"/>
  <c r="P19" i="198"/>
  <c r="O114" i="198"/>
  <c r="P114" i="198"/>
  <c r="P63" i="198"/>
  <c r="P53" i="198"/>
  <c r="P57" i="192"/>
  <c r="P81" i="192"/>
  <c r="N52" i="198"/>
  <c r="P53" i="192"/>
  <c r="P69" i="192"/>
  <c r="P85" i="192"/>
  <c r="P82" i="192"/>
  <c r="Q89" i="192"/>
  <c r="Q81" i="192"/>
  <c r="Q80" i="192"/>
  <c r="Q73" i="192"/>
  <c r="Q58" i="192"/>
  <c r="Q69" i="192"/>
  <c r="Q61" i="192"/>
  <c r="Q53" i="192"/>
  <c r="N112" i="192"/>
  <c r="M112" i="198"/>
  <c r="N112" i="198"/>
  <c r="P89" i="192"/>
  <c r="P95" i="192"/>
  <c r="P96" i="192"/>
  <c r="P83" i="192"/>
  <c r="P80" i="192"/>
  <c r="P97" i="192"/>
  <c r="S28" i="192"/>
  <c r="S19" i="198"/>
  <c r="L111" i="198"/>
  <c r="K116" i="198"/>
  <c r="L116" i="198"/>
  <c r="Q97" i="192"/>
  <c r="Q96" i="192"/>
  <c r="Q87" i="192"/>
  <c r="Q79" i="192"/>
  <c r="Q72" i="192"/>
  <c r="Q111" i="191"/>
  <c r="Q59" i="192"/>
  <c r="Q52" i="192"/>
  <c r="M116" i="192"/>
  <c r="N116" i="192"/>
  <c r="N111" i="192"/>
  <c r="P71" i="192"/>
  <c r="P87" i="192"/>
  <c r="P84" i="192"/>
  <c r="P91" i="192"/>
  <c r="P93" i="192"/>
  <c r="Q28" i="198"/>
  <c r="R103" i="177"/>
  <c r="P73" i="192"/>
  <c r="P52" i="192"/>
  <c r="O113" i="198"/>
  <c r="P113" i="198"/>
  <c r="P58" i="192"/>
  <c r="P59" i="192"/>
  <c r="T21" i="191"/>
  <c r="T26" i="191"/>
  <c r="T39" i="191"/>
  <c r="T43" i="191"/>
  <c r="T23" i="191"/>
  <c r="T27" i="191"/>
  <c r="T36" i="191"/>
  <c r="T40" i="191"/>
  <c r="T44" i="191"/>
  <c r="T24" i="191"/>
  <c r="T28" i="191"/>
  <c r="T32" i="191"/>
  <c r="T37" i="191"/>
  <c r="T41" i="191"/>
  <c r="T45" i="191"/>
  <c r="T25" i="191"/>
  <c r="T38" i="191"/>
  <c r="T42" i="191"/>
  <c r="T46" i="191"/>
  <c r="T113" i="191"/>
  <c r="T114" i="191"/>
  <c r="T115" i="191"/>
  <c r="T20" i="191"/>
  <c r="P60" i="192"/>
  <c r="P61" i="192"/>
  <c r="P74" i="192"/>
  <c r="Q94" i="192"/>
  <c r="Q93" i="192"/>
  <c r="Q85" i="192"/>
  <c r="Q84" i="192"/>
  <c r="Q112" i="191"/>
  <c r="Q62" i="192"/>
  <c r="Q57" i="192"/>
  <c r="P23" i="198"/>
  <c r="P27" i="198"/>
  <c r="P36" i="198"/>
  <c r="P40" i="198"/>
  <c r="P44" i="198"/>
  <c r="P25" i="198"/>
  <c r="P38" i="198"/>
  <c r="P42" i="198"/>
  <c r="P46" i="198"/>
  <c r="P43" i="198"/>
  <c r="P21" i="198"/>
  <c r="P37" i="198"/>
  <c r="P45" i="198"/>
  <c r="P24" i="198"/>
  <c r="P39" i="198"/>
  <c r="P26" i="198"/>
  <c r="P28" i="198"/>
  <c r="P32" i="198"/>
  <c r="P41" i="198"/>
  <c r="P20" i="198"/>
  <c r="U20" i="198"/>
  <c r="P62" i="192"/>
  <c r="R21" i="192"/>
  <c r="R26" i="192"/>
  <c r="R39" i="192"/>
  <c r="R43" i="192"/>
  <c r="R23" i="192"/>
  <c r="R27" i="192"/>
  <c r="R28" i="192"/>
  <c r="R36" i="192"/>
  <c r="R40" i="192"/>
  <c r="R44" i="192"/>
  <c r="R24" i="192"/>
  <c r="R32" i="192"/>
  <c r="R37" i="192"/>
  <c r="R41" i="192"/>
  <c r="R25" i="192"/>
  <c r="R38" i="192"/>
  <c r="R42" i="192"/>
  <c r="R46" i="192"/>
  <c r="R45" i="192"/>
  <c r="R114" i="192"/>
  <c r="R113" i="192"/>
  <c r="R115" i="192"/>
  <c r="R20" i="192"/>
  <c r="P94" i="192"/>
  <c r="P111" i="191"/>
  <c r="O116" i="191"/>
  <c r="P116" i="191"/>
  <c r="O111" i="192"/>
  <c r="P72" i="192"/>
  <c r="U28" i="191"/>
  <c r="Q95" i="192"/>
  <c r="Q91" i="192"/>
  <c r="Q83" i="192"/>
  <c r="Q82" i="192"/>
  <c r="Q74" i="192"/>
  <c r="Q60" i="192"/>
  <c r="Q71" i="192"/>
  <c r="P112" i="191"/>
  <c r="O112" i="192"/>
  <c r="P79" i="192"/>
  <c r="R19" i="192"/>
  <c r="P84" i="198"/>
  <c r="O115" i="198"/>
  <c r="P115" i="198"/>
  <c r="P104" i="162"/>
  <c r="P104" i="177"/>
  <c r="P99" i="162"/>
  <c r="P99" i="177"/>
  <c r="P64" i="162"/>
  <c r="P64" i="177"/>
  <c r="P92" i="162"/>
  <c r="P92" i="177"/>
  <c r="P86" i="162"/>
  <c r="P86" i="177"/>
  <c r="P77" i="162"/>
  <c r="P77" i="177"/>
  <c r="P75" i="162"/>
  <c r="P75" i="177"/>
  <c r="P78" i="162"/>
  <c r="P78" i="177"/>
  <c r="P70" i="162"/>
  <c r="P70" i="177"/>
  <c r="P67" i="162"/>
  <c r="P67" i="177"/>
  <c r="P68" i="162"/>
  <c r="P68" i="177"/>
  <c r="P65" i="162"/>
  <c r="P65" i="177"/>
  <c r="K107" i="177"/>
  <c r="L107" i="177"/>
  <c r="L105" i="177"/>
  <c r="P100" i="162"/>
  <c r="P100" i="177"/>
  <c r="P54" i="162"/>
  <c r="P90" i="162"/>
  <c r="P90" i="177"/>
  <c r="P56" i="162"/>
  <c r="P56" i="177"/>
  <c r="P88" i="162"/>
  <c r="P88" i="177"/>
  <c r="P66" i="162"/>
  <c r="P66" i="177"/>
  <c r="P98" i="162"/>
  <c r="P98" i="177"/>
  <c r="P76" i="162"/>
  <c r="P76" i="177"/>
  <c r="N54" i="177"/>
  <c r="M105" i="177"/>
  <c r="R63" i="177"/>
  <c r="R103" i="162"/>
  <c r="R63" i="162"/>
  <c r="N102" i="187"/>
  <c r="N102" i="162"/>
  <c r="R97" i="198"/>
  <c r="R60" i="198"/>
  <c r="R62" i="198"/>
  <c r="R69" i="198"/>
  <c r="R95" i="198"/>
  <c r="R94" i="198"/>
  <c r="R72" i="198"/>
  <c r="R58" i="198"/>
  <c r="R89" i="198"/>
  <c r="R96" i="198"/>
  <c r="R82" i="198"/>
  <c r="R73" i="198"/>
  <c r="N102" i="180"/>
  <c r="R91" i="198"/>
  <c r="R93" i="198"/>
  <c r="R81" i="198"/>
  <c r="R74" i="198"/>
  <c r="R79" i="198"/>
  <c r="R71" i="198"/>
  <c r="R83" i="198"/>
  <c r="R85" i="198"/>
  <c r="R87" i="198"/>
  <c r="R61" i="198"/>
  <c r="R80" i="198"/>
  <c r="N102" i="168"/>
  <c r="K102" i="195"/>
  <c r="L102" i="195"/>
  <c r="L102" i="193"/>
  <c r="N102" i="172"/>
  <c r="N102" i="190"/>
  <c r="N102" i="164"/>
  <c r="N102" i="193"/>
  <c r="N102" i="163"/>
  <c r="N102" i="179"/>
  <c r="N102" i="158"/>
  <c r="N102" i="174"/>
  <c r="N102" i="194"/>
  <c r="N102" i="159"/>
  <c r="N102" i="169"/>
  <c r="N102" i="183"/>
  <c r="N102" i="176"/>
  <c r="N102" i="165"/>
  <c r="N102" i="173"/>
  <c r="N102" i="186"/>
  <c r="N102" i="198"/>
  <c r="N102" i="189"/>
  <c r="N102" i="175"/>
  <c r="N102" i="181"/>
  <c r="N102" i="185"/>
  <c r="N102" i="184"/>
  <c r="N102" i="15"/>
  <c r="N102" i="161"/>
  <c r="N102" i="170"/>
  <c r="N102" i="191"/>
  <c r="N102" i="178"/>
  <c r="N102" i="167"/>
  <c r="N102" i="188"/>
  <c r="R63" i="175"/>
  <c r="P102" i="177"/>
  <c r="P102" i="197"/>
  <c r="O105" i="197"/>
  <c r="K102" i="192"/>
  <c r="L102" i="192"/>
  <c r="M107" i="197"/>
  <c r="N107" i="197"/>
  <c r="N105" i="197"/>
  <c r="R59" i="198"/>
  <c r="R63" i="163"/>
  <c r="R63" i="191"/>
  <c r="R63" i="161"/>
  <c r="R63" i="187"/>
  <c r="O63" i="195"/>
  <c r="P63" i="195"/>
  <c r="R63" i="174"/>
  <c r="R63" i="168"/>
  <c r="R63" i="184"/>
  <c r="R63" i="178"/>
  <c r="P92" i="198"/>
  <c r="P92" i="191"/>
  <c r="P92" i="190"/>
  <c r="P92" i="188"/>
  <c r="P92" i="187"/>
  <c r="P92" i="186"/>
  <c r="P92" i="183"/>
  <c r="P92" i="180"/>
  <c r="P92" i="175"/>
  <c r="P92" i="184"/>
  <c r="P92" i="178"/>
  <c r="P92" i="172"/>
  <c r="P92" i="167"/>
  <c r="P92" i="189"/>
  <c r="P92" i="173"/>
  <c r="P92" i="170"/>
  <c r="P92" i="194"/>
  <c r="P92" i="185"/>
  <c r="P92" i="169"/>
  <c r="P92" i="176"/>
  <c r="P92" i="168"/>
  <c r="P92" i="179"/>
  <c r="P92" i="181"/>
  <c r="P92" i="174"/>
  <c r="P92" i="165"/>
  <c r="P92" i="164"/>
  <c r="P92" i="163"/>
  <c r="P92" i="161"/>
  <c r="P92" i="159"/>
  <c r="P92" i="158"/>
  <c r="P92" i="118"/>
  <c r="P70" i="198"/>
  <c r="P70" i="191"/>
  <c r="P70" i="190"/>
  <c r="P70" i="188"/>
  <c r="P70" i="187"/>
  <c r="P70" i="186"/>
  <c r="P70" i="183"/>
  <c r="P70" i="180"/>
  <c r="P70" i="175"/>
  <c r="P70" i="184"/>
  <c r="P70" i="178"/>
  <c r="P70" i="174"/>
  <c r="P70" i="172"/>
  <c r="P70" i="167"/>
  <c r="P70" i="194"/>
  <c r="P70" i="189"/>
  <c r="P70" i="173"/>
  <c r="P70" i="170"/>
  <c r="P70" i="185"/>
  <c r="P70" i="169"/>
  <c r="P70" i="176"/>
  <c r="P70" i="168"/>
  <c r="P70" i="164"/>
  <c r="P70" i="179"/>
  <c r="P70" i="181"/>
  <c r="P70" i="165"/>
  <c r="P70" i="163"/>
  <c r="P70" i="161"/>
  <c r="P70" i="159"/>
  <c r="P70" i="158"/>
  <c r="P70" i="118"/>
  <c r="N100" i="193"/>
  <c r="M100" i="195"/>
  <c r="N100" i="195"/>
  <c r="N54" i="193"/>
  <c r="M54" i="195"/>
  <c r="N54" i="195"/>
  <c r="N76" i="15"/>
  <c r="M76" i="192"/>
  <c r="N76" i="192"/>
  <c r="N67" i="15"/>
  <c r="M67" i="192"/>
  <c r="N67" i="192"/>
  <c r="N103" i="15"/>
  <c r="M103" i="192"/>
  <c r="N103" i="192"/>
  <c r="N78" i="15"/>
  <c r="M78" i="192"/>
  <c r="N78" i="192"/>
  <c r="N75" i="15"/>
  <c r="M75" i="192"/>
  <c r="N75" i="192"/>
  <c r="N75" i="193"/>
  <c r="M75" i="195"/>
  <c r="N75" i="195"/>
  <c r="P78" i="198"/>
  <c r="P78" i="194"/>
  <c r="P78" i="191"/>
  <c r="P78" i="190"/>
  <c r="P78" i="188"/>
  <c r="P78" i="183"/>
  <c r="P78" i="180"/>
  <c r="P78" i="175"/>
  <c r="P78" i="186"/>
  <c r="P78" i="178"/>
  <c r="P78" i="174"/>
  <c r="P78" i="172"/>
  <c r="P78" i="167"/>
  <c r="P78" i="187"/>
  <c r="P78" i="185"/>
  <c r="P78" i="169"/>
  <c r="P78" i="164"/>
  <c r="P78" i="189"/>
  <c r="P78" i="184"/>
  <c r="P78" i="179"/>
  <c r="P78" i="181"/>
  <c r="P78" i="173"/>
  <c r="P78" i="168"/>
  <c r="P78" i="176"/>
  <c r="P78" i="170"/>
  <c r="P78" i="165"/>
  <c r="P78" i="159"/>
  <c r="P78" i="163"/>
  <c r="P78" i="161"/>
  <c r="P78" i="158"/>
  <c r="P78" i="118"/>
  <c r="P54" i="198"/>
  <c r="P54" i="191"/>
  <c r="P54" i="190"/>
  <c r="P54" i="184"/>
  <c r="P54" i="181"/>
  <c r="P54" i="176"/>
  <c r="P54" i="194"/>
  <c r="P54" i="185"/>
  <c r="P54" i="179"/>
  <c r="P54" i="173"/>
  <c r="P54" i="168"/>
  <c r="P54" i="187"/>
  <c r="P54" i="188"/>
  <c r="P54" i="186"/>
  <c r="P54" i="170"/>
  <c r="P54" i="189"/>
  <c r="P54" i="165"/>
  <c r="P54" i="180"/>
  <c r="P54" i="172"/>
  <c r="P54" i="167"/>
  <c r="P54" i="183"/>
  <c r="P54" i="175"/>
  <c r="P54" i="164"/>
  <c r="P54" i="178"/>
  <c r="P54" i="174"/>
  <c r="P54" i="169"/>
  <c r="P54" i="161"/>
  <c r="P54" i="163"/>
  <c r="P54" i="159"/>
  <c r="P54" i="118"/>
  <c r="P54" i="158"/>
  <c r="P65" i="198"/>
  <c r="P65" i="194"/>
  <c r="P65" i="191"/>
  <c r="P65" i="190"/>
  <c r="P65" i="188"/>
  <c r="P65" i="186"/>
  <c r="P65" i="183"/>
  <c r="P65" i="180"/>
  <c r="P65" i="175"/>
  <c r="P65" i="178"/>
  <c r="P65" i="174"/>
  <c r="P65" i="172"/>
  <c r="P65" i="167"/>
  <c r="P65" i="187"/>
  <c r="P65" i="185"/>
  <c r="P65" i="169"/>
  <c r="P65" i="164"/>
  <c r="P65" i="179"/>
  <c r="P65" i="170"/>
  <c r="P65" i="181"/>
  <c r="P65" i="168"/>
  <c r="P65" i="189"/>
  <c r="P65" i="184"/>
  <c r="P65" i="176"/>
  <c r="P65" i="173"/>
  <c r="P65" i="165"/>
  <c r="P65" i="163"/>
  <c r="P65" i="161"/>
  <c r="P65" i="158"/>
  <c r="P65" i="118"/>
  <c r="P65" i="159"/>
  <c r="P68" i="198"/>
  <c r="P68" i="194"/>
  <c r="P68" i="191"/>
  <c r="P68" i="189"/>
  <c r="P68" i="190"/>
  <c r="P68" i="187"/>
  <c r="P68" i="185"/>
  <c r="P68" i="181"/>
  <c r="P68" i="179"/>
  <c r="P68" i="178"/>
  <c r="P68" i="176"/>
  <c r="P68" i="184"/>
  <c r="P68" i="169"/>
  <c r="P68" i="168"/>
  <c r="P68" i="165"/>
  <c r="P68" i="174"/>
  <c r="P68" i="173"/>
  <c r="P68" i="186"/>
  <c r="P68" i="188"/>
  <c r="P68" i="180"/>
  <c r="P68" i="170"/>
  <c r="P68" i="164"/>
  <c r="P68" i="183"/>
  <c r="P68" i="175"/>
  <c r="P68" i="172"/>
  <c r="P68" i="167"/>
  <c r="P68" i="163"/>
  <c r="P68" i="161"/>
  <c r="P68" i="158"/>
  <c r="P68" i="159"/>
  <c r="P68" i="118"/>
  <c r="R63" i="15"/>
  <c r="R63" i="164"/>
  <c r="R63" i="185"/>
  <c r="R63" i="189"/>
  <c r="R63" i="172"/>
  <c r="R63" i="194"/>
  <c r="R63" i="170"/>
  <c r="R63" i="180"/>
  <c r="N64" i="15"/>
  <c r="M64" i="192"/>
  <c r="N64" i="192"/>
  <c r="N56" i="193"/>
  <c r="M56" i="195"/>
  <c r="N56" i="195"/>
  <c r="N92" i="15"/>
  <c r="M92" i="192"/>
  <c r="N92" i="192"/>
  <c r="N65" i="15"/>
  <c r="M65" i="192"/>
  <c r="N65" i="192"/>
  <c r="N88" i="193"/>
  <c r="M88" i="195"/>
  <c r="N88" i="195"/>
  <c r="N67" i="193"/>
  <c r="M67" i="195"/>
  <c r="N67" i="195"/>
  <c r="N70" i="193"/>
  <c r="M70" i="195"/>
  <c r="N70" i="195"/>
  <c r="N77" i="193"/>
  <c r="M77" i="195"/>
  <c r="N77" i="195"/>
  <c r="P76" i="198"/>
  <c r="P76" i="191"/>
  <c r="P76" i="190"/>
  <c r="P76" i="188"/>
  <c r="P76" i="183"/>
  <c r="P76" i="180"/>
  <c r="P76" i="175"/>
  <c r="P76" i="178"/>
  <c r="P76" i="174"/>
  <c r="P76" i="172"/>
  <c r="P76" i="167"/>
  <c r="P76" i="194"/>
  <c r="P76" i="187"/>
  <c r="P76" i="186"/>
  <c r="P76" i="164"/>
  <c r="P76" i="185"/>
  <c r="P76" i="173"/>
  <c r="P76" i="170"/>
  <c r="P76" i="169"/>
  <c r="P76" i="181"/>
  <c r="P76" i="176"/>
  <c r="P76" i="165"/>
  <c r="P76" i="184"/>
  <c r="P76" i="189"/>
  <c r="P76" i="179"/>
  <c r="P76" i="168"/>
  <c r="P76" i="163"/>
  <c r="P76" i="161"/>
  <c r="P76" i="159"/>
  <c r="P76" i="158"/>
  <c r="P76" i="118"/>
  <c r="N56" i="15"/>
  <c r="M56" i="192"/>
  <c r="N56" i="192"/>
  <c r="N92" i="193"/>
  <c r="M92" i="195"/>
  <c r="N92" i="195"/>
  <c r="N76" i="193"/>
  <c r="M76" i="195"/>
  <c r="N76" i="195"/>
  <c r="P104" i="198"/>
  <c r="P104" i="194"/>
  <c r="P104" i="190"/>
  <c r="P104" i="191"/>
  <c r="P104" i="189"/>
  <c r="P104" i="185"/>
  <c r="P104" i="181"/>
  <c r="P104" i="179"/>
  <c r="P104" i="178"/>
  <c r="P104" i="176"/>
  <c r="P104" i="174"/>
  <c r="P104" i="186"/>
  <c r="P104" i="169"/>
  <c r="P104" i="168"/>
  <c r="P104" i="165"/>
  <c r="P104" i="164"/>
  <c r="P104" i="187"/>
  <c r="P104" i="183"/>
  <c r="P104" i="175"/>
  <c r="P104" i="173"/>
  <c r="P104" i="170"/>
  <c r="P104" i="184"/>
  <c r="P104" i="167"/>
  <c r="P104" i="188"/>
  <c r="P104" i="180"/>
  <c r="P104" i="172"/>
  <c r="P104" i="163"/>
  <c r="P104" i="161"/>
  <c r="P104" i="159"/>
  <c r="P104" i="158"/>
  <c r="P86" i="198"/>
  <c r="P86" i="194"/>
  <c r="P86" i="191"/>
  <c r="P86" i="189"/>
  <c r="P86" i="190"/>
  <c r="P86" i="185"/>
  <c r="P86" i="181"/>
  <c r="P86" i="179"/>
  <c r="P86" i="178"/>
  <c r="P86" i="176"/>
  <c r="P86" i="169"/>
  <c r="P86" i="168"/>
  <c r="P86" i="165"/>
  <c r="P86" i="174"/>
  <c r="P86" i="164"/>
  <c r="P86" i="184"/>
  <c r="P86" i="183"/>
  <c r="P86" i="175"/>
  <c r="P86" i="188"/>
  <c r="P86" i="187"/>
  <c r="P86" i="186"/>
  <c r="P86" i="167"/>
  <c r="P86" i="173"/>
  <c r="P86" i="170"/>
  <c r="P86" i="180"/>
  <c r="P86" i="172"/>
  <c r="P86" i="163"/>
  <c r="P86" i="161"/>
  <c r="P86" i="159"/>
  <c r="P86" i="158"/>
  <c r="P86" i="118"/>
  <c r="P90" i="198"/>
  <c r="P90" i="194"/>
  <c r="P90" i="191"/>
  <c r="P90" i="189"/>
  <c r="P90" i="190"/>
  <c r="P90" i="187"/>
  <c r="P90" i="186"/>
  <c r="P90" i="185"/>
  <c r="P90" i="181"/>
  <c r="P90" i="179"/>
  <c r="P90" i="178"/>
  <c r="P90" i="176"/>
  <c r="P90" i="174"/>
  <c r="P90" i="184"/>
  <c r="P90" i="169"/>
  <c r="P90" i="168"/>
  <c r="P90" i="165"/>
  <c r="P90" i="173"/>
  <c r="P90" i="180"/>
  <c r="P90" i="183"/>
  <c r="P90" i="175"/>
  <c r="P90" i="188"/>
  <c r="P90" i="170"/>
  <c r="P90" i="164"/>
  <c r="P90" i="172"/>
  <c r="P90" i="167"/>
  <c r="P90" i="163"/>
  <c r="P90" i="161"/>
  <c r="P90" i="159"/>
  <c r="P90" i="158"/>
  <c r="P90" i="118"/>
  <c r="P56" i="198"/>
  <c r="P56" i="194"/>
  <c r="P56" i="191"/>
  <c r="P56" i="190"/>
  <c r="P56" i="188"/>
  <c r="P56" i="186"/>
  <c r="P56" i="183"/>
  <c r="P56" i="180"/>
  <c r="P56" i="175"/>
  <c r="P56" i="187"/>
  <c r="P56" i="178"/>
  <c r="P56" i="174"/>
  <c r="P56" i="172"/>
  <c r="P56" i="167"/>
  <c r="P56" i="164"/>
  <c r="P56" i="185"/>
  <c r="P56" i="184"/>
  <c r="P56" i="173"/>
  <c r="P56" i="170"/>
  <c r="P56" i="169"/>
  <c r="P56" i="181"/>
  <c r="P56" i="189"/>
  <c r="P56" i="176"/>
  <c r="P56" i="165"/>
  <c r="P56" i="179"/>
  <c r="P56" i="168"/>
  <c r="P56" i="163"/>
  <c r="P56" i="161"/>
  <c r="P56" i="159"/>
  <c r="P56" i="158"/>
  <c r="P56" i="118"/>
  <c r="P98" i="198"/>
  <c r="P98" i="190"/>
  <c r="P98" i="191"/>
  <c r="P98" i="189"/>
  <c r="P98" i="185"/>
  <c r="P98" i="181"/>
  <c r="P98" i="179"/>
  <c r="P98" i="178"/>
  <c r="P98" i="176"/>
  <c r="P98" i="174"/>
  <c r="P98" i="187"/>
  <c r="P98" i="169"/>
  <c r="P98" i="168"/>
  <c r="P98" i="165"/>
  <c r="P98" i="170"/>
  <c r="P98" i="188"/>
  <c r="P98" i="184"/>
  <c r="P98" i="173"/>
  <c r="P98" i="194"/>
  <c r="P98" i="186"/>
  <c r="P98" i="180"/>
  <c r="P98" i="167"/>
  <c r="P98" i="183"/>
  <c r="P98" i="175"/>
  <c r="P98" i="164"/>
  <c r="P98" i="172"/>
  <c r="P98" i="163"/>
  <c r="P98" i="161"/>
  <c r="P98" i="159"/>
  <c r="P98" i="158"/>
  <c r="P98" i="118"/>
  <c r="P64" i="198"/>
  <c r="P64" i="194"/>
  <c r="P64" i="191"/>
  <c r="P64" i="189"/>
  <c r="P64" i="190"/>
  <c r="P64" i="185"/>
  <c r="P64" i="181"/>
  <c r="P64" i="179"/>
  <c r="P64" i="178"/>
  <c r="P64" i="176"/>
  <c r="P64" i="169"/>
  <c r="P64" i="168"/>
  <c r="P64" i="165"/>
  <c r="P64" i="188"/>
  <c r="P64" i="184"/>
  <c r="P64" i="174"/>
  <c r="P64" i="164"/>
  <c r="P64" i="187"/>
  <c r="P64" i="186"/>
  <c r="P64" i="170"/>
  <c r="P64" i="180"/>
  <c r="P64" i="183"/>
  <c r="P64" i="175"/>
  <c r="P64" i="173"/>
  <c r="P64" i="172"/>
  <c r="P64" i="167"/>
  <c r="P64" i="159"/>
  <c r="P64" i="158"/>
  <c r="P64" i="163"/>
  <c r="P64" i="161"/>
  <c r="P64" i="118"/>
  <c r="O63" i="192"/>
  <c r="P63" i="192"/>
  <c r="R63" i="158"/>
  <c r="R63" i="176"/>
  <c r="R63" i="190"/>
  <c r="R63" i="167"/>
  <c r="R63" i="181"/>
  <c r="R63" i="193"/>
  <c r="R63" i="173"/>
  <c r="R63" i="183"/>
  <c r="N90" i="193"/>
  <c r="M90" i="195"/>
  <c r="N90" i="195"/>
  <c r="N66" i="15"/>
  <c r="M66" i="192"/>
  <c r="N66" i="192"/>
  <c r="N100" i="15"/>
  <c r="M100" i="192"/>
  <c r="N100" i="192"/>
  <c r="N54" i="15"/>
  <c r="M54" i="192"/>
  <c r="N54" i="192"/>
  <c r="N104" i="193"/>
  <c r="M104" i="195"/>
  <c r="N104" i="195"/>
  <c r="N68" i="193"/>
  <c r="M68" i="195"/>
  <c r="N68" i="195"/>
  <c r="N103" i="193"/>
  <c r="M103" i="195"/>
  <c r="N103" i="195"/>
  <c r="N86" i="15"/>
  <c r="M86" i="192"/>
  <c r="N86" i="192"/>
  <c r="N77" i="15"/>
  <c r="M77" i="192"/>
  <c r="N77" i="192"/>
  <c r="P103" i="198"/>
  <c r="P103" i="194"/>
  <c r="P103" i="191"/>
  <c r="P103" i="190"/>
  <c r="P103" i="188"/>
  <c r="P103" i="183"/>
  <c r="P103" i="180"/>
  <c r="P103" i="175"/>
  <c r="P103" i="178"/>
  <c r="P103" i="172"/>
  <c r="P103" i="167"/>
  <c r="P103" i="184"/>
  <c r="P103" i="186"/>
  <c r="P103" i="185"/>
  <c r="P103" i="169"/>
  <c r="P103" i="164"/>
  <c r="P103" i="179"/>
  <c r="P103" i="170"/>
  <c r="P103" i="181"/>
  <c r="P103" i="174"/>
  <c r="P103" i="168"/>
  <c r="P103" i="189"/>
  <c r="P103" i="176"/>
  <c r="P103" i="187"/>
  <c r="P103" i="173"/>
  <c r="P103" i="165"/>
  <c r="P103" i="163"/>
  <c r="P103" i="161"/>
  <c r="P103" i="159"/>
  <c r="P103" i="158"/>
  <c r="P67" i="198"/>
  <c r="P67" i="194"/>
  <c r="P67" i="191"/>
  <c r="P67" i="190"/>
  <c r="P67" i="188"/>
  <c r="P67" i="186"/>
  <c r="P67" i="183"/>
  <c r="P67" i="180"/>
  <c r="P67" i="175"/>
  <c r="P67" i="178"/>
  <c r="P67" i="174"/>
  <c r="P67" i="172"/>
  <c r="P67" i="167"/>
  <c r="P67" i="189"/>
  <c r="P67" i="185"/>
  <c r="P67" i="169"/>
  <c r="P67" i="164"/>
  <c r="P67" i="179"/>
  <c r="P67" i="170"/>
  <c r="P67" i="165"/>
  <c r="P67" i="181"/>
  <c r="P67" i="187"/>
  <c r="P67" i="184"/>
  <c r="P67" i="176"/>
  <c r="P67" i="173"/>
  <c r="P67" i="168"/>
  <c r="P67" i="163"/>
  <c r="P67" i="161"/>
  <c r="P67" i="159"/>
  <c r="P67" i="158"/>
  <c r="P67" i="118"/>
  <c r="N98" i="15"/>
  <c r="M98" i="192"/>
  <c r="N98" i="192"/>
  <c r="N98" i="193"/>
  <c r="M98" i="195"/>
  <c r="N98" i="195"/>
  <c r="N104" i="15"/>
  <c r="M104" i="192"/>
  <c r="N104" i="192"/>
  <c r="N68" i="15"/>
  <c r="M68" i="192"/>
  <c r="N68" i="192"/>
  <c r="P100" i="198"/>
  <c r="P100" i="191"/>
  <c r="P100" i="190"/>
  <c r="P100" i="188"/>
  <c r="P100" i="183"/>
  <c r="P100" i="180"/>
  <c r="P100" i="175"/>
  <c r="P100" i="194"/>
  <c r="P100" i="186"/>
  <c r="P100" i="178"/>
  <c r="P100" i="172"/>
  <c r="P100" i="167"/>
  <c r="P100" i="187"/>
  <c r="P100" i="164"/>
  <c r="P100" i="185"/>
  <c r="P100" i="173"/>
  <c r="P100" i="170"/>
  <c r="P100" i="169"/>
  <c r="P100" i="181"/>
  <c r="P100" i="174"/>
  <c r="P100" i="189"/>
  <c r="P100" i="176"/>
  <c r="P100" i="165"/>
  <c r="P100" i="184"/>
  <c r="P100" i="179"/>
  <c r="P100" i="168"/>
  <c r="P100" i="163"/>
  <c r="P100" i="161"/>
  <c r="P100" i="159"/>
  <c r="P100" i="158"/>
  <c r="P66" i="198"/>
  <c r="P66" i="191"/>
  <c r="P66" i="189"/>
  <c r="P66" i="194"/>
  <c r="P66" i="190"/>
  <c r="P66" i="185"/>
  <c r="P66" i="181"/>
  <c r="P66" i="179"/>
  <c r="P66" i="178"/>
  <c r="P66" i="176"/>
  <c r="P66" i="187"/>
  <c r="P66" i="169"/>
  <c r="P66" i="168"/>
  <c r="P66" i="165"/>
  <c r="P66" i="174"/>
  <c r="P66" i="186"/>
  <c r="P66" i="184"/>
  <c r="P66" i="164"/>
  <c r="P66" i="183"/>
  <c r="P66" i="175"/>
  <c r="P66" i="173"/>
  <c r="P66" i="170"/>
  <c r="P66" i="167"/>
  <c r="P66" i="188"/>
  <c r="P66" i="180"/>
  <c r="P66" i="172"/>
  <c r="P66" i="163"/>
  <c r="P66" i="161"/>
  <c r="P66" i="159"/>
  <c r="P66" i="158"/>
  <c r="P66" i="118"/>
  <c r="P77" i="198"/>
  <c r="P77" i="194"/>
  <c r="P77" i="191"/>
  <c r="P77" i="189"/>
  <c r="P77" i="190"/>
  <c r="P77" i="185"/>
  <c r="P77" i="181"/>
  <c r="P77" i="179"/>
  <c r="P77" i="178"/>
  <c r="P77" i="176"/>
  <c r="P77" i="187"/>
  <c r="P77" i="169"/>
  <c r="P77" i="168"/>
  <c r="P77" i="165"/>
  <c r="P77" i="188"/>
  <c r="P77" i="186"/>
  <c r="P77" i="174"/>
  <c r="P77" i="164"/>
  <c r="P77" i="184"/>
  <c r="P77" i="170"/>
  <c r="P77" i="173"/>
  <c r="P77" i="180"/>
  <c r="P77" i="183"/>
  <c r="P77" i="175"/>
  <c r="P77" i="172"/>
  <c r="P77" i="167"/>
  <c r="P77" i="159"/>
  <c r="P77" i="158"/>
  <c r="P77" i="163"/>
  <c r="P77" i="161"/>
  <c r="P77" i="118"/>
  <c r="P75" i="198"/>
  <c r="P75" i="194"/>
  <c r="P75" i="191"/>
  <c r="P75" i="189"/>
  <c r="P75" i="190"/>
  <c r="P75" i="185"/>
  <c r="P75" i="181"/>
  <c r="P75" i="179"/>
  <c r="P75" i="178"/>
  <c r="P75" i="176"/>
  <c r="P75" i="169"/>
  <c r="P75" i="168"/>
  <c r="P75" i="165"/>
  <c r="P75" i="184"/>
  <c r="P75" i="174"/>
  <c r="P75" i="170"/>
  <c r="P75" i="188"/>
  <c r="P75" i="187"/>
  <c r="P75" i="186"/>
  <c r="P75" i="173"/>
  <c r="P75" i="164"/>
  <c r="P75" i="180"/>
  <c r="P75" i="167"/>
  <c r="P75" i="183"/>
  <c r="P75" i="175"/>
  <c r="P75" i="172"/>
  <c r="P75" i="163"/>
  <c r="P75" i="161"/>
  <c r="P75" i="159"/>
  <c r="P75" i="158"/>
  <c r="P75" i="118"/>
  <c r="P88" i="198"/>
  <c r="P88" i="191"/>
  <c r="P88" i="190"/>
  <c r="P88" i="188"/>
  <c r="P88" i="194"/>
  <c r="P88" i="183"/>
  <c r="P88" i="180"/>
  <c r="P88" i="175"/>
  <c r="P88" i="186"/>
  <c r="P88" i="178"/>
  <c r="P88" i="174"/>
  <c r="P88" i="172"/>
  <c r="P88" i="167"/>
  <c r="P88" i="189"/>
  <c r="P88" i="185"/>
  <c r="P88" i="169"/>
  <c r="P88" i="187"/>
  <c r="P88" i="184"/>
  <c r="P88" i="179"/>
  <c r="P88" i="173"/>
  <c r="P88" i="165"/>
  <c r="P88" i="181"/>
  <c r="P88" i="164"/>
  <c r="P88" i="176"/>
  <c r="P88" i="170"/>
  <c r="P88" i="168"/>
  <c r="P88" i="163"/>
  <c r="P88" i="161"/>
  <c r="P88" i="159"/>
  <c r="P88" i="158"/>
  <c r="P88" i="118"/>
  <c r="R63" i="118"/>
  <c r="R63" i="159"/>
  <c r="R63" i="188"/>
  <c r="R63" i="169"/>
  <c r="R63" i="179"/>
  <c r="R63" i="186"/>
  <c r="R63" i="165"/>
  <c r="N64" i="193"/>
  <c r="M64" i="195"/>
  <c r="N64" i="195"/>
  <c r="N90" i="15"/>
  <c r="M90" i="192"/>
  <c r="N90" i="192"/>
  <c r="N66" i="193"/>
  <c r="M66" i="195"/>
  <c r="N66" i="195"/>
  <c r="N65" i="193"/>
  <c r="M65" i="195"/>
  <c r="N65" i="195"/>
  <c r="N88" i="15"/>
  <c r="M88" i="192"/>
  <c r="N88" i="192"/>
  <c r="N70" i="15"/>
  <c r="M70" i="192"/>
  <c r="N70" i="192"/>
  <c r="N78" i="193"/>
  <c r="M78" i="195"/>
  <c r="N78" i="195"/>
  <c r="N86" i="193"/>
  <c r="M86" i="195"/>
  <c r="N86" i="195"/>
  <c r="P99" i="198"/>
  <c r="P99" i="188"/>
  <c r="P99" i="185"/>
  <c r="P99" i="184"/>
  <c r="P99" i="181"/>
  <c r="P99" i="179"/>
  <c r="P99" i="176"/>
  <c r="P99" i="174"/>
  <c r="P99" i="172"/>
  <c r="P99" i="169"/>
  <c r="P99" i="167"/>
  <c r="P99" i="164"/>
  <c r="P99" i="194"/>
  <c r="P99" i="190"/>
  <c r="P99" i="186"/>
  <c r="P99" i="187"/>
  <c r="P99" i="191"/>
  <c r="P99" i="189"/>
  <c r="P99" i="183"/>
  <c r="P99" i="180"/>
  <c r="P99" i="178"/>
  <c r="P99" i="175"/>
  <c r="P99" i="173"/>
  <c r="P99" i="170"/>
  <c r="P99" i="168"/>
  <c r="P99" i="165"/>
  <c r="P99" i="159"/>
  <c r="P99" i="118"/>
  <c r="P99" i="161"/>
  <c r="P99" i="163"/>
  <c r="P99" i="158"/>
  <c r="N99" i="15"/>
  <c r="M99" i="192"/>
  <c r="N99" i="192"/>
  <c r="N99" i="193"/>
  <c r="M99" i="195"/>
  <c r="N99" i="195"/>
  <c r="V19" i="191"/>
  <c r="V59" i="191"/>
  <c r="R57" i="198"/>
  <c r="R53" i="198"/>
  <c r="R19" i="198"/>
  <c r="R63" i="198"/>
  <c r="Q114" i="198"/>
  <c r="R114" i="198"/>
  <c r="R83" i="192"/>
  <c r="R57" i="192"/>
  <c r="S93" i="192"/>
  <c r="S82" i="192"/>
  <c r="S74" i="192"/>
  <c r="S85" i="192"/>
  <c r="S69" i="192"/>
  <c r="S61" i="192"/>
  <c r="S112" i="191"/>
  <c r="S62" i="192"/>
  <c r="S53" i="192"/>
  <c r="M116" i="198"/>
  <c r="N116" i="198"/>
  <c r="N111" i="198"/>
  <c r="T25" i="192"/>
  <c r="T38" i="192"/>
  <c r="T42" i="192"/>
  <c r="T46" i="192"/>
  <c r="T21" i="192"/>
  <c r="T26" i="192"/>
  <c r="T39" i="192"/>
  <c r="T43" i="192"/>
  <c r="T23" i="192"/>
  <c r="T27" i="192"/>
  <c r="T36" i="192"/>
  <c r="T40" i="192"/>
  <c r="T24" i="192"/>
  <c r="T28" i="192"/>
  <c r="T32" i="192"/>
  <c r="T37" i="192"/>
  <c r="T41" i="192"/>
  <c r="T45" i="192"/>
  <c r="T44" i="192"/>
  <c r="T113" i="192"/>
  <c r="T115" i="192"/>
  <c r="T114" i="192"/>
  <c r="T20" i="192"/>
  <c r="R61" i="192"/>
  <c r="R58" i="192"/>
  <c r="R73" i="192"/>
  <c r="R89" i="192"/>
  <c r="R71" i="192"/>
  <c r="R82" i="192"/>
  <c r="R95" i="192"/>
  <c r="V25" i="191"/>
  <c r="V28" i="191"/>
  <c r="V38" i="191"/>
  <c r="V42" i="191"/>
  <c r="V46" i="191"/>
  <c r="V21" i="191"/>
  <c r="V26" i="191"/>
  <c r="V39" i="191"/>
  <c r="V43" i="191"/>
  <c r="V23" i="191"/>
  <c r="V27" i="191"/>
  <c r="V36" i="191"/>
  <c r="V40" i="191"/>
  <c r="V44" i="191"/>
  <c r="V24" i="191"/>
  <c r="V32" i="191"/>
  <c r="V37" i="191"/>
  <c r="V41" i="191"/>
  <c r="V45" i="191"/>
  <c r="V113" i="191"/>
  <c r="V114" i="191"/>
  <c r="V115" i="191"/>
  <c r="V20" i="191"/>
  <c r="R84" i="192"/>
  <c r="R85" i="192"/>
  <c r="R94" i="192"/>
  <c r="S97" i="192"/>
  <c r="S96" i="192"/>
  <c r="S80" i="192"/>
  <c r="S73" i="192"/>
  <c r="S83" i="192"/>
  <c r="S111" i="191"/>
  <c r="S59" i="192"/>
  <c r="S60" i="192"/>
  <c r="R79" i="192"/>
  <c r="R96" i="192"/>
  <c r="R97" i="192"/>
  <c r="T19" i="192"/>
  <c r="P112" i="192"/>
  <c r="O112" i="198"/>
  <c r="P112" i="198"/>
  <c r="R60" i="192"/>
  <c r="R62" i="192"/>
  <c r="S94" i="192"/>
  <c r="S95" i="192"/>
  <c r="S89" i="192"/>
  <c r="S81" i="192"/>
  <c r="S72" i="192"/>
  <c r="S57" i="192"/>
  <c r="S58" i="192"/>
  <c r="S52" i="192"/>
  <c r="R59" i="192"/>
  <c r="R53" i="192"/>
  <c r="R69" i="192"/>
  <c r="R80" i="192"/>
  <c r="R81" i="192"/>
  <c r="R74" i="192"/>
  <c r="R91" i="192"/>
  <c r="P111" i="192"/>
  <c r="O116" i="192"/>
  <c r="P116" i="192"/>
  <c r="R112" i="191"/>
  <c r="Q112" i="192"/>
  <c r="R93" i="192"/>
  <c r="S91" i="192"/>
  <c r="S84" i="192"/>
  <c r="S87" i="192"/>
  <c r="S79" i="192"/>
  <c r="S71" i="192"/>
  <c r="P52" i="198"/>
  <c r="R21" i="198"/>
  <c r="R26" i="198"/>
  <c r="R39" i="198"/>
  <c r="R43" i="198"/>
  <c r="R24" i="198"/>
  <c r="R32" i="198"/>
  <c r="R37" i="198"/>
  <c r="R41" i="198"/>
  <c r="R45" i="198"/>
  <c r="R27" i="198"/>
  <c r="R28" i="198"/>
  <c r="R42" i="198"/>
  <c r="R36" i="198"/>
  <c r="R44" i="198"/>
  <c r="R23" i="198"/>
  <c r="R38" i="198"/>
  <c r="R46" i="198"/>
  <c r="R25" i="198"/>
  <c r="R40" i="198"/>
  <c r="R20" i="198"/>
  <c r="R52" i="192"/>
  <c r="Q113" i="198"/>
  <c r="R113" i="198"/>
  <c r="Q116" i="191"/>
  <c r="R116" i="191"/>
  <c r="R111" i="191"/>
  <c r="Q111" i="192"/>
  <c r="R72" i="192"/>
  <c r="R87" i="192"/>
  <c r="S28" i="198"/>
  <c r="T103" i="177"/>
  <c r="R84" i="198"/>
  <c r="Q115" i="198"/>
  <c r="R115" i="198"/>
  <c r="T63" i="177"/>
  <c r="R54" i="177"/>
  <c r="R99" i="162"/>
  <c r="R99" i="177"/>
  <c r="R65" i="162"/>
  <c r="R65" i="177"/>
  <c r="R64" i="162"/>
  <c r="R64" i="177"/>
  <c r="R92" i="162"/>
  <c r="R92" i="177"/>
  <c r="R56" i="162"/>
  <c r="R56" i="177"/>
  <c r="R67" i="162"/>
  <c r="R67" i="177"/>
  <c r="R78" i="162"/>
  <c r="R78" i="177"/>
  <c r="R77" i="162"/>
  <c r="R77" i="177"/>
  <c r="R75" i="162"/>
  <c r="R75" i="177"/>
  <c r="R104" i="162"/>
  <c r="R104" i="177"/>
  <c r="R66" i="162"/>
  <c r="R66" i="177"/>
  <c r="R70" i="162"/>
  <c r="R70" i="177"/>
  <c r="R68" i="162"/>
  <c r="R68" i="177"/>
  <c r="R100" i="162"/>
  <c r="R100" i="177"/>
  <c r="R98" i="162"/>
  <c r="R98" i="177"/>
  <c r="P54" i="177"/>
  <c r="O105" i="177"/>
  <c r="R86" i="162"/>
  <c r="R86" i="177"/>
  <c r="R90" i="162"/>
  <c r="R90" i="177"/>
  <c r="R88" i="162"/>
  <c r="R88" i="177"/>
  <c r="R76" i="162"/>
  <c r="R76" i="177"/>
  <c r="N105" i="177"/>
  <c r="M107" i="177"/>
  <c r="N107" i="177"/>
  <c r="T103" i="162"/>
  <c r="T63" i="162"/>
  <c r="P102" i="191"/>
  <c r="P102" i="162"/>
  <c r="R54" i="198"/>
  <c r="R54" i="162"/>
  <c r="T97" i="198"/>
  <c r="T80" i="198"/>
  <c r="T95" i="198"/>
  <c r="T53" i="198"/>
  <c r="T69" i="198"/>
  <c r="T93" i="198"/>
  <c r="T89" i="198"/>
  <c r="T61" i="198"/>
  <c r="T91" i="198"/>
  <c r="T79" i="198"/>
  <c r="T94" i="198"/>
  <c r="T85" i="198"/>
  <c r="T58" i="198"/>
  <c r="T82" i="198"/>
  <c r="T71" i="198"/>
  <c r="T57" i="198"/>
  <c r="T96" i="198"/>
  <c r="T72" i="198"/>
  <c r="T83" i="198"/>
  <c r="T62" i="198"/>
  <c r="T87" i="198"/>
  <c r="T81" i="198"/>
  <c r="T60" i="198"/>
  <c r="T73" i="198"/>
  <c r="T74" i="198"/>
  <c r="P102" i="185"/>
  <c r="P102" i="184"/>
  <c r="P102" i="170"/>
  <c r="P102" i="194"/>
  <c r="M102" i="195"/>
  <c r="N102" i="195"/>
  <c r="P102" i="15"/>
  <c r="P102" i="165"/>
  <c r="P102" i="172"/>
  <c r="P102" i="176"/>
  <c r="M102" i="192"/>
  <c r="N102" i="192"/>
  <c r="T63" i="188"/>
  <c r="P102" i="173"/>
  <c r="P102" i="193"/>
  <c r="P102" i="178"/>
  <c r="P102" i="198"/>
  <c r="P105" i="197"/>
  <c r="O107" i="197"/>
  <c r="P107" i="197"/>
  <c r="T59" i="198"/>
  <c r="P102" i="159"/>
  <c r="P102" i="167"/>
  <c r="P102" i="183"/>
  <c r="P102" i="187"/>
  <c r="P102" i="188"/>
  <c r="P102" i="174"/>
  <c r="P102" i="181"/>
  <c r="P102" i="190"/>
  <c r="P102" i="161"/>
  <c r="P102" i="180"/>
  <c r="P102" i="168"/>
  <c r="P102" i="189"/>
  <c r="R102" i="177"/>
  <c r="R102" i="197"/>
  <c r="Q105" i="197"/>
  <c r="P102" i="158"/>
  <c r="P102" i="163"/>
  <c r="P102" i="175"/>
  <c r="P102" i="186"/>
  <c r="P102" i="164"/>
  <c r="P102" i="169"/>
  <c r="P102" i="179"/>
  <c r="Q63" i="195"/>
  <c r="R63" i="195"/>
  <c r="R54" i="194"/>
  <c r="R54" i="189"/>
  <c r="R54" i="187"/>
  <c r="R54" i="191"/>
  <c r="R54" i="174"/>
  <c r="R54" i="164"/>
  <c r="R54" i="188"/>
  <c r="R54" i="186"/>
  <c r="R54" i="184"/>
  <c r="R54" i="181"/>
  <c r="R54" i="176"/>
  <c r="R54" i="170"/>
  <c r="R54" i="185"/>
  <c r="R54" i="183"/>
  <c r="R54" i="180"/>
  <c r="R54" i="178"/>
  <c r="R54" i="175"/>
  <c r="R54" i="165"/>
  <c r="R54" i="179"/>
  <c r="R54" i="172"/>
  <c r="R54" i="168"/>
  <c r="R54" i="167"/>
  <c r="R54" i="169"/>
  <c r="R54" i="190"/>
  <c r="R54" i="173"/>
  <c r="R54" i="163"/>
  <c r="R54" i="161"/>
  <c r="R54" i="159"/>
  <c r="R54" i="158"/>
  <c r="R54" i="118"/>
  <c r="R56" i="198"/>
  <c r="R56" i="194"/>
  <c r="R56" i="191"/>
  <c r="R56" i="187"/>
  <c r="R56" i="190"/>
  <c r="R56" i="184"/>
  <c r="R56" i="173"/>
  <c r="R56" i="188"/>
  <c r="R56" i="185"/>
  <c r="R56" i="183"/>
  <c r="R56" i="180"/>
  <c r="R56" i="175"/>
  <c r="R56" i="174"/>
  <c r="R56" i="170"/>
  <c r="R56" i="169"/>
  <c r="R56" i="181"/>
  <c r="R56" i="179"/>
  <c r="R56" i="176"/>
  <c r="R56" i="189"/>
  <c r="R56" i="186"/>
  <c r="R56" i="167"/>
  <c r="R56" i="165"/>
  <c r="R56" i="164"/>
  <c r="R56" i="178"/>
  <c r="R56" i="168"/>
  <c r="R56" i="172"/>
  <c r="R56" i="163"/>
  <c r="R56" i="159"/>
  <c r="R56" i="158"/>
  <c r="R56" i="161"/>
  <c r="R56" i="118"/>
  <c r="T63" i="167"/>
  <c r="T63" i="181"/>
  <c r="P92" i="15"/>
  <c r="O92" i="192"/>
  <c r="P92" i="192"/>
  <c r="R92" i="198"/>
  <c r="R92" i="194"/>
  <c r="R92" i="191"/>
  <c r="R92" i="187"/>
  <c r="R92" i="186"/>
  <c r="R92" i="190"/>
  <c r="R92" i="184"/>
  <c r="R92" i="173"/>
  <c r="R92" i="185"/>
  <c r="R92" i="183"/>
  <c r="R92" i="180"/>
  <c r="R92" i="175"/>
  <c r="R92" i="169"/>
  <c r="R92" i="188"/>
  <c r="R92" i="181"/>
  <c r="R92" i="179"/>
  <c r="R92" i="176"/>
  <c r="R92" i="174"/>
  <c r="R92" i="168"/>
  <c r="R92" i="189"/>
  <c r="R92" i="178"/>
  <c r="R92" i="170"/>
  <c r="R92" i="167"/>
  <c r="R92" i="165"/>
  <c r="R92" i="164"/>
  <c r="R92" i="172"/>
  <c r="R92" i="159"/>
  <c r="R92" i="158"/>
  <c r="R92" i="161"/>
  <c r="R92" i="118"/>
  <c r="R92" i="163"/>
  <c r="R77" i="198"/>
  <c r="R77" i="191"/>
  <c r="R77" i="178"/>
  <c r="R77" i="170"/>
  <c r="R77" i="164"/>
  <c r="R77" i="194"/>
  <c r="R77" i="190"/>
  <c r="R77" i="187"/>
  <c r="R77" i="184"/>
  <c r="R77" i="181"/>
  <c r="R77" i="179"/>
  <c r="R77" i="176"/>
  <c r="R77" i="183"/>
  <c r="R77" i="180"/>
  <c r="R77" i="175"/>
  <c r="R77" i="173"/>
  <c r="R77" i="172"/>
  <c r="R77" i="169"/>
  <c r="R77" i="165"/>
  <c r="R77" i="188"/>
  <c r="R77" i="186"/>
  <c r="R77" i="185"/>
  <c r="R77" i="174"/>
  <c r="R77" i="168"/>
  <c r="R77" i="167"/>
  <c r="R77" i="189"/>
  <c r="R77" i="161"/>
  <c r="R77" i="159"/>
  <c r="R77" i="158"/>
  <c r="R77" i="163"/>
  <c r="R77" i="118"/>
  <c r="R75" i="198"/>
  <c r="R75" i="191"/>
  <c r="R75" i="187"/>
  <c r="R75" i="184"/>
  <c r="R75" i="178"/>
  <c r="R75" i="170"/>
  <c r="R75" i="164"/>
  <c r="R75" i="188"/>
  <c r="R75" i="186"/>
  <c r="R75" i="181"/>
  <c r="R75" i="179"/>
  <c r="R75" i="176"/>
  <c r="R75" i="173"/>
  <c r="R75" i="190"/>
  <c r="R75" i="183"/>
  <c r="R75" i="180"/>
  <c r="R75" i="175"/>
  <c r="R75" i="172"/>
  <c r="R75" i="169"/>
  <c r="R75" i="194"/>
  <c r="R75" i="174"/>
  <c r="R75" i="168"/>
  <c r="R75" i="167"/>
  <c r="R75" i="189"/>
  <c r="R75" i="185"/>
  <c r="R75" i="165"/>
  <c r="R75" i="163"/>
  <c r="R75" i="158"/>
  <c r="R75" i="161"/>
  <c r="R75" i="159"/>
  <c r="R75" i="118"/>
  <c r="R88" i="198"/>
  <c r="R88" i="194"/>
  <c r="R88" i="191"/>
  <c r="R88" i="187"/>
  <c r="R88" i="186"/>
  <c r="R88" i="190"/>
  <c r="R88" i="184"/>
  <c r="R88" i="173"/>
  <c r="R88" i="189"/>
  <c r="R88" i="185"/>
  <c r="R88" i="183"/>
  <c r="R88" i="180"/>
  <c r="R88" i="175"/>
  <c r="R88" i="174"/>
  <c r="R88" i="169"/>
  <c r="R88" i="181"/>
  <c r="R88" i="179"/>
  <c r="R88" i="176"/>
  <c r="R88" i="164"/>
  <c r="R88" i="178"/>
  <c r="R88" i="167"/>
  <c r="R88" i="165"/>
  <c r="R88" i="188"/>
  <c r="R88" i="170"/>
  <c r="R88" i="168"/>
  <c r="R88" i="172"/>
  <c r="R88" i="163"/>
  <c r="R88" i="161"/>
  <c r="R88" i="159"/>
  <c r="R88" i="158"/>
  <c r="R88" i="118"/>
  <c r="T63" i="163"/>
  <c r="T63" i="170"/>
  <c r="T63" i="165"/>
  <c r="T63" i="179"/>
  <c r="T63" i="186"/>
  <c r="T63" i="183"/>
  <c r="T63" i="185"/>
  <c r="T63" i="193"/>
  <c r="P75" i="15"/>
  <c r="O75" i="192"/>
  <c r="P75" i="192"/>
  <c r="P66" i="193"/>
  <c r="O66" i="195"/>
  <c r="P66" i="195"/>
  <c r="P103" i="15"/>
  <c r="O103" i="192"/>
  <c r="P103" i="192"/>
  <c r="P90" i="15"/>
  <c r="O90" i="192"/>
  <c r="P90" i="192"/>
  <c r="P104" i="15"/>
  <c r="O104" i="192"/>
  <c r="P104" i="192"/>
  <c r="P70" i="193"/>
  <c r="O70" i="195"/>
  <c r="P70" i="195"/>
  <c r="R100" i="198"/>
  <c r="R100" i="194"/>
  <c r="R100" i="191"/>
  <c r="R100" i="187"/>
  <c r="R100" i="186"/>
  <c r="R100" i="190"/>
  <c r="R100" i="184"/>
  <c r="R100" i="173"/>
  <c r="R100" i="188"/>
  <c r="R100" i="185"/>
  <c r="R100" i="183"/>
  <c r="R100" i="180"/>
  <c r="R100" i="175"/>
  <c r="R100" i="170"/>
  <c r="R100" i="169"/>
  <c r="R100" i="181"/>
  <c r="R100" i="179"/>
  <c r="R100" i="176"/>
  <c r="R100" i="174"/>
  <c r="R100" i="189"/>
  <c r="R100" i="167"/>
  <c r="R100" i="165"/>
  <c r="R100" i="164"/>
  <c r="R100" i="178"/>
  <c r="R100" i="168"/>
  <c r="R100" i="172"/>
  <c r="R100" i="161"/>
  <c r="R100" i="159"/>
  <c r="R100" i="158"/>
  <c r="R100" i="163"/>
  <c r="R98" i="198"/>
  <c r="R98" i="194"/>
  <c r="R98" i="190"/>
  <c r="R98" i="191"/>
  <c r="R98" i="187"/>
  <c r="R98" i="186"/>
  <c r="R98" i="184"/>
  <c r="R98" i="178"/>
  <c r="R98" i="170"/>
  <c r="R98" i="164"/>
  <c r="R98" i="188"/>
  <c r="R98" i="181"/>
  <c r="R98" i="179"/>
  <c r="R98" i="176"/>
  <c r="R98" i="174"/>
  <c r="R98" i="173"/>
  <c r="R98" i="183"/>
  <c r="R98" i="180"/>
  <c r="R98" i="175"/>
  <c r="R98" i="172"/>
  <c r="R98" i="169"/>
  <c r="R98" i="168"/>
  <c r="R98" i="167"/>
  <c r="R98" i="185"/>
  <c r="R98" i="165"/>
  <c r="R98" i="189"/>
  <c r="R98" i="163"/>
  <c r="R98" i="161"/>
  <c r="R98" i="159"/>
  <c r="R98" i="158"/>
  <c r="R98" i="118"/>
  <c r="T63" i="180"/>
  <c r="T63" i="194"/>
  <c r="P86" i="15"/>
  <c r="O86" i="192"/>
  <c r="P86" i="192"/>
  <c r="P65" i="193"/>
  <c r="O65" i="195"/>
  <c r="P65" i="195"/>
  <c r="R103" i="198"/>
  <c r="R103" i="194"/>
  <c r="R103" i="191"/>
  <c r="R103" i="187"/>
  <c r="R103" i="186"/>
  <c r="R103" i="190"/>
  <c r="R103" i="184"/>
  <c r="R103" i="173"/>
  <c r="R103" i="185"/>
  <c r="R103" i="183"/>
  <c r="R103" i="180"/>
  <c r="R103" i="175"/>
  <c r="R103" i="169"/>
  <c r="R103" i="164"/>
  <c r="R103" i="189"/>
  <c r="R103" i="181"/>
  <c r="R103" i="179"/>
  <c r="R103" i="176"/>
  <c r="R103" i="174"/>
  <c r="R103" i="170"/>
  <c r="R103" i="168"/>
  <c r="R103" i="188"/>
  <c r="R103" i="167"/>
  <c r="R103" i="165"/>
  <c r="R103" i="178"/>
  <c r="R103" i="172"/>
  <c r="R103" i="163"/>
  <c r="R103" i="161"/>
  <c r="R103" i="159"/>
  <c r="R103" i="158"/>
  <c r="Q63" i="192"/>
  <c r="R63" i="192"/>
  <c r="P103" i="193"/>
  <c r="O103" i="195"/>
  <c r="P103" i="195"/>
  <c r="P64" i="193"/>
  <c r="O64" i="195"/>
  <c r="P64" i="195"/>
  <c r="P98" i="15"/>
  <c r="O98" i="192"/>
  <c r="P98" i="192"/>
  <c r="P56" i="15"/>
  <c r="O56" i="192"/>
  <c r="P56" i="192"/>
  <c r="P56" i="193"/>
  <c r="O56" i="195"/>
  <c r="P56" i="195"/>
  <c r="P104" i="193"/>
  <c r="O104" i="195"/>
  <c r="P104" i="195"/>
  <c r="P76" i="193"/>
  <c r="O76" i="195"/>
  <c r="P76" i="195"/>
  <c r="P68" i="15"/>
  <c r="O68" i="192"/>
  <c r="P68" i="192"/>
  <c r="P65" i="15"/>
  <c r="O65" i="192"/>
  <c r="P65" i="192"/>
  <c r="P92" i="193"/>
  <c r="O92" i="195"/>
  <c r="P92" i="195"/>
  <c r="R66" i="198"/>
  <c r="R66" i="194"/>
  <c r="R66" i="191"/>
  <c r="R66" i="178"/>
  <c r="R66" i="170"/>
  <c r="R66" i="164"/>
  <c r="R66" i="187"/>
  <c r="R66" i="186"/>
  <c r="R66" i="184"/>
  <c r="R66" i="181"/>
  <c r="R66" i="179"/>
  <c r="R66" i="176"/>
  <c r="R66" i="189"/>
  <c r="R66" i="183"/>
  <c r="R66" i="180"/>
  <c r="R66" i="175"/>
  <c r="R66" i="172"/>
  <c r="R66" i="169"/>
  <c r="R66" i="190"/>
  <c r="R66" i="174"/>
  <c r="R66" i="168"/>
  <c r="R66" i="167"/>
  <c r="R66" i="188"/>
  <c r="R66" i="165"/>
  <c r="R66" i="185"/>
  <c r="R66" i="173"/>
  <c r="R66" i="163"/>
  <c r="R66" i="161"/>
  <c r="R66" i="159"/>
  <c r="R66" i="158"/>
  <c r="R66" i="118"/>
  <c r="R90" i="198"/>
  <c r="R90" i="191"/>
  <c r="R90" i="194"/>
  <c r="R90" i="178"/>
  <c r="R90" i="170"/>
  <c r="R90" i="164"/>
  <c r="R90" i="189"/>
  <c r="R90" i="184"/>
  <c r="R90" i="181"/>
  <c r="R90" i="179"/>
  <c r="R90" i="176"/>
  <c r="R90" i="174"/>
  <c r="R90" i="188"/>
  <c r="R90" i="187"/>
  <c r="R90" i="183"/>
  <c r="R90" i="180"/>
  <c r="R90" i="175"/>
  <c r="R90" i="172"/>
  <c r="R90" i="169"/>
  <c r="R90" i="185"/>
  <c r="R90" i="173"/>
  <c r="R90" i="165"/>
  <c r="R90" i="186"/>
  <c r="R90" i="168"/>
  <c r="R90" i="167"/>
  <c r="R90" i="190"/>
  <c r="R90" i="161"/>
  <c r="R90" i="159"/>
  <c r="R90" i="158"/>
  <c r="R90" i="163"/>
  <c r="R90" i="118"/>
  <c r="R64" i="198"/>
  <c r="R64" i="191"/>
  <c r="R64" i="178"/>
  <c r="R64" i="170"/>
  <c r="R64" i="164"/>
  <c r="R64" i="194"/>
  <c r="R64" i="190"/>
  <c r="R64" i="187"/>
  <c r="R64" i="186"/>
  <c r="R64" i="181"/>
  <c r="R64" i="179"/>
  <c r="R64" i="176"/>
  <c r="R64" i="183"/>
  <c r="R64" i="180"/>
  <c r="R64" i="175"/>
  <c r="R64" i="173"/>
  <c r="R64" i="172"/>
  <c r="R64" i="169"/>
  <c r="R64" i="165"/>
  <c r="R64" i="189"/>
  <c r="R64" i="184"/>
  <c r="R64" i="185"/>
  <c r="R64" i="174"/>
  <c r="R64" i="168"/>
  <c r="R64" i="167"/>
  <c r="R64" i="188"/>
  <c r="R64" i="161"/>
  <c r="R64" i="159"/>
  <c r="R64" i="158"/>
  <c r="R64" i="163"/>
  <c r="R64" i="118"/>
  <c r="T63" i="159"/>
  <c r="T63" i="190"/>
  <c r="T63" i="174"/>
  <c r="T63" i="191"/>
  <c r="P88" i="15"/>
  <c r="O88" i="192"/>
  <c r="P88" i="192"/>
  <c r="P75" i="193"/>
  <c r="O75" i="195"/>
  <c r="P75" i="195"/>
  <c r="P77" i="193"/>
  <c r="O77" i="195"/>
  <c r="P77" i="195"/>
  <c r="P100" i="15"/>
  <c r="O100" i="192"/>
  <c r="P100" i="192"/>
  <c r="P67" i="15"/>
  <c r="O67" i="192"/>
  <c r="P67" i="192"/>
  <c r="P98" i="193"/>
  <c r="O98" i="195"/>
  <c r="P98" i="195"/>
  <c r="P54" i="15"/>
  <c r="O54" i="192"/>
  <c r="P54" i="192"/>
  <c r="R86" i="198"/>
  <c r="R86" i="194"/>
  <c r="R86" i="191"/>
  <c r="R86" i="187"/>
  <c r="R86" i="178"/>
  <c r="R86" i="170"/>
  <c r="R86" i="164"/>
  <c r="R86" i="181"/>
  <c r="R86" i="179"/>
  <c r="R86" i="176"/>
  <c r="R86" i="189"/>
  <c r="R86" i="184"/>
  <c r="R86" i="183"/>
  <c r="R86" i="180"/>
  <c r="R86" i="175"/>
  <c r="R86" i="172"/>
  <c r="R86" i="169"/>
  <c r="R86" i="188"/>
  <c r="R86" i="186"/>
  <c r="R86" i="174"/>
  <c r="R86" i="168"/>
  <c r="R86" i="167"/>
  <c r="R86" i="173"/>
  <c r="R86" i="190"/>
  <c r="R86" i="165"/>
  <c r="R86" i="185"/>
  <c r="R86" i="163"/>
  <c r="R86" i="161"/>
  <c r="R86" i="159"/>
  <c r="R86" i="158"/>
  <c r="R86" i="118"/>
  <c r="R67" i="198"/>
  <c r="R67" i="194"/>
  <c r="R67" i="191"/>
  <c r="R67" i="187"/>
  <c r="R67" i="190"/>
  <c r="R67" i="184"/>
  <c r="R67" i="173"/>
  <c r="R67" i="189"/>
  <c r="R67" i="185"/>
  <c r="R67" i="183"/>
  <c r="R67" i="180"/>
  <c r="R67" i="175"/>
  <c r="R67" i="174"/>
  <c r="R67" i="169"/>
  <c r="R67" i="181"/>
  <c r="R67" i="179"/>
  <c r="R67" i="176"/>
  <c r="R67" i="164"/>
  <c r="R67" i="178"/>
  <c r="R67" i="170"/>
  <c r="R67" i="167"/>
  <c r="R67" i="165"/>
  <c r="R67" i="186"/>
  <c r="R67" i="168"/>
  <c r="R67" i="188"/>
  <c r="R67" i="172"/>
  <c r="R67" i="163"/>
  <c r="R67" i="161"/>
  <c r="R67" i="159"/>
  <c r="R67" i="158"/>
  <c r="R67" i="118"/>
  <c r="R78" i="198"/>
  <c r="R78" i="194"/>
  <c r="R78" i="191"/>
  <c r="R78" i="187"/>
  <c r="R78" i="186"/>
  <c r="R78" i="190"/>
  <c r="R78" i="184"/>
  <c r="R78" i="173"/>
  <c r="R78" i="185"/>
  <c r="R78" i="183"/>
  <c r="R78" i="180"/>
  <c r="R78" i="175"/>
  <c r="R78" i="174"/>
  <c r="R78" i="169"/>
  <c r="R78" i="164"/>
  <c r="R78" i="189"/>
  <c r="R78" i="181"/>
  <c r="R78" i="179"/>
  <c r="R78" i="176"/>
  <c r="R78" i="170"/>
  <c r="R78" i="168"/>
  <c r="R78" i="167"/>
  <c r="R78" i="165"/>
  <c r="R78" i="188"/>
  <c r="R78" i="178"/>
  <c r="R78" i="172"/>
  <c r="R78" i="163"/>
  <c r="R78" i="161"/>
  <c r="R78" i="118"/>
  <c r="R78" i="158"/>
  <c r="R78" i="159"/>
  <c r="R70" i="198"/>
  <c r="R70" i="194"/>
  <c r="R70" i="191"/>
  <c r="R70" i="187"/>
  <c r="R70" i="190"/>
  <c r="R70" i="184"/>
  <c r="R70" i="173"/>
  <c r="R70" i="185"/>
  <c r="R70" i="183"/>
  <c r="R70" i="180"/>
  <c r="R70" i="175"/>
  <c r="R70" i="174"/>
  <c r="R70" i="169"/>
  <c r="R70" i="188"/>
  <c r="R70" i="181"/>
  <c r="R70" i="179"/>
  <c r="R70" i="176"/>
  <c r="R70" i="168"/>
  <c r="R70" i="164"/>
  <c r="R70" i="178"/>
  <c r="R70" i="167"/>
  <c r="R70" i="165"/>
  <c r="R70" i="189"/>
  <c r="R70" i="186"/>
  <c r="R70" i="172"/>
  <c r="R70" i="170"/>
  <c r="R70" i="159"/>
  <c r="R70" i="158"/>
  <c r="R70" i="118"/>
  <c r="R70" i="163"/>
  <c r="R70" i="161"/>
  <c r="R76" i="198"/>
  <c r="R76" i="194"/>
  <c r="R76" i="191"/>
  <c r="R76" i="187"/>
  <c r="R76" i="186"/>
  <c r="R76" i="190"/>
  <c r="R76" i="184"/>
  <c r="R76" i="173"/>
  <c r="R76" i="188"/>
  <c r="R76" i="185"/>
  <c r="R76" i="183"/>
  <c r="R76" i="180"/>
  <c r="R76" i="175"/>
  <c r="R76" i="174"/>
  <c r="R76" i="170"/>
  <c r="R76" i="169"/>
  <c r="R76" i="181"/>
  <c r="R76" i="179"/>
  <c r="R76" i="176"/>
  <c r="R76" i="167"/>
  <c r="R76" i="165"/>
  <c r="R76" i="189"/>
  <c r="R76" i="178"/>
  <c r="R76" i="168"/>
  <c r="R76" i="172"/>
  <c r="R76" i="164"/>
  <c r="R76" i="163"/>
  <c r="R76" i="161"/>
  <c r="R76" i="159"/>
  <c r="R76" i="158"/>
  <c r="R76" i="118"/>
  <c r="T63" i="118"/>
  <c r="T63" i="15"/>
  <c r="T63" i="168"/>
  <c r="T63" i="172"/>
  <c r="T63" i="169"/>
  <c r="T63" i="164"/>
  <c r="T63" i="184"/>
  <c r="T63" i="187"/>
  <c r="R104" i="198"/>
  <c r="R104" i="194"/>
  <c r="R104" i="190"/>
  <c r="R104" i="191"/>
  <c r="R104" i="178"/>
  <c r="R104" i="170"/>
  <c r="R104" i="164"/>
  <c r="R104" i="181"/>
  <c r="R104" i="179"/>
  <c r="R104" i="176"/>
  <c r="R104" i="174"/>
  <c r="R104" i="189"/>
  <c r="R104" i="186"/>
  <c r="R104" i="183"/>
  <c r="R104" i="180"/>
  <c r="R104" i="175"/>
  <c r="R104" i="172"/>
  <c r="R104" i="169"/>
  <c r="R104" i="184"/>
  <c r="R104" i="168"/>
  <c r="R104" i="167"/>
  <c r="R104" i="188"/>
  <c r="R104" i="165"/>
  <c r="R104" i="187"/>
  <c r="R104" i="185"/>
  <c r="R104" i="173"/>
  <c r="R104" i="163"/>
  <c r="R104" i="161"/>
  <c r="R104" i="159"/>
  <c r="R104" i="158"/>
  <c r="R65" i="198"/>
  <c r="R65" i="194"/>
  <c r="R65" i="191"/>
  <c r="R65" i="187"/>
  <c r="R65" i="190"/>
  <c r="R65" i="184"/>
  <c r="R65" i="173"/>
  <c r="R65" i="185"/>
  <c r="R65" i="183"/>
  <c r="R65" i="180"/>
  <c r="R65" i="175"/>
  <c r="R65" i="174"/>
  <c r="R65" i="169"/>
  <c r="R65" i="164"/>
  <c r="R65" i="189"/>
  <c r="R65" i="181"/>
  <c r="R65" i="179"/>
  <c r="R65" i="176"/>
  <c r="R65" i="170"/>
  <c r="R65" i="168"/>
  <c r="R65" i="188"/>
  <c r="R65" i="186"/>
  <c r="R65" i="167"/>
  <c r="R65" i="165"/>
  <c r="R65" i="178"/>
  <c r="R65" i="172"/>
  <c r="R65" i="163"/>
  <c r="R65" i="161"/>
  <c r="R65" i="118"/>
  <c r="R65" i="159"/>
  <c r="R65" i="158"/>
  <c r="R68" i="198"/>
  <c r="R68" i="191"/>
  <c r="R68" i="178"/>
  <c r="R68" i="170"/>
  <c r="R68" i="164"/>
  <c r="R68" i="189"/>
  <c r="R68" i="186"/>
  <c r="R68" i="181"/>
  <c r="R68" i="179"/>
  <c r="R68" i="176"/>
  <c r="R68" i="188"/>
  <c r="R68" i="183"/>
  <c r="R68" i="180"/>
  <c r="R68" i="175"/>
  <c r="R68" i="172"/>
  <c r="R68" i="169"/>
  <c r="R68" i="185"/>
  <c r="R68" i="184"/>
  <c r="R68" i="165"/>
  <c r="R68" i="190"/>
  <c r="R68" i="174"/>
  <c r="R68" i="173"/>
  <c r="R68" i="168"/>
  <c r="R68" i="167"/>
  <c r="R68" i="194"/>
  <c r="R68" i="187"/>
  <c r="R68" i="161"/>
  <c r="R68" i="159"/>
  <c r="R68" i="158"/>
  <c r="R68" i="118"/>
  <c r="R68" i="163"/>
  <c r="T63" i="161"/>
  <c r="T63" i="158"/>
  <c r="T63" i="176"/>
  <c r="T63" i="178"/>
  <c r="T63" i="175"/>
  <c r="T63" i="173"/>
  <c r="T63" i="189"/>
  <c r="P88" i="193"/>
  <c r="O88" i="195"/>
  <c r="P88" i="195"/>
  <c r="P77" i="15"/>
  <c r="O77" i="192"/>
  <c r="P77" i="192"/>
  <c r="P66" i="15"/>
  <c r="O66" i="192"/>
  <c r="P66" i="192"/>
  <c r="P100" i="193"/>
  <c r="O100" i="195"/>
  <c r="P100" i="195"/>
  <c r="P67" i="193"/>
  <c r="O67" i="195"/>
  <c r="P67" i="195"/>
  <c r="P64" i="15"/>
  <c r="O64" i="192"/>
  <c r="P64" i="192"/>
  <c r="P90" i="193"/>
  <c r="O90" i="195"/>
  <c r="P90" i="195"/>
  <c r="P86" i="193"/>
  <c r="O86" i="195"/>
  <c r="P86" i="195"/>
  <c r="P76" i="15"/>
  <c r="O76" i="192"/>
  <c r="P76" i="192"/>
  <c r="P68" i="193"/>
  <c r="O68" i="195"/>
  <c r="P68" i="195"/>
  <c r="P54" i="193"/>
  <c r="O54" i="195"/>
  <c r="P54" i="195"/>
  <c r="P78" i="15"/>
  <c r="O78" i="192"/>
  <c r="P78" i="192"/>
  <c r="P78" i="193"/>
  <c r="O78" i="195"/>
  <c r="P78" i="195"/>
  <c r="P70" i="15"/>
  <c r="O70" i="192"/>
  <c r="P70" i="192"/>
  <c r="P99" i="15"/>
  <c r="O99" i="192"/>
  <c r="P99" i="192"/>
  <c r="R99" i="198"/>
  <c r="R99" i="184"/>
  <c r="R99" i="183"/>
  <c r="R99" i="181"/>
  <c r="R99" i="180"/>
  <c r="R99" i="179"/>
  <c r="R99" i="178"/>
  <c r="R99" i="176"/>
  <c r="R99" i="175"/>
  <c r="R99" i="174"/>
  <c r="R99" i="173"/>
  <c r="R99" i="172"/>
  <c r="R99" i="170"/>
  <c r="R99" i="169"/>
  <c r="R99" i="168"/>
  <c r="R99" i="167"/>
  <c r="R99" i="165"/>
  <c r="R99" i="164"/>
  <c r="R99" i="189"/>
  <c r="R99" i="188"/>
  <c r="R99" i="185"/>
  <c r="R99" i="190"/>
  <c r="R99" i="191"/>
  <c r="R99" i="194"/>
  <c r="R99" i="186"/>
  <c r="R99" i="187"/>
  <c r="R99" i="163"/>
  <c r="R99" i="158"/>
  <c r="R99" i="161"/>
  <c r="R99" i="159"/>
  <c r="R99" i="118"/>
  <c r="P99" i="193"/>
  <c r="O99" i="195"/>
  <c r="P99" i="195"/>
  <c r="T19" i="198"/>
  <c r="T63" i="198"/>
  <c r="S114" i="198"/>
  <c r="T114" i="198"/>
  <c r="T71" i="192"/>
  <c r="T84" i="192"/>
  <c r="P111" i="198"/>
  <c r="O116" i="198"/>
  <c r="P116" i="198"/>
  <c r="T81" i="192"/>
  <c r="T95" i="192"/>
  <c r="T94" i="192"/>
  <c r="T60" i="192"/>
  <c r="T59" i="192"/>
  <c r="V96" i="191"/>
  <c r="V95" i="191"/>
  <c r="V91" i="191"/>
  <c r="V83" i="191"/>
  <c r="V82" i="191"/>
  <c r="V74" i="191"/>
  <c r="V60" i="191"/>
  <c r="V57" i="191"/>
  <c r="V52" i="191"/>
  <c r="T53" i="192"/>
  <c r="Q116" i="192"/>
  <c r="R116" i="192"/>
  <c r="R111" i="192"/>
  <c r="R52" i="198"/>
  <c r="T87" i="192"/>
  <c r="T111" i="191"/>
  <c r="S116" i="191"/>
  <c r="T116" i="191"/>
  <c r="S111" i="192"/>
  <c r="T73" i="192"/>
  <c r="T96" i="192"/>
  <c r="V93" i="191"/>
  <c r="V97" i="191"/>
  <c r="U97" i="192"/>
  <c r="V89" i="191"/>
  <c r="V81" i="191"/>
  <c r="V80" i="191"/>
  <c r="V73" i="191"/>
  <c r="V58" i="191"/>
  <c r="V71" i="191"/>
  <c r="V53" i="191"/>
  <c r="T69" i="192"/>
  <c r="T85" i="192"/>
  <c r="T82" i="192"/>
  <c r="T93" i="192"/>
  <c r="T91" i="192"/>
  <c r="R112" i="192"/>
  <c r="Q112" i="198"/>
  <c r="R112" i="198"/>
  <c r="T58" i="192"/>
  <c r="T57" i="192"/>
  <c r="T72" i="192"/>
  <c r="T89" i="192"/>
  <c r="V87" i="191"/>
  <c r="V79" i="191"/>
  <c r="V72" i="191"/>
  <c r="V69" i="191"/>
  <c r="V61" i="191"/>
  <c r="T62" i="192"/>
  <c r="T79" i="192"/>
  <c r="T25" i="198"/>
  <c r="T38" i="198"/>
  <c r="T42" i="198"/>
  <c r="T46" i="198"/>
  <c r="T23" i="198"/>
  <c r="T27" i="198"/>
  <c r="T36" i="198"/>
  <c r="T40" i="198"/>
  <c r="T44" i="198"/>
  <c r="T26" i="198"/>
  <c r="T32" i="198"/>
  <c r="T41" i="198"/>
  <c r="T28" i="198"/>
  <c r="T43" i="198"/>
  <c r="T21" i="198"/>
  <c r="T37" i="198"/>
  <c r="T45" i="198"/>
  <c r="T24" i="198"/>
  <c r="T39" i="198"/>
  <c r="T20" i="198"/>
  <c r="T52" i="192"/>
  <c r="S113" i="198"/>
  <c r="T113" i="198"/>
  <c r="T83" i="192"/>
  <c r="T80" i="192"/>
  <c r="T97" i="192"/>
  <c r="V94" i="191"/>
  <c r="V85" i="191"/>
  <c r="V84" i="191"/>
  <c r="V62" i="191"/>
  <c r="U112" i="191"/>
  <c r="U111" i="191"/>
  <c r="T112" i="191"/>
  <c r="S112" i="192"/>
  <c r="T61" i="192"/>
  <c r="T74" i="192"/>
  <c r="T84" i="198"/>
  <c r="S115" i="198"/>
  <c r="T115" i="198"/>
  <c r="T78" i="162"/>
  <c r="T78" i="177"/>
  <c r="T67" i="162"/>
  <c r="T67" i="177"/>
  <c r="T70" i="162"/>
  <c r="T70" i="177"/>
  <c r="T88" i="162"/>
  <c r="T88" i="177"/>
  <c r="T104" i="162"/>
  <c r="T104" i="177"/>
  <c r="T66" i="162"/>
  <c r="T66" i="177"/>
  <c r="T99" i="162"/>
  <c r="T99" i="177"/>
  <c r="T76" i="162"/>
  <c r="T76" i="177"/>
  <c r="T100" i="162"/>
  <c r="T100" i="177"/>
  <c r="T54" i="162"/>
  <c r="T90" i="162"/>
  <c r="T90" i="177"/>
  <c r="T56" i="162"/>
  <c r="T56" i="177"/>
  <c r="T68" i="162"/>
  <c r="T68" i="177"/>
  <c r="T75" i="162"/>
  <c r="T75" i="177"/>
  <c r="T92" i="162"/>
  <c r="T92" i="177"/>
  <c r="T86" i="162"/>
  <c r="T86" i="177"/>
  <c r="T77" i="162"/>
  <c r="T77" i="177"/>
  <c r="T98" i="162"/>
  <c r="T98" i="177"/>
  <c r="T64" i="162"/>
  <c r="T64" i="177"/>
  <c r="P105" i="177"/>
  <c r="O107" i="177"/>
  <c r="P107" i="177"/>
  <c r="Q105" i="177"/>
  <c r="T65" i="162"/>
  <c r="T65" i="177"/>
  <c r="R102" i="194"/>
  <c r="R102" i="162"/>
  <c r="R102" i="168"/>
  <c r="R102" i="174"/>
  <c r="R102" i="190"/>
  <c r="R102" i="169"/>
  <c r="R102" i="176"/>
  <c r="R102" i="158"/>
  <c r="R102" i="172"/>
  <c r="R102" i="164"/>
  <c r="R102" i="161"/>
  <c r="R102" i="180"/>
  <c r="R102" i="191"/>
  <c r="R102" i="198"/>
  <c r="R102" i="159"/>
  <c r="R102" i="185"/>
  <c r="R102" i="183"/>
  <c r="R102" i="170"/>
  <c r="O102" i="195"/>
  <c r="P102" i="195"/>
  <c r="O102" i="192"/>
  <c r="P102" i="192"/>
  <c r="R102" i="15"/>
  <c r="R102" i="167"/>
  <c r="R102" i="165"/>
  <c r="R102" i="175"/>
  <c r="R102" i="186"/>
  <c r="R102" i="181"/>
  <c r="R102" i="187"/>
  <c r="Q107" i="197"/>
  <c r="R107" i="197"/>
  <c r="R105" i="197"/>
  <c r="T102" i="177"/>
  <c r="T102" i="197"/>
  <c r="S105" i="197"/>
  <c r="R102" i="163"/>
  <c r="R102" i="188"/>
  <c r="R102" i="189"/>
  <c r="R102" i="173"/>
  <c r="R102" i="184"/>
  <c r="R102" i="179"/>
  <c r="R102" i="178"/>
  <c r="T104" i="198"/>
  <c r="T104" i="191"/>
  <c r="T104" i="188"/>
  <c r="T104" i="183"/>
  <c r="T104" i="180"/>
  <c r="T104" i="175"/>
  <c r="T104" i="189"/>
  <c r="T104" i="187"/>
  <c r="T104" i="172"/>
  <c r="T104" i="167"/>
  <c r="T104" i="186"/>
  <c r="T104" i="178"/>
  <c r="T104" i="169"/>
  <c r="T104" i="164"/>
  <c r="T104" i="190"/>
  <c r="T104" i="184"/>
  <c r="T104" i="173"/>
  <c r="T104" i="170"/>
  <c r="T104" i="179"/>
  <c r="T104" i="181"/>
  <c r="T104" i="174"/>
  <c r="T104" i="165"/>
  <c r="T104" i="185"/>
  <c r="T104" i="176"/>
  <c r="T104" i="194"/>
  <c r="T104" i="168"/>
  <c r="T104" i="163"/>
  <c r="T104" i="161"/>
  <c r="T104" i="159"/>
  <c r="T104" i="158"/>
  <c r="T56" i="198"/>
  <c r="T56" i="189"/>
  <c r="T56" i="194"/>
  <c r="T56" i="187"/>
  <c r="T56" i="185"/>
  <c r="T56" i="181"/>
  <c r="T56" i="179"/>
  <c r="T56" i="178"/>
  <c r="T56" i="176"/>
  <c r="T56" i="188"/>
  <c r="T56" i="184"/>
  <c r="T56" i="169"/>
  <c r="T56" i="168"/>
  <c r="T56" i="165"/>
  <c r="T56" i="190"/>
  <c r="T56" i="173"/>
  <c r="T56" i="172"/>
  <c r="T56" i="164"/>
  <c r="T56" i="180"/>
  <c r="T56" i="183"/>
  <c r="T56" i="175"/>
  <c r="T56" i="191"/>
  <c r="T56" i="186"/>
  <c r="T56" i="174"/>
  <c r="T56" i="170"/>
  <c r="T56" i="167"/>
  <c r="T56" i="163"/>
  <c r="T56" i="159"/>
  <c r="T56" i="158"/>
  <c r="T56" i="118"/>
  <c r="T56" i="161"/>
  <c r="R64" i="193"/>
  <c r="Q64" i="195"/>
  <c r="R64" i="195"/>
  <c r="R88" i="15"/>
  <c r="Q88" i="192"/>
  <c r="R88" i="192"/>
  <c r="R92" i="15"/>
  <c r="Q92" i="192"/>
  <c r="R92" i="192"/>
  <c r="T100" i="198"/>
  <c r="T100" i="190"/>
  <c r="T100" i="194"/>
  <c r="T100" i="189"/>
  <c r="T100" i="187"/>
  <c r="T100" i="186"/>
  <c r="T100" i="185"/>
  <c r="T100" i="181"/>
  <c r="T100" i="179"/>
  <c r="T100" i="178"/>
  <c r="T100" i="176"/>
  <c r="T100" i="174"/>
  <c r="T100" i="188"/>
  <c r="T100" i="184"/>
  <c r="T100" i="169"/>
  <c r="T100" i="168"/>
  <c r="T100" i="165"/>
  <c r="T100" i="173"/>
  <c r="T100" i="172"/>
  <c r="T100" i="164"/>
  <c r="T100" i="180"/>
  <c r="T100" i="183"/>
  <c r="T100" i="175"/>
  <c r="T100" i="191"/>
  <c r="T100" i="170"/>
  <c r="T100" i="167"/>
  <c r="T100" i="161"/>
  <c r="T100" i="159"/>
  <c r="T100" i="158"/>
  <c r="T100" i="163"/>
  <c r="T66" i="198"/>
  <c r="T66" i="191"/>
  <c r="T66" i="194"/>
  <c r="T66" i="190"/>
  <c r="T66" i="188"/>
  <c r="T66" i="186"/>
  <c r="T66" i="183"/>
  <c r="T66" i="180"/>
  <c r="T66" i="175"/>
  <c r="T66" i="189"/>
  <c r="T66" i="174"/>
  <c r="T66" i="172"/>
  <c r="T66" i="167"/>
  <c r="T66" i="178"/>
  <c r="T66" i="169"/>
  <c r="T66" i="164"/>
  <c r="T66" i="173"/>
  <c r="T66" i="170"/>
  <c r="T66" i="179"/>
  <c r="T66" i="187"/>
  <c r="T66" i="181"/>
  <c r="T66" i="165"/>
  <c r="T66" i="185"/>
  <c r="T66" i="184"/>
  <c r="T66" i="176"/>
  <c r="T66" i="168"/>
  <c r="T66" i="163"/>
  <c r="T66" i="161"/>
  <c r="T66" i="159"/>
  <c r="T66" i="158"/>
  <c r="T66" i="118"/>
  <c r="T77" i="198"/>
  <c r="T77" i="191"/>
  <c r="T77" i="194"/>
  <c r="T77" i="190"/>
  <c r="T77" i="188"/>
  <c r="T77" i="187"/>
  <c r="T77" i="186"/>
  <c r="T77" i="183"/>
  <c r="T77" i="180"/>
  <c r="T77" i="175"/>
  <c r="T77" i="189"/>
  <c r="T77" i="184"/>
  <c r="T77" i="174"/>
  <c r="T77" i="172"/>
  <c r="T77" i="167"/>
  <c r="T77" i="178"/>
  <c r="T77" i="173"/>
  <c r="T77" i="170"/>
  <c r="T77" i="169"/>
  <c r="T77" i="181"/>
  <c r="T77" i="185"/>
  <c r="T77" i="176"/>
  <c r="T77" i="168"/>
  <c r="T77" i="164"/>
  <c r="T77" i="179"/>
  <c r="T77" i="165"/>
  <c r="T77" i="161"/>
  <c r="T77" i="159"/>
  <c r="T77" i="158"/>
  <c r="T77" i="163"/>
  <c r="T77" i="118"/>
  <c r="T68" i="198"/>
  <c r="T68" i="194"/>
  <c r="T68" i="191"/>
  <c r="T68" i="190"/>
  <c r="T68" i="188"/>
  <c r="T68" i="186"/>
  <c r="T68" i="183"/>
  <c r="T68" i="180"/>
  <c r="T68" i="175"/>
  <c r="T68" i="189"/>
  <c r="T68" i="174"/>
  <c r="T68" i="172"/>
  <c r="T68" i="167"/>
  <c r="T68" i="178"/>
  <c r="T68" i="169"/>
  <c r="T68" i="187"/>
  <c r="T68" i="164"/>
  <c r="T68" i="179"/>
  <c r="T68" i="173"/>
  <c r="T68" i="168"/>
  <c r="T68" i="181"/>
  <c r="T68" i="185"/>
  <c r="T68" i="184"/>
  <c r="T68" i="176"/>
  <c r="T68" i="170"/>
  <c r="T68" i="165"/>
  <c r="T68" i="161"/>
  <c r="T68" i="159"/>
  <c r="T68" i="158"/>
  <c r="T68" i="163"/>
  <c r="T68" i="118"/>
  <c r="S63" i="195"/>
  <c r="T63" i="195"/>
  <c r="R65" i="15"/>
  <c r="Q65" i="192"/>
  <c r="R65" i="192"/>
  <c r="R104" i="193"/>
  <c r="Q104" i="195"/>
  <c r="R104" i="195"/>
  <c r="R76" i="193"/>
  <c r="Q76" i="195"/>
  <c r="R76" i="195"/>
  <c r="R64" i="15"/>
  <c r="Q64" i="192"/>
  <c r="R64" i="192"/>
  <c r="R103" i="15"/>
  <c r="Q103" i="192"/>
  <c r="R103" i="192"/>
  <c r="R98" i="193"/>
  <c r="Q98" i="195"/>
  <c r="R98" i="195"/>
  <c r="R56" i="193"/>
  <c r="Q56" i="195"/>
  <c r="R56" i="195"/>
  <c r="R54" i="15"/>
  <c r="Q54" i="192"/>
  <c r="R54" i="192"/>
  <c r="T76" i="198"/>
  <c r="T76" i="194"/>
  <c r="T76" i="189"/>
  <c r="T76" i="187"/>
  <c r="T76" i="186"/>
  <c r="T76" i="185"/>
  <c r="T76" i="181"/>
  <c r="T76" i="179"/>
  <c r="T76" i="178"/>
  <c r="T76" i="176"/>
  <c r="T76" i="188"/>
  <c r="T76" i="184"/>
  <c r="T76" i="169"/>
  <c r="T76" i="168"/>
  <c r="T76" i="165"/>
  <c r="T76" i="190"/>
  <c r="T76" i="173"/>
  <c r="T76" i="172"/>
  <c r="T76" i="180"/>
  <c r="T76" i="170"/>
  <c r="T76" i="183"/>
  <c r="T76" i="175"/>
  <c r="T76" i="164"/>
  <c r="T76" i="191"/>
  <c r="T76" i="174"/>
  <c r="T76" i="167"/>
  <c r="T76" i="163"/>
  <c r="T76" i="159"/>
  <c r="T76" i="118"/>
  <c r="T76" i="161"/>
  <c r="T76" i="158"/>
  <c r="R76" i="15"/>
  <c r="Q76" i="192"/>
  <c r="R76" i="192"/>
  <c r="R92" i="193"/>
  <c r="Q92" i="195"/>
  <c r="R92" i="195"/>
  <c r="T70" i="198"/>
  <c r="T70" i="194"/>
  <c r="T70" i="189"/>
  <c r="T70" i="185"/>
  <c r="T70" i="181"/>
  <c r="T70" i="179"/>
  <c r="T70" i="178"/>
  <c r="T70" i="176"/>
  <c r="T70" i="188"/>
  <c r="T70" i="187"/>
  <c r="T70" i="169"/>
  <c r="T70" i="168"/>
  <c r="T70" i="165"/>
  <c r="T70" i="191"/>
  <c r="T70" i="190"/>
  <c r="T70" i="184"/>
  <c r="T70" i="172"/>
  <c r="T70" i="164"/>
  <c r="T70" i="180"/>
  <c r="T70" i="183"/>
  <c r="T70" i="175"/>
  <c r="T70" i="174"/>
  <c r="T70" i="173"/>
  <c r="T70" i="167"/>
  <c r="T70" i="186"/>
  <c r="T70" i="170"/>
  <c r="T70" i="161"/>
  <c r="T70" i="159"/>
  <c r="T70" i="158"/>
  <c r="T70" i="163"/>
  <c r="T70" i="118"/>
  <c r="R70" i="193"/>
  <c r="Q70" i="195"/>
  <c r="R70" i="195"/>
  <c r="R90" i="15"/>
  <c r="Q90" i="192"/>
  <c r="R90" i="192"/>
  <c r="R103" i="193"/>
  <c r="Q103" i="195"/>
  <c r="R103" i="195"/>
  <c r="R77" i="15"/>
  <c r="Q77" i="192"/>
  <c r="R77" i="192"/>
  <c r="T86" i="198"/>
  <c r="T86" i="191"/>
  <c r="T86" i="190"/>
  <c r="T86" i="188"/>
  <c r="T86" i="183"/>
  <c r="T86" i="180"/>
  <c r="T86" i="175"/>
  <c r="T86" i="189"/>
  <c r="T86" i="174"/>
  <c r="T86" i="172"/>
  <c r="T86" i="167"/>
  <c r="T86" i="194"/>
  <c r="T86" i="184"/>
  <c r="T86" i="178"/>
  <c r="T86" i="169"/>
  <c r="T86" i="164"/>
  <c r="T86" i="186"/>
  <c r="T86" i="173"/>
  <c r="T86" i="170"/>
  <c r="T86" i="187"/>
  <c r="T86" i="179"/>
  <c r="T86" i="181"/>
  <c r="T86" i="165"/>
  <c r="T86" i="185"/>
  <c r="T86" i="176"/>
  <c r="T86" i="168"/>
  <c r="T86" i="163"/>
  <c r="T86" i="161"/>
  <c r="T86" i="118"/>
  <c r="T86" i="158"/>
  <c r="T86" i="159"/>
  <c r="T90" i="198"/>
  <c r="T90" i="194"/>
  <c r="T90" i="191"/>
  <c r="T90" i="190"/>
  <c r="T90" i="188"/>
  <c r="T90" i="183"/>
  <c r="T90" i="180"/>
  <c r="T90" i="175"/>
  <c r="T90" i="189"/>
  <c r="T90" i="186"/>
  <c r="T90" i="172"/>
  <c r="T90" i="167"/>
  <c r="T90" i="187"/>
  <c r="T90" i="178"/>
  <c r="T90" i="169"/>
  <c r="T90" i="164"/>
  <c r="T90" i="184"/>
  <c r="T90" i="179"/>
  <c r="T90" i="170"/>
  <c r="T90" i="168"/>
  <c r="T90" i="181"/>
  <c r="T90" i="174"/>
  <c r="T90" i="185"/>
  <c r="T90" i="176"/>
  <c r="T90" i="173"/>
  <c r="T90" i="165"/>
  <c r="T90" i="161"/>
  <c r="T90" i="159"/>
  <c r="T90" i="158"/>
  <c r="T90" i="163"/>
  <c r="T90" i="118"/>
  <c r="R68" i="193"/>
  <c r="Q68" i="195"/>
  <c r="R68" i="195"/>
  <c r="R65" i="193"/>
  <c r="Q65" i="195"/>
  <c r="R65" i="195"/>
  <c r="R78" i="15"/>
  <c r="Q78" i="192"/>
  <c r="R78" i="192"/>
  <c r="R67" i="193"/>
  <c r="Q67" i="195"/>
  <c r="R67" i="195"/>
  <c r="R86" i="15"/>
  <c r="Q86" i="192"/>
  <c r="R86" i="192"/>
  <c r="R90" i="193"/>
  <c r="Q90" i="195"/>
  <c r="R90" i="195"/>
  <c r="R66" i="193"/>
  <c r="Q66" i="195"/>
  <c r="R66" i="195"/>
  <c r="R100" i="193"/>
  <c r="Q100" i="195"/>
  <c r="R100" i="195"/>
  <c r="R88" i="193"/>
  <c r="Q88" i="195"/>
  <c r="R88" i="195"/>
  <c r="R77" i="193"/>
  <c r="Q77" i="195"/>
  <c r="R77" i="195"/>
  <c r="R56" i="15"/>
  <c r="Q56" i="192"/>
  <c r="R56" i="192"/>
  <c r="T67" i="198"/>
  <c r="T67" i="194"/>
  <c r="T67" i="189"/>
  <c r="T67" i="185"/>
  <c r="T67" i="181"/>
  <c r="T67" i="179"/>
  <c r="T67" i="178"/>
  <c r="T67" i="176"/>
  <c r="T67" i="188"/>
  <c r="T67" i="187"/>
  <c r="T67" i="169"/>
  <c r="T67" i="168"/>
  <c r="T67" i="165"/>
  <c r="T67" i="164"/>
  <c r="T67" i="184"/>
  <c r="T67" i="172"/>
  <c r="T67" i="170"/>
  <c r="T67" i="190"/>
  <c r="T67" i="183"/>
  <c r="T67" i="175"/>
  <c r="T67" i="186"/>
  <c r="T67" i="173"/>
  <c r="T67" i="191"/>
  <c r="T67" i="180"/>
  <c r="T67" i="174"/>
  <c r="T67" i="167"/>
  <c r="T67" i="163"/>
  <c r="T67" i="161"/>
  <c r="T67" i="159"/>
  <c r="T67" i="158"/>
  <c r="T67" i="118"/>
  <c r="T75" i="198"/>
  <c r="T75" i="191"/>
  <c r="T75" i="190"/>
  <c r="T75" i="188"/>
  <c r="T75" i="186"/>
  <c r="T75" i="183"/>
  <c r="T75" i="180"/>
  <c r="T75" i="175"/>
  <c r="T75" i="194"/>
  <c r="T75" i="189"/>
  <c r="T75" i="174"/>
  <c r="T75" i="172"/>
  <c r="T75" i="167"/>
  <c r="T75" i="187"/>
  <c r="T75" i="178"/>
  <c r="T75" i="169"/>
  <c r="T75" i="185"/>
  <c r="T75" i="176"/>
  <c r="T75" i="173"/>
  <c r="T75" i="184"/>
  <c r="T75" i="165"/>
  <c r="T75" i="179"/>
  <c r="T75" i="170"/>
  <c r="T75" i="181"/>
  <c r="T75" i="168"/>
  <c r="T75" i="164"/>
  <c r="T75" i="163"/>
  <c r="T75" i="159"/>
  <c r="T75" i="158"/>
  <c r="T75" i="161"/>
  <c r="T75" i="118"/>
  <c r="T92" i="198"/>
  <c r="T92" i="190"/>
  <c r="T92" i="189"/>
  <c r="T92" i="185"/>
  <c r="T92" i="181"/>
  <c r="T92" i="179"/>
  <c r="T92" i="178"/>
  <c r="T92" i="176"/>
  <c r="T92" i="174"/>
  <c r="T92" i="194"/>
  <c r="T92" i="188"/>
  <c r="T92" i="169"/>
  <c r="T92" i="168"/>
  <c r="T92" i="165"/>
  <c r="T92" i="187"/>
  <c r="T92" i="191"/>
  <c r="T92" i="172"/>
  <c r="T92" i="164"/>
  <c r="T92" i="186"/>
  <c r="T92" i="180"/>
  <c r="T92" i="170"/>
  <c r="T92" i="184"/>
  <c r="T92" i="183"/>
  <c r="T92" i="175"/>
  <c r="T92" i="167"/>
  <c r="T92" i="173"/>
  <c r="T92" i="161"/>
  <c r="T92" i="159"/>
  <c r="T92" i="158"/>
  <c r="T92" i="163"/>
  <c r="T92" i="118"/>
  <c r="T103" i="198"/>
  <c r="T103" i="190"/>
  <c r="T103" i="189"/>
  <c r="T103" i="185"/>
  <c r="T103" i="181"/>
  <c r="T103" i="179"/>
  <c r="T103" i="178"/>
  <c r="T103" i="176"/>
  <c r="T103" i="174"/>
  <c r="T103" i="188"/>
  <c r="T103" i="186"/>
  <c r="T103" i="169"/>
  <c r="T103" i="168"/>
  <c r="T103" i="165"/>
  <c r="T103" i="170"/>
  <c r="T103" i="194"/>
  <c r="T103" i="191"/>
  <c r="T103" i="173"/>
  <c r="T103" i="172"/>
  <c r="T103" i="167"/>
  <c r="T103" i="187"/>
  <c r="T103" i="180"/>
  <c r="T103" i="184"/>
  <c r="T103" i="183"/>
  <c r="T103" i="175"/>
  <c r="T103" i="164"/>
  <c r="T103" i="163"/>
  <c r="T103" i="161"/>
  <c r="T103" i="159"/>
  <c r="T103" i="158"/>
  <c r="T98" i="198"/>
  <c r="T98" i="191"/>
  <c r="T98" i="188"/>
  <c r="T98" i="183"/>
  <c r="T98" i="180"/>
  <c r="T98" i="175"/>
  <c r="T98" i="194"/>
  <c r="T98" i="189"/>
  <c r="T98" i="172"/>
  <c r="T98" i="167"/>
  <c r="T98" i="187"/>
  <c r="T98" i="184"/>
  <c r="T98" i="178"/>
  <c r="T98" i="169"/>
  <c r="T98" i="190"/>
  <c r="T98" i="186"/>
  <c r="T98" i="185"/>
  <c r="T98" i="176"/>
  <c r="T98" i="170"/>
  <c r="T98" i="165"/>
  <c r="T98" i="164"/>
  <c r="T98" i="179"/>
  <c r="T98" i="173"/>
  <c r="T98" i="181"/>
  <c r="T98" i="174"/>
  <c r="T98" i="168"/>
  <c r="T98" i="163"/>
  <c r="T98" i="161"/>
  <c r="T98" i="159"/>
  <c r="T98" i="118"/>
  <c r="T98" i="158"/>
  <c r="T64" i="198"/>
  <c r="T64" i="194"/>
  <c r="T64" i="191"/>
  <c r="T64" i="190"/>
  <c r="T64" i="188"/>
  <c r="T64" i="187"/>
  <c r="T64" i="186"/>
  <c r="T64" i="183"/>
  <c r="T64" i="180"/>
  <c r="T64" i="175"/>
  <c r="T64" i="189"/>
  <c r="T64" i="184"/>
  <c r="T64" i="174"/>
  <c r="T64" i="172"/>
  <c r="T64" i="167"/>
  <c r="T64" i="178"/>
  <c r="T64" i="173"/>
  <c r="T64" i="170"/>
  <c r="T64" i="169"/>
  <c r="T64" i="181"/>
  <c r="T64" i="164"/>
  <c r="T64" i="185"/>
  <c r="T64" i="176"/>
  <c r="T64" i="168"/>
  <c r="T64" i="179"/>
  <c r="T64" i="165"/>
  <c r="T64" i="161"/>
  <c r="T64" i="159"/>
  <c r="T64" i="158"/>
  <c r="T64" i="163"/>
  <c r="T64" i="118"/>
  <c r="R86" i="193"/>
  <c r="Q86" i="195"/>
  <c r="R86" i="195"/>
  <c r="T78" i="198"/>
  <c r="T78" i="194"/>
  <c r="T78" i="189"/>
  <c r="T78" i="185"/>
  <c r="T78" i="181"/>
  <c r="T78" i="179"/>
  <c r="T78" i="178"/>
  <c r="T78" i="176"/>
  <c r="T78" i="188"/>
  <c r="T78" i="169"/>
  <c r="T78" i="168"/>
  <c r="T78" i="165"/>
  <c r="T78" i="170"/>
  <c r="T78" i="191"/>
  <c r="T78" i="173"/>
  <c r="T78" i="172"/>
  <c r="T78" i="190"/>
  <c r="T78" i="174"/>
  <c r="T78" i="167"/>
  <c r="T78" i="164"/>
  <c r="T78" i="180"/>
  <c r="T78" i="187"/>
  <c r="T78" i="186"/>
  <c r="T78" i="184"/>
  <c r="T78" i="183"/>
  <c r="T78" i="175"/>
  <c r="T78" i="161"/>
  <c r="T78" i="159"/>
  <c r="T78" i="158"/>
  <c r="T78" i="163"/>
  <c r="T78" i="118"/>
  <c r="T54" i="198"/>
  <c r="T54" i="191"/>
  <c r="T54" i="188"/>
  <c r="T54" i="194"/>
  <c r="T54" i="186"/>
  <c r="T54" i="185"/>
  <c r="T54" i="183"/>
  <c r="T54" i="180"/>
  <c r="T54" i="179"/>
  <c r="T54" i="178"/>
  <c r="T54" i="175"/>
  <c r="T54" i="190"/>
  <c r="T54" i="187"/>
  <c r="T54" i="170"/>
  <c r="T54" i="169"/>
  <c r="T54" i="167"/>
  <c r="T54" i="165"/>
  <c r="T54" i="189"/>
  <c r="T54" i="173"/>
  <c r="T54" i="172"/>
  <c r="T54" i="184"/>
  <c r="T54" i="176"/>
  <c r="T54" i="164"/>
  <c r="T54" i="174"/>
  <c r="T54" i="181"/>
  <c r="T54" i="168"/>
  <c r="T54" i="161"/>
  <c r="T54" i="159"/>
  <c r="T54" i="158"/>
  <c r="T54" i="163"/>
  <c r="T54" i="118"/>
  <c r="T65" i="198"/>
  <c r="T65" i="189"/>
  <c r="T65" i="185"/>
  <c r="T65" i="181"/>
  <c r="T65" i="179"/>
  <c r="T65" i="178"/>
  <c r="T65" i="176"/>
  <c r="T65" i="188"/>
  <c r="T65" i="187"/>
  <c r="T65" i="169"/>
  <c r="T65" i="168"/>
  <c r="T65" i="165"/>
  <c r="T65" i="170"/>
  <c r="T65" i="194"/>
  <c r="T65" i="191"/>
  <c r="T65" i="184"/>
  <c r="T65" i="173"/>
  <c r="T65" i="172"/>
  <c r="T65" i="186"/>
  <c r="T65" i="174"/>
  <c r="T65" i="167"/>
  <c r="T65" i="190"/>
  <c r="T65" i="180"/>
  <c r="T65" i="183"/>
  <c r="T65" i="175"/>
  <c r="T65" i="164"/>
  <c r="T65" i="161"/>
  <c r="T65" i="159"/>
  <c r="T65" i="158"/>
  <c r="T65" i="163"/>
  <c r="T65" i="118"/>
  <c r="T88" i="198"/>
  <c r="T88" i="194"/>
  <c r="T88" i="189"/>
  <c r="T88" i="185"/>
  <c r="T88" i="181"/>
  <c r="T88" i="179"/>
  <c r="T88" i="178"/>
  <c r="T88" i="176"/>
  <c r="T88" i="188"/>
  <c r="T88" i="169"/>
  <c r="T88" i="168"/>
  <c r="T88" i="165"/>
  <c r="T88" i="186"/>
  <c r="T88" i="164"/>
  <c r="T88" i="187"/>
  <c r="T88" i="172"/>
  <c r="T88" i="170"/>
  <c r="T88" i="184"/>
  <c r="T88" i="183"/>
  <c r="T88" i="175"/>
  <c r="T88" i="173"/>
  <c r="T88" i="190"/>
  <c r="T88" i="191"/>
  <c r="T88" i="180"/>
  <c r="T88" i="174"/>
  <c r="T88" i="167"/>
  <c r="T88" i="163"/>
  <c r="T88" i="161"/>
  <c r="T88" i="159"/>
  <c r="T88" i="118"/>
  <c r="T88" i="158"/>
  <c r="S63" i="192"/>
  <c r="T63" i="192"/>
  <c r="R68" i="15"/>
  <c r="Q68" i="192"/>
  <c r="R68" i="192"/>
  <c r="R104" i="15"/>
  <c r="Q104" i="192"/>
  <c r="R104" i="192"/>
  <c r="R70" i="15"/>
  <c r="Q70" i="192"/>
  <c r="R70" i="192"/>
  <c r="R78" i="193"/>
  <c r="Q78" i="195"/>
  <c r="R78" i="195"/>
  <c r="R67" i="15"/>
  <c r="Q67" i="192"/>
  <c r="R67" i="192"/>
  <c r="R66" i="15"/>
  <c r="Q66" i="192"/>
  <c r="R66" i="192"/>
  <c r="R98" i="15"/>
  <c r="Q98" i="192"/>
  <c r="R98" i="192"/>
  <c r="R100" i="15"/>
  <c r="Q100" i="192"/>
  <c r="R100" i="192"/>
  <c r="R75" i="15"/>
  <c r="Q75" i="192"/>
  <c r="R75" i="192"/>
  <c r="R75" i="193"/>
  <c r="Q75" i="195"/>
  <c r="R75" i="195"/>
  <c r="R54" i="193"/>
  <c r="Q54" i="195"/>
  <c r="R54" i="195"/>
  <c r="T99" i="198"/>
  <c r="T99" i="191"/>
  <c r="T99" i="190"/>
  <c r="T99" i="188"/>
  <c r="T99" i="189"/>
  <c r="T99" i="187"/>
  <c r="T99" i="186"/>
  <c r="T99" i="185"/>
  <c r="T99" i="184"/>
  <c r="T99" i="181"/>
  <c r="T99" i="179"/>
  <c r="T99" i="176"/>
  <c r="T99" i="174"/>
  <c r="T99" i="172"/>
  <c r="T99" i="169"/>
  <c r="T99" i="167"/>
  <c r="T99" i="164"/>
  <c r="T99" i="194"/>
  <c r="T99" i="183"/>
  <c r="T99" i="180"/>
  <c r="T99" i="178"/>
  <c r="T99" i="175"/>
  <c r="T99" i="173"/>
  <c r="T99" i="170"/>
  <c r="T99" i="168"/>
  <c r="T99" i="165"/>
  <c r="T99" i="161"/>
  <c r="T99" i="163"/>
  <c r="T99" i="159"/>
  <c r="T99" i="118"/>
  <c r="T99" i="158"/>
  <c r="R99" i="15"/>
  <c r="Q99" i="192"/>
  <c r="R99" i="192"/>
  <c r="R99" i="193"/>
  <c r="Q99" i="195"/>
  <c r="R99" i="195"/>
  <c r="Q116" i="198"/>
  <c r="R116" i="198"/>
  <c r="R111" i="198"/>
  <c r="V112" i="191"/>
  <c r="U116" i="191"/>
  <c r="V116" i="191"/>
  <c r="V111" i="191"/>
  <c r="T52" i="198"/>
  <c r="T112" i="192"/>
  <c r="S112" i="198"/>
  <c r="T112" i="198"/>
  <c r="T111" i="192"/>
  <c r="S116" i="192"/>
  <c r="T116" i="192"/>
  <c r="T54" i="177"/>
  <c r="S105" i="177"/>
  <c r="R105" i="177"/>
  <c r="Q107" i="177"/>
  <c r="R107" i="177"/>
  <c r="Q102" i="195"/>
  <c r="R102" i="195"/>
  <c r="T102" i="188"/>
  <c r="T102" i="162"/>
  <c r="T102" i="185"/>
  <c r="T102" i="186"/>
  <c r="T102" i="169"/>
  <c r="T102" i="158"/>
  <c r="T102" i="167"/>
  <c r="T102" i="179"/>
  <c r="T102" i="194"/>
  <c r="Q102" i="192"/>
  <c r="R102" i="192"/>
  <c r="T102" i="159"/>
  <c r="T102" i="164"/>
  <c r="T102" i="170"/>
  <c r="T102" i="175"/>
  <c r="T102" i="187"/>
  <c r="T102" i="198"/>
  <c r="T102" i="163"/>
  <c r="T102" i="165"/>
  <c r="T102" i="176"/>
  <c r="T102" i="181"/>
  <c r="T102" i="178"/>
  <c r="T102" i="189"/>
  <c r="T102" i="183"/>
  <c r="T102" i="191"/>
  <c r="R102" i="193"/>
  <c r="T102" i="190"/>
  <c r="T102" i="172"/>
  <c r="T102" i="15"/>
  <c r="T102" i="161"/>
  <c r="T102" i="168"/>
  <c r="T102" i="174"/>
  <c r="T102" i="173"/>
  <c r="T102" i="184"/>
  <c r="T102" i="180"/>
  <c r="T105" i="197"/>
  <c r="S107" i="197"/>
  <c r="T107" i="197"/>
  <c r="T98" i="193"/>
  <c r="S98" i="195"/>
  <c r="T98" i="195"/>
  <c r="T104" i="15"/>
  <c r="S104" i="192"/>
  <c r="T104" i="192"/>
  <c r="T78" i="15"/>
  <c r="S78" i="192"/>
  <c r="T78" i="192"/>
  <c r="T103" i="15"/>
  <c r="S103" i="192"/>
  <c r="T103" i="192"/>
  <c r="T92" i="15"/>
  <c r="S92" i="192"/>
  <c r="T92" i="192"/>
  <c r="T90" i="193"/>
  <c r="S90" i="195"/>
  <c r="T90" i="195"/>
  <c r="T86" i="15"/>
  <c r="S86" i="192"/>
  <c r="T86" i="192"/>
  <c r="T86" i="193"/>
  <c r="S86" i="195"/>
  <c r="T86" i="195"/>
  <c r="T102" i="193"/>
  <c r="T100" i="15"/>
  <c r="S100" i="192"/>
  <c r="T100" i="192"/>
  <c r="T56" i="15"/>
  <c r="S56" i="192"/>
  <c r="T56" i="192"/>
  <c r="T104" i="193"/>
  <c r="S104" i="195"/>
  <c r="T104" i="195"/>
  <c r="T88" i="15"/>
  <c r="S88" i="192"/>
  <c r="T88" i="192"/>
  <c r="T88" i="193"/>
  <c r="S88" i="195"/>
  <c r="T88" i="195"/>
  <c r="T65" i="15"/>
  <c r="S65" i="192"/>
  <c r="T65" i="192"/>
  <c r="T78" i="193"/>
  <c r="S78" i="195"/>
  <c r="T78" i="195"/>
  <c r="T103" i="193"/>
  <c r="S103" i="195"/>
  <c r="T103" i="195"/>
  <c r="T92" i="193"/>
  <c r="S92" i="195"/>
  <c r="T92" i="195"/>
  <c r="T75" i="15"/>
  <c r="S75" i="192"/>
  <c r="T75" i="192"/>
  <c r="T67" i="15"/>
  <c r="S67" i="192"/>
  <c r="T67" i="192"/>
  <c r="T90" i="15"/>
  <c r="S90" i="192"/>
  <c r="T90" i="192"/>
  <c r="T76" i="193"/>
  <c r="S76" i="195"/>
  <c r="T76" i="195"/>
  <c r="T77" i="193"/>
  <c r="S77" i="195"/>
  <c r="T77" i="195"/>
  <c r="T66" i="193"/>
  <c r="S66" i="195"/>
  <c r="T66" i="195"/>
  <c r="T56" i="193"/>
  <c r="S56" i="195"/>
  <c r="T56" i="195"/>
  <c r="T64" i="193"/>
  <c r="S64" i="195"/>
  <c r="T64" i="195"/>
  <c r="T70" i="15"/>
  <c r="S70" i="192"/>
  <c r="T70" i="192"/>
  <c r="T76" i="15"/>
  <c r="S76" i="192"/>
  <c r="T76" i="192"/>
  <c r="T77" i="15"/>
  <c r="S77" i="192"/>
  <c r="T77" i="192"/>
  <c r="T65" i="193"/>
  <c r="S65" i="195"/>
  <c r="T65" i="195"/>
  <c r="T54" i="15"/>
  <c r="S54" i="192"/>
  <c r="T54" i="192"/>
  <c r="T54" i="193"/>
  <c r="S54" i="195"/>
  <c r="T54" i="195"/>
  <c r="T64" i="15"/>
  <c r="S64" i="192"/>
  <c r="T64" i="192"/>
  <c r="T98" i="15"/>
  <c r="S98" i="192"/>
  <c r="T98" i="192"/>
  <c r="T75" i="193"/>
  <c r="S75" i="195"/>
  <c r="T75" i="195"/>
  <c r="T67" i="193"/>
  <c r="S67" i="195"/>
  <c r="T67" i="195"/>
  <c r="T70" i="193"/>
  <c r="S70" i="195"/>
  <c r="T70" i="195"/>
  <c r="T68" i="15"/>
  <c r="S68" i="192"/>
  <c r="T68" i="192"/>
  <c r="T68" i="193"/>
  <c r="S68" i="195"/>
  <c r="T68" i="195"/>
  <c r="T66" i="15"/>
  <c r="S66" i="192"/>
  <c r="T66" i="192"/>
  <c r="T100" i="193"/>
  <c r="S100" i="195"/>
  <c r="T100" i="195"/>
  <c r="T99" i="193"/>
  <c r="S99" i="195"/>
  <c r="T99" i="195"/>
  <c r="T99" i="15"/>
  <c r="S99" i="192"/>
  <c r="T99" i="192"/>
  <c r="T111" i="198"/>
  <c r="S116" i="198"/>
  <c r="T116" i="198"/>
  <c r="S107" i="177"/>
  <c r="T107" i="177"/>
  <c r="T105" i="177"/>
  <c r="S102" i="195"/>
  <c r="T102" i="195"/>
  <c r="S102" i="192"/>
  <c r="T102" i="192"/>
  <c r="G10" i="191"/>
  <c r="G31" i="191"/>
  <c r="H31" i="191"/>
  <c r="G31" i="192"/>
  <c r="H31" i="192"/>
  <c r="G33" i="191"/>
  <c r="H33" i="191"/>
  <c r="G31" i="198"/>
  <c r="G33" i="192"/>
  <c r="I10" i="191"/>
  <c r="I31" i="191"/>
  <c r="J31" i="191"/>
  <c r="I33" i="191"/>
  <c r="J33" i="191"/>
  <c r="I31" i="192"/>
  <c r="H33" i="192"/>
  <c r="G33" i="198"/>
  <c r="H31" i="198"/>
  <c r="I33" i="192"/>
  <c r="J33" i="192"/>
  <c r="J31" i="192"/>
  <c r="I31" i="198"/>
  <c r="J31" i="198"/>
  <c r="H33" i="198"/>
  <c r="K10" i="191"/>
  <c r="K31" i="191"/>
  <c r="L31" i="191"/>
  <c r="M10" i="191"/>
  <c r="M31" i="191"/>
  <c r="M33" i="191"/>
  <c r="K31" i="192"/>
  <c r="L31" i="192"/>
  <c r="I33" i="198"/>
  <c r="K33" i="191"/>
  <c r="N33" i="191"/>
  <c r="N31" i="191"/>
  <c r="M31" i="192"/>
  <c r="J33" i="198"/>
  <c r="K33" i="192"/>
  <c r="K31" i="198"/>
  <c r="K33" i="198"/>
  <c r="L33" i="198"/>
  <c r="L33" i="191"/>
  <c r="L33" i="192"/>
  <c r="M33" i="192"/>
  <c r="M31" i="198"/>
  <c r="N31" i="192"/>
  <c r="L31" i="198"/>
  <c r="N31" i="198"/>
  <c r="M33" i="198"/>
  <c r="N33" i="192"/>
  <c r="N33" i="198"/>
  <c r="O10" i="191"/>
  <c r="O31" i="191"/>
  <c r="O33" i="191"/>
  <c r="P33" i="191"/>
  <c r="O31" i="192"/>
  <c r="P31" i="191"/>
  <c r="Q10" i="191"/>
  <c r="Q31" i="191"/>
  <c r="R31" i="191"/>
  <c r="P31" i="192"/>
  <c r="O31" i="198"/>
  <c r="O33" i="198"/>
  <c r="O33" i="192"/>
  <c r="P33" i="192"/>
  <c r="P31" i="198"/>
  <c r="Q31" i="192"/>
  <c r="Q33" i="191"/>
  <c r="Q31" i="198"/>
  <c r="R31" i="198"/>
  <c r="Q33" i="192"/>
  <c r="R31" i="192"/>
  <c r="P33" i="198"/>
  <c r="R33" i="191"/>
  <c r="Q33" i="198"/>
  <c r="R33" i="192"/>
  <c r="S10" i="191"/>
  <c r="S31" i="191"/>
  <c r="T31" i="191"/>
  <c r="S33" i="191"/>
  <c r="T33" i="191"/>
  <c r="U10" i="191"/>
  <c r="U33" i="191"/>
  <c r="V31" i="191"/>
  <c r="R33" i="198"/>
  <c r="S31" i="192"/>
  <c r="S31" i="198"/>
  <c r="V33" i="191"/>
  <c r="S33" i="192"/>
  <c r="T33" i="192"/>
  <c r="T31" i="192"/>
  <c r="S33" i="198"/>
  <c r="T31" i="198"/>
  <c r="T33" i="198"/>
  <c r="U14" i="180"/>
  <c r="U19" i="180"/>
  <c r="U28" i="180"/>
  <c r="V19" i="180"/>
  <c r="V24" i="180"/>
  <c r="U31" i="180"/>
  <c r="V37" i="180"/>
  <c r="V41" i="180"/>
  <c r="V71" i="180"/>
  <c r="V73" i="180"/>
  <c r="V79" i="180"/>
  <c r="V81" i="180"/>
  <c r="V83" i="180"/>
  <c r="V85" i="180"/>
  <c r="V87" i="180"/>
  <c r="V89" i="180"/>
  <c r="V91" i="180"/>
  <c r="V93" i="180"/>
  <c r="V95" i="180"/>
  <c r="V97" i="180"/>
  <c r="V114" i="180"/>
  <c r="U19" i="192"/>
  <c r="U31" i="192"/>
  <c r="U73" i="192"/>
  <c r="U81" i="192"/>
  <c r="U83" i="192"/>
  <c r="U85" i="192"/>
  <c r="U89" i="192"/>
  <c r="U91" i="192"/>
  <c r="U93" i="192"/>
  <c r="U19" i="198"/>
  <c r="U33" i="192"/>
  <c r="U31" i="198"/>
  <c r="U33" i="198"/>
  <c r="V57" i="180"/>
  <c r="U57" i="192"/>
  <c r="V21" i="180"/>
  <c r="V26" i="180"/>
  <c r="V39" i="180"/>
  <c r="V43" i="180"/>
  <c r="V23" i="180"/>
  <c r="V27" i="180"/>
  <c r="V36" i="180"/>
  <c r="V40" i="180"/>
  <c r="V44" i="180"/>
  <c r="V113" i="180"/>
  <c r="V20" i="180"/>
  <c r="V25" i="180"/>
  <c r="V28" i="180"/>
  <c r="V38" i="180"/>
  <c r="V42" i="180"/>
  <c r="V46" i="180"/>
  <c r="V115" i="180"/>
  <c r="U95" i="192"/>
  <c r="U87" i="192"/>
  <c r="U79" i="192"/>
  <c r="U71" i="192"/>
  <c r="V32" i="180"/>
  <c r="U28" i="192"/>
  <c r="V85" i="192"/>
  <c r="U111" i="180"/>
  <c r="V59" i="180"/>
  <c r="U59" i="192"/>
  <c r="V45" i="180"/>
  <c r="V31" i="180"/>
  <c r="U33" i="180"/>
  <c r="V33" i="180"/>
  <c r="U28" i="198"/>
  <c r="V81" i="192"/>
  <c r="V93" i="192"/>
  <c r="V89" i="192"/>
  <c r="V19" i="192"/>
  <c r="V83" i="192"/>
  <c r="V59" i="192"/>
  <c r="V73" i="192"/>
  <c r="V71" i="192"/>
  <c r="V72" i="180"/>
  <c r="U72" i="192"/>
  <c r="V79" i="192"/>
  <c r="V94" i="180"/>
  <c r="U94" i="192"/>
  <c r="V62" i="180"/>
  <c r="U112" i="180"/>
  <c r="U116" i="180"/>
  <c r="V116" i="180"/>
  <c r="U62" i="192"/>
  <c r="V91" i="192"/>
  <c r="V96" i="180"/>
  <c r="U96" i="192"/>
  <c r="V80" i="180"/>
  <c r="U80" i="192"/>
  <c r="V87" i="192"/>
  <c r="V84" i="180"/>
  <c r="U84" i="192"/>
  <c r="V60" i="180"/>
  <c r="U60" i="192"/>
  <c r="V52" i="180"/>
  <c r="U52" i="192"/>
  <c r="V61" i="180"/>
  <c r="U61" i="192"/>
  <c r="V69" i="180"/>
  <c r="U69" i="192"/>
  <c r="V111" i="180"/>
  <c r="U111" i="192"/>
  <c r="V20" i="192"/>
  <c r="V25" i="192"/>
  <c r="V28" i="192"/>
  <c r="V38" i="192"/>
  <c r="V42" i="192"/>
  <c r="V46" i="192"/>
  <c r="V115" i="192"/>
  <c r="V21" i="192"/>
  <c r="V26" i="192"/>
  <c r="V39" i="192"/>
  <c r="V43" i="192"/>
  <c r="V24" i="192"/>
  <c r="V32" i="192"/>
  <c r="V37" i="192"/>
  <c r="V41" i="192"/>
  <c r="V45" i="192"/>
  <c r="V27" i="192"/>
  <c r="V40" i="192"/>
  <c r="V97" i="192"/>
  <c r="V114" i="192"/>
  <c r="V44" i="192"/>
  <c r="V113" i="192"/>
  <c r="V23" i="192"/>
  <c r="V36" i="192"/>
  <c r="V31" i="192"/>
  <c r="V53" i="180"/>
  <c r="U53" i="192"/>
  <c r="V33" i="192"/>
  <c r="V95" i="192"/>
  <c r="V82" i="180"/>
  <c r="U82" i="192"/>
  <c r="V74" i="180"/>
  <c r="U74" i="192"/>
  <c r="V58" i="180"/>
  <c r="U58" i="192"/>
  <c r="V57" i="192"/>
  <c r="V103" i="177"/>
  <c r="V63" i="177"/>
  <c r="U105" i="197"/>
  <c r="V63" i="162"/>
  <c r="V103" i="162"/>
  <c r="V63" i="167"/>
  <c r="V100" i="177"/>
  <c r="V44" i="198"/>
  <c r="V70" i="177"/>
  <c r="V33" i="198"/>
  <c r="V89" i="198"/>
  <c r="V63" i="159"/>
  <c r="V63" i="183"/>
  <c r="V46" i="198"/>
  <c r="V90" i="177"/>
  <c r="V63" i="198"/>
  <c r="V63" i="190"/>
  <c r="V83" i="198"/>
  <c r="V63" i="168"/>
  <c r="V62" i="198"/>
  <c r="V39" i="198"/>
  <c r="V92" i="177"/>
  <c r="V42" i="198"/>
  <c r="V88" i="177"/>
  <c r="V38" i="198"/>
  <c r="V77" i="177"/>
  <c r="V40" i="198"/>
  <c r="V41" i="198"/>
  <c r="V73" i="198"/>
  <c r="V63" i="174"/>
  <c r="V63" i="161"/>
  <c r="V63" i="189"/>
  <c r="V63" i="179"/>
  <c r="V63" i="163"/>
  <c r="V63" i="175"/>
  <c r="V63" i="15"/>
  <c r="V19" i="198"/>
  <c r="V91" i="198"/>
  <c r="V21" i="198"/>
  <c r="V68" i="177"/>
  <c r="V36" i="198"/>
  <c r="V78" i="177"/>
  <c r="V31" i="198"/>
  <c r="V23" i="198"/>
  <c r="V37" i="198"/>
  <c r="V87" i="198"/>
  <c r="V79" i="198"/>
  <c r="V71" i="198"/>
  <c r="V59" i="198"/>
  <c r="V63" i="165"/>
  <c r="V85" i="198"/>
  <c r="V63" i="180"/>
  <c r="V63" i="188"/>
  <c r="V63" i="118"/>
  <c r="V63" i="193"/>
  <c r="V56" i="177"/>
  <c r="V104" i="177"/>
  <c r="V43" i="198"/>
  <c r="V76" i="177"/>
  <c r="V20" i="198"/>
  <c r="V65" i="177"/>
  <c r="V32" i="198"/>
  <c r="V97" i="198"/>
  <c r="V63" i="185"/>
  <c r="V63" i="181"/>
  <c r="V63" i="173"/>
  <c r="V63" i="178"/>
  <c r="V81" i="198"/>
  <c r="V63" i="191"/>
  <c r="V63" i="184"/>
  <c r="V57" i="198"/>
  <c r="V95" i="198"/>
  <c r="V64" i="177"/>
  <c r="V27" i="198"/>
  <c r="V98" i="177"/>
  <c r="V26" i="198"/>
  <c r="V25" i="198"/>
  <c r="V86" i="177"/>
  <c r="V66" i="177"/>
  <c r="V103" i="194"/>
  <c r="V67" i="177"/>
  <c r="V28" i="198"/>
  <c r="V45" i="198"/>
  <c r="V24" i="198"/>
  <c r="V93" i="198"/>
  <c r="V63" i="164"/>
  <c r="V63" i="186"/>
  <c r="V63" i="172"/>
  <c r="V63" i="170"/>
  <c r="V63" i="169"/>
  <c r="V63" i="194"/>
  <c r="V63" i="176"/>
  <c r="V63" i="187"/>
  <c r="V63" i="158"/>
  <c r="V74" i="192"/>
  <c r="V74" i="198"/>
  <c r="V58" i="198"/>
  <c r="V58" i="192"/>
  <c r="V69" i="192"/>
  <c r="V69" i="198"/>
  <c r="V112" i="180"/>
  <c r="U112" i="192"/>
  <c r="V94" i="192"/>
  <c r="V94" i="198"/>
  <c r="V82" i="198"/>
  <c r="V82" i="192"/>
  <c r="V61" i="192"/>
  <c r="V61" i="198"/>
  <c r="U113" i="198"/>
  <c r="V113" i="198"/>
  <c r="V52" i="192"/>
  <c r="V72" i="198"/>
  <c r="V72" i="192"/>
  <c r="V60" i="198"/>
  <c r="V60" i="192"/>
  <c r="V96" i="192"/>
  <c r="V96" i="198"/>
  <c r="V53" i="192"/>
  <c r="V53" i="198"/>
  <c r="V111" i="192"/>
  <c r="V84" i="192"/>
  <c r="V80" i="198"/>
  <c r="V80" i="192"/>
  <c r="V62" i="192"/>
  <c r="V102" i="177"/>
  <c r="V84" i="198"/>
  <c r="U115" i="198"/>
  <c r="V115" i="198"/>
  <c r="V75" i="177"/>
  <c r="U114" i="198"/>
  <c r="V114" i="198"/>
  <c r="V54" i="177"/>
  <c r="V99" i="161"/>
  <c r="V99" i="177"/>
  <c r="V102" i="197"/>
  <c r="V98" i="198"/>
  <c r="V98" i="162"/>
  <c r="V54" i="193"/>
  <c r="V54" i="162"/>
  <c r="V70" i="194"/>
  <c r="V70" i="162"/>
  <c r="V78" i="189"/>
  <c r="V78" i="162"/>
  <c r="V77" i="186"/>
  <c r="V77" i="162"/>
  <c r="V92" i="194"/>
  <c r="V92" i="162"/>
  <c r="V86" i="193"/>
  <c r="V86" i="162"/>
  <c r="V76" i="198"/>
  <c r="V76" i="162"/>
  <c r="V56" i="189"/>
  <c r="V56" i="162"/>
  <c r="V99" i="194"/>
  <c r="V99" i="162"/>
  <c r="V66" i="193"/>
  <c r="V66" i="162"/>
  <c r="V104" i="198"/>
  <c r="V104" i="162"/>
  <c r="V90" i="187"/>
  <c r="V90" i="162"/>
  <c r="V102" i="194"/>
  <c r="V102" i="162"/>
  <c r="V67" i="193"/>
  <c r="V67" i="162"/>
  <c r="V64" i="194"/>
  <c r="V64" i="162"/>
  <c r="V65" i="188"/>
  <c r="V65" i="162"/>
  <c r="V75" i="193"/>
  <c r="V75" i="162"/>
  <c r="V68" i="193"/>
  <c r="V68" i="162"/>
  <c r="V88" i="198"/>
  <c r="V88" i="162"/>
  <c r="V100" i="162"/>
  <c r="V70" i="169"/>
  <c r="V99" i="178"/>
  <c r="V99" i="172"/>
  <c r="V99" i="186"/>
  <c r="V99" i="181"/>
  <c r="V99" i="15"/>
  <c r="V99" i="169"/>
  <c r="V99" i="190"/>
  <c r="V99" i="175"/>
  <c r="V99" i="198"/>
  <c r="V99" i="159"/>
  <c r="V99" i="179"/>
  <c r="V99" i="165"/>
  <c r="V99" i="187"/>
  <c r="V99" i="163"/>
  <c r="V99" i="168"/>
  <c r="V99" i="191"/>
  <c r="V99" i="118"/>
  <c r="V99" i="164"/>
  <c r="V99" i="174"/>
  <c r="V99" i="184"/>
  <c r="V99" i="188"/>
  <c r="V99" i="170"/>
  <c r="V99" i="180"/>
  <c r="V99" i="193"/>
  <c r="V99" i="158"/>
  <c r="V99" i="167"/>
  <c r="V99" i="176"/>
  <c r="V99" i="185"/>
  <c r="V99" i="189"/>
  <c r="V99" i="173"/>
  <c r="V99" i="183"/>
  <c r="V100" i="180"/>
  <c r="V100" i="184"/>
  <c r="V100" i="191"/>
  <c r="V100" i="198"/>
  <c r="V100" i="161"/>
  <c r="V100" i="174"/>
  <c r="V100" i="168"/>
  <c r="V100" i="189"/>
  <c r="V100" i="158"/>
  <c r="V100" i="165"/>
  <c r="V100" i="164"/>
  <c r="V100" i="183"/>
  <c r="V100" i="187"/>
  <c r="V100" i="186"/>
  <c r="V100" i="176"/>
  <c r="V100" i="194"/>
  <c r="V100" i="15"/>
  <c r="V100" i="163"/>
  <c r="V100" i="169"/>
  <c r="V100" i="178"/>
  <c r="V100" i="172"/>
  <c r="V100" i="175"/>
  <c r="V100" i="181"/>
  <c r="V100" i="188"/>
  <c r="V100" i="159"/>
  <c r="V100" i="173"/>
  <c r="V100" i="167"/>
  <c r="V100" i="190"/>
  <c r="V100" i="170"/>
  <c r="V100" i="179"/>
  <c r="V100" i="185"/>
  <c r="V70" i="175"/>
  <c r="V66" i="194"/>
  <c r="V70" i="181"/>
  <c r="V70" i="163"/>
  <c r="V70" i="167"/>
  <c r="V70" i="190"/>
  <c r="V70" i="184"/>
  <c r="V70" i="193"/>
  <c r="V70" i="118"/>
  <c r="V70" i="165"/>
  <c r="V70" i="170"/>
  <c r="V70" i="186"/>
  <c r="V103" i="193"/>
  <c r="V70" i="161"/>
  <c r="V70" i="172"/>
  <c r="V70" i="180"/>
  <c r="V70" i="188"/>
  <c r="V70" i="15"/>
  <c r="V70" i="159"/>
  <c r="V70" i="174"/>
  <c r="V70" i="178"/>
  <c r="V70" i="164"/>
  <c r="V70" i="179"/>
  <c r="V70" i="185"/>
  <c r="V70" i="189"/>
  <c r="V70" i="198"/>
  <c r="V70" i="158"/>
  <c r="V70" i="173"/>
  <c r="V70" i="168"/>
  <c r="V70" i="187"/>
  <c r="V70" i="176"/>
  <c r="V70" i="183"/>
  <c r="V70" i="191"/>
  <c r="V90" i="168"/>
  <c r="V90" i="189"/>
  <c r="V77" i="180"/>
  <c r="V90" i="164"/>
  <c r="V90" i="193"/>
  <c r="V90" i="163"/>
  <c r="V90" i="175"/>
  <c r="V78" i="188"/>
  <c r="V90" i="169"/>
  <c r="V90" i="181"/>
  <c r="V90" i="118"/>
  <c r="V90" i="170"/>
  <c r="V90" i="172"/>
  <c r="V90" i="183"/>
  <c r="V90" i="188"/>
  <c r="V90" i="194"/>
  <c r="V92" i="172"/>
  <c r="V90" i="158"/>
  <c r="V90" i="159"/>
  <c r="V90" i="165"/>
  <c r="V90" i="190"/>
  <c r="V90" i="173"/>
  <c r="V90" i="179"/>
  <c r="V90" i="185"/>
  <c r="V90" i="186"/>
  <c r="V90" i="198"/>
  <c r="V104" i="175"/>
  <c r="V77" i="187"/>
  <c r="V90" i="178"/>
  <c r="V90" i="176"/>
  <c r="V104" i="158"/>
  <c r="V98" i="163"/>
  <c r="V77" i="174"/>
  <c r="V90" i="15"/>
  <c r="V90" i="161"/>
  <c r="V90" i="167"/>
  <c r="V90" i="191"/>
  <c r="V90" i="174"/>
  <c r="V90" i="180"/>
  <c r="V90" i="184"/>
  <c r="V78" i="173"/>
  <c r="V56" i="180"/>
  <c r="V54" i="185"/>
  <c r="V54" i="15"/>
  <c r="V76" i="163"/>
  <c r="V54" i="198"/>
  <c r="V54" i="181"/>
  <c r="V54" i="164"/>
  <c r="V103" i="170"/>
  <c r="V54" i="158"/>
  <c r="V54" i="169"/>
  <c r="V54" i="172"/>
  <c r="V54" i="186"/>
  <c r="V103" i="15"/>
  <c r="V103" i="175"/>
  <c r="V54" i="159"/>
  <c r="V54" i="174"/>
  <c r="V54" i="175"/>
  <c r="V54" i="188"/>
  <c r="V103" i="165"/>
  <c r="V103" i="184"/>
  <c r="V54" i="170"/>
  <c r="V54" i="173"/>
  <c r="V54" i="180"/>
  <c r="V54" i="194"/>
  <c r="V103" i="168"/>
  <c r="V103" i="191"/>
  <c r="V64" i="159"/>
  <c r="V76" i="168"/>
  <c r="V67" i="198"/>
  <c r="V56" i="173"/>
  <c r="V56" i="188"/>
  <c r="V76" i="176"/>
  <c r="V76" i="189"/>
  <c r="V56" i="172"/>
  <c r="V76" i="174"/>
  <c r="V76" i="179"/>
  <c r="V56" i="184"/>
  <c r="V76" i="15"/>
  <c r="V76" i="186"/>
  <c r="V76" i="164"/>
  <c r="V76" i="185"/>
  <c r="V86" i="194"/>
  <c r="V56" i="158"/>
  <c r="V56" i="168"/>
  <c r="V56" i="175"/>
  <c r="V56" i="190"/>
  <c r="V76" i="178"/>
  <c r="V76" i="188"/>
  <c r="V56" i="174"/>
  <c r="V56" i="181"/>
  <c r="V56" i="193"/>
  <c r="V65" i="185"/>
  <c r="V76" i="161"/>
  <c r="V76" i="173"/>
  <c r="V76" i="172"/>
  <c r="V76" i="183"/>
  <c r="V86" i="178"/>
  <c r="V56" i="163"/>
  <c r="V56" i="167"/>
  <c r="V56" i="170"/>
  <c r="V56" i="186"/>
  <c r="V65" i="163"/>
  <c r="V77" i="168"/>
  <c r="V78" i="183"/>
  <c r="V104" i="165"/>
  <c r="V66" i="170"/>
  <c r="V92" i="173"/>
  <c r="V75" i="194"/>
  <c r="V98" i="180"/>
  <c r="V77" i="178"/>
  <c r="V77" i="184"/>
  <c r="V78" i="194"/>
  <c r="V68" i="173"/>
  <c r="V104" i="184"/>
  <c r="V92" i="181"/>
  <c r="V88" i="179"/>
  <c r="V68" i="186"/>
  <c r="V54" i="118"/>
  <c r="V54" i="161"/>
  <c r="V54" i="167"/>
  <c r="V54" i="179"/>
  <c r="V54" i="189"/>
  <c r="V54" i="176"/>
  <c r="V54" i="183"/>
  <c r="V54" i="190"/>
  <c r="V68" i="118"/>
  <c r="V67" i="118"/>
  <c r="V103" i="158"/>
  <c r="V103" i="190"/>
  <c r="V103" i="179"/>
  <c r="V103" i="187"/>
  <c r="V75" i="172"/>
  <c r="V88" i="163"/>
  <c r="V64" i="198"/>
  <c r="V65" i="174"/>
  <c r="V65" i="189"/>
  <c r="V75" i="170"/>
  <c r="V88" i="188"/>
  <c r="V64" i="172"/>
  <c r="V65" i="172"/>
  <c r="V65" i="179"/>
  <c r="V54" i="163"/>
  <c r="V54" i="187"/>
  <c r="V54" i="168"/>
  <c r="V54" i="191"/>
  <c r="V54" i="165"/>
  <c r="V54" i="178"/>
  <c r="V54" i="184"/>
  <c r="V68" i="165"/>
  <c r="V67" i="184"/>
  <c r="V103" i="161"/>
  <c r="V103" i="173"/>
  <c r="V103" i="181"/>
  <c r="V103" i="188"/>
  <c r="V75" i="183"/>
  <c r="V88" i="178"/>
  <c r="V65" i="159"/>
  <c r="V65" i="168"/>
  <c r="V65" i="170"/>
  <c r="V65" i="181"/>
  <c r="V65" i="191"/>
  <c r="V65" i="193"/>
  <c r="V68" i="161"/>
  <c r="V68" i="190"/>
  <c r="V68" i="180"/>
  <c r="V68" i="187"/>
  <c r="V67" i="169"/>
  <c r="V67" i="183"/>
  <c r="V75" i="158"/>
  <c r="V75" i="165"/>
  <c r="V75" i="176"/>
  <c r="V75" i="189"/>
  <c r="V88" i="158"/>
  <c r="V88" i="165"/>
  <c r="V88" i="164"/>
  <c r="V88" i="185"/>
  <c r="V64" i="178"/>
  <c r="V64" i="185"/>
  <c r="V65" i="15"/>
  <c r="V65" i="169"/>
  <c r="V65" i="178"/>
  <c r="V65" i="175"/>
  <c r="V65" i="184"/>
  <c r="V65" i="187"/>
  <c r="V65" i="198"/>
  <c r="V68" i="169"/>
  <c r="V68" i="164"/>
  <c r="V68" i="183"/>
  <c r="V68" i="194"/>
  <c r="V67" i="173"/>
  <c r="V67" i="189"/>
  <c r="V75" i="161"/>
  <c r="V75" i="168"/>
  <c r="V75" i="180"/>
  <c r="V75" i="187"/>
  <c r="V88" i="15"/>
  <c r="V88" i="168"/>
  <c r="V88" i="175"/>
  <c r="V88" i="190"/>
  <c r="V64" i="165"/>
  <c r="V64" i="188"/>
  <c r="V65" i="158"/>
  <c r="V65" i="165"/>
  <c r="V65" i="164"/>
  <c r="V65" i="180"/>
  <c r="V65" i="186"/>
  <c r="V65" i="194"/>
  <c r="V68" i="163"/>
  <c r="V68" i="168"/>
  <c r="V68" i="176"/>
  <c r="V68" i="189"/>
  <c r="V67" i="161"/>
  <c r="V67" i="176"/>
  <c r="V75" i="15"/>
  <c r="V75" i="169"/>
  <c r="V75" i="173"/>
  <c r="V75" i="186"/>
  <c r="V88" i="169"/>
  <c r="V88" i="191"/>
  <c r="V88" i="181"/>
  <c r="V88" i="193"/>
  <c r="V64" i="161"/>
  <c r="V64" i="179"/>
  <c r="V78" i="163"/>
  <c r="V78" i="176"/>
  <c r="V68" i="15"/>
  <c r="V68" i="159"/>
  <c r="V68" i="178"/>
  <c r="V68" i="170"/>
  <c r="V68" i="172"/>
  <c r="V68" i="179"/>
  <c r="V68" i="185"/>
  <c r="V68" i="188"/>
  <c r="V68" i="198"/>
  <c r="V104" i="170"/>
  <c r="V104" i="187"/>
  <c r="V67" i="174"/>
  <c r="V67" i="191"/>
  <c r="V67" i="180"/>
  <c r="V67" i="194"/>
  <c r="V66" i="183"/>
  <c r="V92" i="158"/>
  <c r="V92" i="175"/>
  <c r="V75" i="118"/>
  <c r="V75" i="159"/>
  <c r="V75" i="178"/>
  <c r="V75" i="167"/>
  <c r="V75" i="190"/>
  <c r="V75" i="179"/>
  <c r="V75" i="185"/>
  <c r="V75" i="188"/>
  <c r="V75" i="198"/>
  <c r="V88" i="159"/>
  <c r="V88" i="174"/>
  <c r="V88" i="167"/>
  <c r="V88" i="184"/>
  <c r="V88" i="170"/>
  <c r="V88" i="180"/>
  <c r="V88" i="187"/>
  <c r="V88" i="194"/>
  <c r="V98" i="191"/>
  <c r="V64" i="15"/>
  <c r="V64" i="169"/>
  <c r="V64" i="175"/>
  <c r="V64" i="184"/>
  <c r="V65" i="118"/>
  <c r="V65" i="161"/>
  <c r="V65" i="167"/>
  <c r="V65" i="173"/>
  <c r="V65" i="176"/>
  <c r="V65" i="183"/>
  <c r="V65" i="190"/>
  <c r="V77" i="161"/>
  <c r="V77" i="173"/>
  <c r="V78" i="167"/>
  <c r="V78" i="191"/>
  <c r="V68" i="158"/>
  <c r="V68" i="174"/>
  <c r="V68" i="167"/>
  <c r="V68" i="191"/>
  <c r="V68" i="175"/>
  <c r="V68" i="181"/>
  <c r="V68" i="184"/>
  <c r="V104" i="163"/>
  <c r="V104" i="181"/>
  <c r="V67" i="159"/>
  <c r="V67" i="167"/>
  <c r="V67" i="170"/>
  <c r="V67" i="186"/>
  <c r="V66" i="174"/>
  <c r="V92" i="168"/>
  <c r="V92" i="191"/>
  <c r="V75" i="163"/>
  <c r="V75" i="174"/>
  <c r="V75" i="164"/>
  <c r="V75" i="191"/>
  <c r="V75" i="175"/>
  <c r="V75" i="181"/>
  <c r="V75" i="184"/>
  <c r="V88" i="118"/>
  <c r="V88" i="161"/>
  <c r="V88" i="186"/>
  <c r="V88" i="173"/>
  <c r="V88" i="172"/>
  <c r="V88" i="176"/>
  <c r="V88" i="183"/>
  <c r="V88" i="189"/>
  <c r="V98" i="186"/>
  <c r="V64" i="164"/>
  <c r="V64" i="168"/>
  <c r="V64" i="181"/>
  <c r="V64" i="193"/>
  <c r="V77" i="190"/>
  <c r="V77" i="191"/>
  <c r="V77" i="181"/>
  <c r="V77" i="194"/>
  <c r="V78" i="158"/>
  <c r="V78" i="169"/>
  <c r="V78" i="164"/>
  <c r="U78" i="195"/>
  <c r="V78" i="195"/>
  <c r="V104" i="164"/>
  <c r="V104" i="176"/>
  <c r="V104" i="183"/>
  <c r="V66" i="190"/>
  <c r="V92" i="15"/>
  <c r="V92" i="169"/>
  <c r="V92" i="164"/>
  <c r="V92" i="183"/>
  <c r="V98" i="172"/>
  <c r="V77" i="159"/>
  <c r="V77" i="164"/>
  <c r="V77" i="165"/>
  <c r="V77" i="172"/>
  <c r="V77" i="176"/>
  <c r="V77" i="183"/>
  <c r="V77" i="188"/>
  <c r="V77" i="198"/>
  <c r="V76" i="158"/>
  <c r="V76" i="194"/>
  <c r="V76" i="165"/>
  <c r="V76" i="184"/>
  <c r="V76" i="170"/>
  <c r="V76" i="180"/>
  <c r="V76" i="187"/>
  <c r="V76" i="193"/>
  <c r="V78" i="159"/>
  <c r="V78" i="174"/>
  <c r="V78" i="178"/>
  <c r="V78" i="170"/>
  <c r="V78" i="180"/>
  <c r="V78" i="185"/>
  <c r="V78" i="187"/>
  <c r="V78" i="198"/>
  <c r="V104" i="159"/>
  <c r="V104" i="178"/>
  <c r="V104" i="168"/>
  <c r="V104" i="173"/>
  <c r="V104" i="179"/>
  <c r="V104" i="185"/>
  <c r="V104" i="188"/>
  <c r="V104" i="194"/>
  <c r="V66" i="158"/>
  <c r="V66" i="165"/>
  <c r="V66" i="176"/>
  <c r="V66" i="189"/>
  <c r="V86" i="170"/>
  <c r="V92" i="163"/>
  <c r="V92" i="161"/>
  <c r="V92" i="165"/>
  <c r="V92" i="184"/>
  <c r="V92" i="170"/>
  <c r="V92" i="179"/>
  <c r="V92" i="185"/>
  <c r="V92" i="188"/>
  <c r="V56" i="118"/>
  <c r="V56" i="159"/>
  <c r="V56" i="169"/>
  <c r="V56" i="178"/>
  <c r="V56" i="187"/>
  <c r="V56" i="176"/>
  <c r="V56" i="183"/>
  <c r="V56" i="194"/>
  <c r="V56" i="198"/>
  <c r="V98" i="161"/>
  <c r="V98" i="164"/>
  <c r="V98" i="174"/>
  <c r="V98" i="190"/>
  <c r="V77" i="158"/>
  <c r="V77" i="169"/>
  <c r="V77" i="175"/>
  <c r="V77" i="189"/>
  <c r="V78" i="168"/>
  <c r="V78" i="179"/>
  <c r="V78" i="184"/>
  <c r="V78" i="186"/>
  <c r="V104" i="15"/>
  <c r="V104" i="167"/>
  <c r="V104" i="172"/>
  <c r="V104" i="189"/>
  <c r="V104" i="193"/>
  <c r="V66" i="15"/>
  <c r="V66" i="173"/>
  <c r="V66" i="186"/>
  <c r="V92" i="159"/>
  <c r="V92" i="178"/>
  <c r="V92" i="176"/>
  <c r="V92" i="189"/>
  <c r="V92" i="198"/>
  <c r="V98" i="178"/>
  <c r="V98" i="183"/>
  <c r="V98" i="194"/>
  <c r="V77" i="118"/>
  <c r="V77" i="163"/>
  <c r="V77" i="170"/>
  <c r="V77" i="167"/>
  <c r="V77" i="193"/>
  <c r="V77" i="179"/>
  <c r="V77" i="185"/>
  <c r="V76" i="118"/>
  <c r="V76" i="159"/>
  <c r="V76" i="169"/>
  <c r="V76" i="167"/>
  <c r="V76" i="191"/>
  <c r="V76" i="175"/>
  <c r="V76" i="181"/>
  <c r="V76" i="190"/>
  <c r="V78" i="118"/>
  <c r="V78" i="161"/>
  <c r="V78" i="165"/>
  <c r="V78" i="172"/>
  <c r="V78" i="175"/>
  <c r="V78" i="181"/>
  <c r="V78" i="190"/>
  <c r="V104" i="161"/>
  <c r="V104" i="169"/>
  <c r="V104" i="191"/>
  <c r="V104" i="174"/>
  <c r="V104" i="180"/>
  <c r="V104" i="190"/>
  <c r="V104" i="186"/>
  <c r="V66" i="161"/>
  <c r="V66" i="168"/>
  <c r="V66" i="180"/>
  <c r="V66" i="187"/>
  <c r="V86" i="183"/>
  <c r="V92" i="118"/>
  <c r="V92" i="186"/>
  <c r="V92" i="167"/>
  <c r="V92" i="190"/>
  <c r="V92" i="174"/>
  <c r="V92" i="180"/>
  <c r="V92" i="187"/>
  <c r="V56" i="15"/>
  <c r="V56" i="161"/>
  <c r="V56" i="165"/>
  <c r="V56" i="191"/>
  <c r="V56" i="164"/>
  <c r="V56" i="179"/>
  <c r="V56" i="185"/>
  <c r="V98" i="15"/>
  <c r="V98" i="167"/>
  <c r="V98" i="176"/>
  <c r="V98" i="189"/>
  <c r="V67" i="158"/>
  <c r="V67" i="163"/>
  <c r="V67" i="165"/>
  <c r="V67" i="178"/>
  <c r="V67" i="164"/>
  <c r="V67" i="179"/>
  <c r="V67" i="185"/>
  <c r="V67" i="188"/>
  <c r="V66" i="118"/>
  <c r="V66" i="159"/>
  <c r="V66" i="178"/>
  <c r="V66" i="167"/>
  <c r="V66" i="172"/>
  <c r="V66" i="179"/>
  <c r="V66" i="185"/>
  <c r="V66" i="188"/>
  <c r="V66" i="198"/>
  <c r="V98" i="159"/>
  <c r="V98" i="170"/>
  <c r="V98" i="165"/>
  <c r="V98" i="175"/>
  <c r="V98" i="181"/>
  <c r="V98" i="184"/>
  <c r="V98" i="187"/>
  <c r="V64" i="118"/>
  <c r="V64" i="163"/>
  <c r="V64" i="174"/>
  <c r="V64" i="167"/>
  <c r="V64" i="173"/>
  <c r="V64" i="180"/>
  <c r="V64" i="186"/>
  <c r="V64" i="187"/>
  <c r="V67" i="15"/>
  <c r="V67" i="187"/>
  <c r="V67" i="168"/>
  <c r="V67" i="172"/>
  <c r="V67" i="175"/>
  <c r="V67" i="181"/>
  <c r="V67" i="190"/>
  <c r="V66" i="163"/>
  <c r="V66" i="164"/>
  <c r="V66" i="169"/>
  <c r="V66" i="191"/>
  <c r="V66" i="175"/>
  <c r="V66" i="181"/>
  <c r="V66" i="184"/>
  <c r="V98" i="118"/>
  <c r="V98" i="158"/>
  <c r="V98" i="169"/>
  <c r="V98" i="168"/>
  <c r="V98" i="173"/>
  <c r="V98" i="179"/>
  <c r="V98" i="185"/>
  <c r="V98" i="188"/>
  <c r="V64" i="158"/>
  <c r="V64" i="170"/>
  <c r="V64" i="190"/>
  <c r="V64" i="191"/>
  <c r="V64" i="176"/>
  <c r="V64" i="183"/>
  <c r="V64" i="189"/>
  <c r="V103" i="159"/>
  <c r="V103" i="167"/>
  <c r="V103" i="172"/>
  <c r="V103" i="174"/>
  <c r="V103" i="180"/>
  <c r="V103" i="185"/>
  <c r="V103" i="189"/>
  <c r="V103" i="198"/>
  <c r="V86" i="165"/>
  <c r="V86" i="188"/>
  <c r="V103" i="163"/>
  <c r="V103" i="169"/>
  <c r="V103" i="178"/>
  <c r="V103" i="164"/>
  <c r="V103" i="176"/>
  <c r="V103" i="183"/>
  <c r="V103" i="186"/>
  <c r="V86" i="158"/>
  <c r="V86" i="176"/>
  <c r="V86" i="118"/>
  <c r="V86" i="159"/>
  <c r="V86" i="164"/>
  <c r="V86" i="167"/>
  <c r="V86" i="172"/>
  <c r="V86" i="179"/>
  <c r="V86" i="185"/>
  <c r="V86" i="186"/>
  <c r="V86" i="198"/>
  <c r="U63" i="195"/>
  <c r="V63" i="195"/>
  <c r="V86" i="15"/>
  <c r="V86" i="161"/>
  <c r="V86" i="190"/>
  <c r="V86" i="168"/>
  <c r="V86" i="173"/>
  <c r="V86" i="180"/>
  <c r="V86" i="184"/>
  <c r="V86" i="187"/>
  <c r="U63" i="192"/>
  <c r="V63" i="192"/>
  <c r="V86" i="163"/>
  <c r="V86" i="174"/>
  <c r="V86" i="169"/>
  <c r="V86" i="191"/>
  <c r="V86" i="175"/>
  <c r="V86" i="181"/>
  <c r="V86" i="189"/>
  <c r="V102" i="190"/>
  <c r="V102" i="184"/>
  <c r="V102" i="15"/>
  <c r="V102" i="169"/>
  <c r="V102" i="186"/>
  <c r="V102" i="174"/>
  <c r="V102" i="161"/>
  <c r="V102" i="180"/>
  <c r="V102" i="163"/>
  <c r="V102" i="165"/>
  <c r="V102" i="181"/>
  <c r="V102" i="159"/>
  <c r="V102" i="178"/>
  <c r="V102" i="168"/>
  <c r="V102" i="173"/>
  <c r="V102" i="179"/>
  <c r="V102" i="185"/>
  <c r="V102" i="193"/>
  <c r="V102" i="198"/>
  <c r="V102" i="164"/>
  <c r="V102" i="191"/>
  <c r="V102" i="175"/>
  <c r="V102" i="189"/>
  <c r="V102" i="187"/>
  <c r="V105" i="197"/>
  <c r="U107" i="197"/>
  <c r="V107" i="197"/>
  <c r="V102" i="158"/>
  <c r="V102" i="170"/>
  <c r="V102" i="167"/>
  <c r="V102" i="172"/>
  <c r="V102" i="176"/>
  <c r="V102" i="183"/>
  <c r="V102" i="188"/>
  <c r="V77" i="15"/>
  <c r="V78" i="15"/>
  <c r="V100" i="193"/>
  <c r="V112" i="192"/>
  <c r="U112" i="198"/>
  <c r="V112" i="198"/>
  <c r="V111" i="198"/>
  <c r="U116" i="192"/>
  <c r="V116" i="192"/>
  <c r="V52" i="198"/>
  <c r="U105" i="177"/>
  <c r="U92" i="195"/>
  <c r="V92" i="195"/>
  <c r="U99" i="192"/>
  <c r="V99" i="192"/>
  <c r="U103" i="195"/>
  <c r="V103" i="195"/>
  <c r="U100" i="195"/>
  <c r="V100" i="195"/>
  <c r="U99" i="195"/>
  <c r="V99" i="195"/>
  <c r="U66" i="195"/>
  <c r="V66" i="195"/>
  <c r="U100" i="192"/>
  <c r="V100" i="192"/>
  <c r="U70" i="195"/>
  <c r="V70" i="195"/>
  <c r="U70" i="192"/>
  <c r="V70" i="192"/>
  <c r="V92" i="193"/>
  <c r="U54" i="195"/>
  <c r="V54" i="195"/>
  <c r="U90" i="195"/>
  <c r="V90" i="195"/>
  <c r="U90" i="192"/>
  <c r="V90" i="192"/>
  <c r="V78" i="193"/>
  <c r="U88" i="195"/>
  <c r="V88" i="195"/>
  <c r="U64" i="195"/>
  <c r="V64" i="195"/>
  <c r="U68" i="195"/>
  <c r="V68" i="195"/>
  <c r="U86" i="195"/>
  <c r="V86" i="195"/>
  <c r="U67" i="195"/>
  <c r="V67" i="195"/>
  <c r="U75" i="195"/>
  <c r="V75" i="195"/>
  <c r="U56" i="195"/>
  <c r="V56" i="195"/>
  <c r="U77" i="195"/>
  <c r="V77" i="195"/>
  <c r="U54" i="192"/>
  <c r="V54" i="192"/>
  <c r="U65" i="195"/>
  <c r="V65" i="195"/>
  <c r="U68" i="192"/>
  <c r="V68" i="192"/>
  <c r="U92" i="192"/>
  <c r="V92" i="192"/>
  <c r="U67" i="192"/>
  <c r="V67" i="192"/>
  <c r="U98" i="195"/>
  <c r="V98" i="195"/>
  <c r="U104" i="195"/>
  <c r="V104" i="195"/>
  <c r="U77" i="192"/>
  <c r="V77" i="192"/>
  <c r="U65" i="192"/>
  <c r="V65" i="192"/>
  <c r="U64" i="192"/>
  <c r="V64" i="192"/>
  <c r="U88" i="192"/>
  <c r="V88" i="192"/>
  <c r="U75" i="192"/>
  <c r="V75" i="192"/>
  <c r="U56" i="192"/>
  <c r="V56" i="192"/>
  <c r="U66" i="192"/>
  <c r="V66" i="192"/>
  <c r="U76" i="192"/>
  <c r="V76" i="192"/>
  <c r="U98" i="192"/>
  <c r="V98" i="192"/>
  <c r="V98" i="193"/>
  <c r="U76" i="195"/>
  <c r="V76" i="195"/>
  <c r="U104" i="192"/>
  <c r="V104" i="192"/>
  <c r="U78" i="192"/>
  <c r="V78" i="192"/>
  <c r="U103" i="192"/>
  <c r="V103" i="192"/>
  <c r="U86" i="192"/>
  <c r="V86" i="192"/>
  <c r="U102" i="192"/>
  <c r="V102" i="192"/>
  <c r="U102" i="195"/>
  <c r="V102" i="195"/>
  <c r="U116" i="198"/>
  <c r="V116" i="198"/>
  <c r="D57" i="118"/>
  <c r="V105" i="177"/>
  <c r="U107" i="177"/>
  <c r="V107" i="177"/>
  <c r="D57" i="198"/>
  <c r="D101" i="183"/>
  <c r="D101" i="164"/>
  <c r="D101" i="193"/>
  <c r="C101" i="195"/>
  <c r="D101" i="189"/>
  <c r="D101" i="175"/>
  <c r="D101" i="176"/>
  <c r="D101" i="158"/>
  <c r="D101" i="118"/>
  <c r="D101" i="191"/>
  <c r="D101" i="188"/>
  <c r="D101" i="185"/>
  <c r="D101" i="179"/>
  <c r="D101" i="172"/>
  <c r="D101" i="190"/>
  <c r="D101" i="169"/>
  <c r="D101" i="181"/>
  <c r="D101" i="178"/>
  <c r="D101" i="159"/>
  <c r="D101" i="173"/>
  <c r="D101" i="187"/>
  <c r="D101" i="170"/>
  <c r="D101" i="174"/>
  <c r="D101" i="198"/>
  <c r="D101" i="168"/>
  <c r="D101" i="184"/>
  <c r="D101" i="180"/>
  <c r="D101" i="195"/>
  <c r="D101" i="15"/>
  <c r="C101" i="192"/>
  <c r="D101" i="165"/>
  <c r="D101" i="161"/>
  <c r="D101" i="186"/>
  <c r="D101" i="163"/>
  <c r="D101" i="167"/>
  <c r="D101" i="194"/>
  <c r="D101" i="192"/>
  <c r="F101" i="183"/>
  <c r="F101" i="163"/>
  <c r="E105" i="163"/>
  <c r="F105" i="163"/>
  <c r="F101" i="164"/>
  <c r="F101" i="194"/>
  <c r="F101" i="193"/>
  <c r="E101" i="195"/>
  <c r="F101" i="195"/>
  <c r="F101" i="189"/>
  <c r="E105" i="189"/>
  <c r="E107" i="189"/>
  <c r="F107" i="189"/>
  <c r="F101" i="175"/>
  <c r="E105" i="175"/>
  <c r="F101" i="176"/>
  <c r="E105" i="176"/>
  <c r="F105" i="176"/>
  <c r="F101" i="167"/>
  <c r="F101" i="158"/>
  <c r="F101" i="161"/>
  <c r="F101" i="191"/>
  <c r="F101" i="168"/>
  <c r="E105" i="168"/>
  <c r="F105" i="168"/>
  <c r="F101" i="185"/>
  <c r="E105" i="185"/>
  <c r="F101" i="179"/>
  <c r="E105" i="179"/>
  <c r="F105" i="179"/>
  <c r="F101" i="172"/>
  <c r="E105" i="172"/>
  <c r="F101" i="190"/>
  <c r="F101" i="180"/>
  <c r="F101" i="15"/>
  <c r="F101" i="169"/>
  <c r="E105" i="169"/>
  <c r="F105" i="169"/>
  <c r="F101" i="181"/>
  <c r="F101" i="178"/>
  <c r="E105" i="178"/>
  <c r="F105" i="178"/>
  <c r="F101" i="184"/>
  <c r="E105" i="184"/>
  <c r="F105" i="184"/>
  <c r="F101" i="159"/>
  <c r="E105" i="159"/>
  <c r="E107" i="159"/>
  <c r="F107" i="159"/>
  <c r="F101" i="173"/>
  <c r="E105" i="173"/>
  <c r="E107" i="173"/>
  <c r="F107" i="173"/>
  <c r="F101" i="187"/>
  <c r="E105" i="187"/>
  <c r="F101" i="174"/>
  <c r="E105" i="174"/>
  <c r="F101" i="198"/>
  <c r="F105" i="173"/>
  <c r="E107" i="184"/>
  <c r="F107" i="184"/>
  <c r="E107" i="169"/>
  <c r="F107" i="169"/>
  <c r="E107" i="176"/>
  <c r="F107" i="176"/>
  <c r="F105" i="159"/>
  <c r="E107" i="168"/>
  <c r="F107" i="168"/>
  <c r="F105" i="189"/>
  <c r="E107" i="163"/>
  <c r="F107" i="163"/>
  <c r="E107" i="178"/>
  <c r="F107" i="178"/>
  <c r="E107" i="179"/>
  <c r="F107" i="179"/>
  <c r="E107" i="187"/>
  <c r="F107" i="187"/>
  <c r="F105" i="187"/>
  <c r="F105" i="174"/>
  <c r="E107" i="174"/>
  <c r="F107" i="174"/>
  <c r="F101" i="170"/>
  <c r="F101" i="188"/>
  <c r="F101" i="186"/>
  <c r="E101" i="192"/>
  <c r="F105" i="172"/>
  <c r="E107" i="172"/>
  <c r="F107" i="172"/>
  <c r="E105" i="190"/>
  <c r="F105" i="185"/>
  <c r="E107" i="185"/>
  <c r="F107" i="185"/>
  <c r="F101" i="118"/>
  <c r="E107" i="175"/>
  <c r="F107" i="175"/>
  <c r="F105" i="175"/>
  <c r="E105" i="165"/>
  <c r="F101" i="165"/>
  <c r="F105" i="190"/>
  <c r="E107" i="190"/>
  <c r="F107" i="190"/>
  <c r="F105" i="165"/>
  <c r="E107" i="165"/>
  <c r="F107" i="165"/>
  <c r="F101" i="192"/>
  <c r="H101" i="183"/>
  <c r="H101" i="163"/>
  <c r="G105" i="163"/>
  <c r="H105" i="163"/>
  <c r="H101" i="164"/>
  <c r="H101" i="194"/>
  <c r="H101" i="189"/>
  <c r="G105" i="189"/>
  <c r="H105" i="189"/>
  <c r="H101" i="165"/>
  <c r="G105" i="165"/>
  <c r="H105" i="165"/>
  <c r="H101" i="176"/>
  <c r="H101" i="167"/>
  <c r="H101" i="158"/>
  <c r="H101" i="161"/>
  <c r="H101" i="118"/>
  <c r="H101" i="186"/>
  <c r="H101" i="191"/>
  <c r="H101" i="168"/>
  <c r="G105" i="168"/>
  <c r="H105" i="168"/>
  <c r="H101" i="188"/>
  <c r="H101" i="185"/>
  <c r="G105" i="185"/>
  <c r="H105" i="185"/>
  <c r="H101" i="179"/>
  <c r="G105" i="179"/>
  <c r="H105" i="179"/>
  <c r="H101" i="172"/>
  <c r="G105" i="172"/>
  <c r="H105" i="172"/>
  <c r="H101" i="190"/>
  <c r="G105" i="190"/>
  <c r="H105" i="190"/>
  <c r="H101" i="180"/>
  <c r="H101" i="15"/>
  <c r="H101" i="169"/>
  <c r="G105" i="169"/>
  <c r="G107" i="169"/>
  <c r="H107" i="169"/>
  <c r="H101" i="181"/>
  <c r="H101" i="178"/>
  <c r="G105" i="178"/>
  <c r="H105" i="178"/>
  <c r="H101" i="184"/>
  <c r="G105" i="184"/>
  <c r="H105" i="184"/>
  <c r="H101" i="159"/>
  <c r="G105" i="159"/>
  <c r="H105" i="159"/>
  <c r="H101" i="173"/>
  <c r="G105" i="173"/>
  <c r="H105" i="173"/>
  <c r="H101" i="187"/>
  <c r="G105" i="187"/>
  <c r="H105" i="187"/>
  <c r="H101" i="170"/>
  <c r="H101" i="174"/>
  <c r="G105" i="174"/>
  <c r="H105" i="174"/>
  <c r="H101" i="198"/>
  <c r="G107" i="187"/>
  <c r="H107" i="187"/>
  <c r="G107" i="184"/>
  <c r="H107" i="184"/>
  <c r="G107" i="159"/>
  <c r="H107" i="159"/>
  <c r="G107" i="179"/>
  <c r="H107" i="179"/>
  <c r="H105" i="169"/>
  <c r="G107" i="172"/>
  <c r="H107" i="172"/>
  <c r="G107" i="174"/>
  <c r="H107" i="174"/>
  <c r="G107" i="173"/>
  <c r="H107" i="173"/>
  <c r="G107" i="178"/>
  <c r="H107" i="178"/>
  <c r="G107" i="185"/>
  <c r="H107" i="185"/>
  <c r="G107" i="165"/>
  <c r="H107" i="165"/>
  <c r="G107" i="189"/>
  <c r="H107" i="189"/>
  <c r="G107" i="163"/>
  <c r="H107" i="163"/>
  <c r="G107" i="190"/>
  <c r="H107" i="190"/>
  <c r="G107" i="168"/>
  <c r="H107" i="168"/>
  <c r="G101" i="192"/>
  <c r="H101" i="193"/>
  <c r="G101" i="195"/>
  <c r="H101" i="175"/>
  <c r="G105" i="175"/>
  <c r="H101" i="195"/>
  <c r="G107" i="175"/>
  <c r="H107" i="175"/>
  <c r="H105" i="175"/>
  <c r="H101" i="192"/>
  <c r="D55" i="193"/>
  <c r="F55" i="193"/>
  <c r="E105" i="193"/>
  <c r="E107" i="193"/>
  <c r="F107" i="193"/>
  <c r="H55" i="193"/>
  <c r="G105" i="193"/>
  <c r="H105" i="193"/>
  <c r="J55" i="193"/>
  <c r="L55" i="193"/>
  <c r="N55" i="193"/>
  <c r="P55" i="193"/>
  <c r="R55" i="193"/>
  <c r="T55" i="193"/>
  <c r="V55" i="193"/>
  <c r="D55" i="194"/>
  <c r="C55" i="195"/>
  <c r="D55" i="195"/>
  <c r="G107" i="193"/>
  <c r="H107" i="193"/>
  <c r="F105" i="193"/>
  <c r="F55" i="194"/>
  <c r="E105" i="194"/>
  <c r="E107" i="194"/>
  <c r="F107" i="194"/>
  <c r="E55" i="195"/>
  <c r="E105" i="195"/>
  <c r="F105" i="195"/>
  <c r="H55" i="194"/>
  <c r="G105" i="194"/>
  <c r="G107" i="194"/>
  <c r="H107" i="194"/>
  <c r="G55" i="195"/>
  <c r="H55" i="195"/>
  <c r="G105" i="195"/>
  <c r="H105" i="195"/>
  <c r="J55" i="194"/>
  <c r="I55" i="195"/>
  <c r="J55" i="195"/>
  <c r="L55" i="194"/>
  <c r="K55" i="195"/>
  <c r="F55" i="195"/>
  <c r="H105" i="194"/>
  <c r="G107" i="195"/>
  <c r="H107" i="195"/>
  <c r="E107" i="195"/>
  <c r="F107" i="195"/>
  <c r="F105" i="194"/>
  <c r="L55" i="195"/>
  <c r="N55" i="194"/>
  <c r="M55" i="195"/>
  <c r="N55" i="195"/>
  <c r="P55" i="194"/>
  <c r="O55" i="195"/>
  <c r="P55" i="195"/>
  <c r="R55" i="194"/>
  <c r="Q55" i="195"/>
  <c r="R55" i="195"/>
  <c r="T55" i="194"/>
  <c r="S55" i="195"/>
  <c r="T55" i="195"/>
  <c r="V55" i="194"/>
  <c r="U55" i="195"/>
  <c r="V55" i="195"/>
  <c r="D55" i="164"/>
  <c r="F55" i="164"/>
  <c r="H55" i="164"/>
  <c r="J55" i="164"/>
  <c r="L55" i="164"/>
  <c r="N55" i="164"/>
  <c r="P55" i="164"/>
  <c r="R55" i="164"/>
  <c r="T55" i="164"/>
  <c r="V55" i="164"/>
  <c r="E105" i="164"/>
  <c r="E107" i="164"/>
  <c r="F107" i="164"/>
  <c r="G105" i="164"/>
  <c r="F105" i="164"/>
  <c r="G107" i="164"/>
  <c r="H107" i="164"/>
  <c r="H105" i="164"/>
  <c r="D55" i="118"/>
  <c r="C105" i="118"/>
  <c r="D105" i="118"/>
  <c r="F55" i="118"/>
  <c r="E105" i="118"/>
  <c r="F105" i="118"/>
  <c r="H55" i="118"/>
  <c r="G105" i="118"/>
  <c r="H105" i="118"/>
  <c r="J55" i="118"/>
  <c r="L55" i="118"/>
  <c r="N55" i="118"/>
  <c r="P55" i="118"/>
  <c r="R55" i="118"/>
  <c r="T55" i="118"/>
  <c r="V55" i="118"/>
  <c r="D55" i="15"/>
  <c r="F55" i="15"/>
  <c r="E105" i="15"/>
  <c r="F105" i="15"/>
  <c r="D55" i="158"/>
  <c r="F55" i="158"/>
  <c r="E105" i="158"/>
  <c r="F105" i="158"/>
  <c r="H55" i="158"/>
  <c r="G105" i="158"/>
  <c r="H105" i="158"/>
  <c r="J55" i="158"/>
  <c r="L55" i="158"/>
  <c r="N55" i="158"/>
  <c r="P55" i="158"/>
  <c r="R55" i="158"/>
  <c r="T55" i="158"/>
  <c r="V55" i="158"/>
  <c r="D55" i="161"/>
  <c r="C107" i="118"/>
  <c r="D107" i="118"/>
  <c r="G107" i="158"/>
  <c r="H107" i="158"/>
  <c r="E107" i="158"/>
  <c r="F107" i="158"/>
  <c r="E107" i="15"/>
  <c r="F107" i="15"/>
  <c r="E107" i="118"/>
  <c r="F107" i="118"/>
  <c r="G107" i="118"/>
  <c r="H107" i="118"/>
  <c r="F55" i="161"/>
  <c r="E105" i="161"/>
  <c r="E107" i="161"/>
  <c r="F107" i="161"/>
  <c r="H55" i="161"/>
  <c r="G105" i="161"/>
  <c r="H105" i="161"/>
  <c r="J55" i="161"/>
  <c r="L55" i="161"/>
  <c r="N55" i="161"/>
  <c r="P55" i="161"/>
  <c r="R55" i="161"/>
  <c r="T55" i="161"/>
  <c r="V55" i="161"/>
  <c r="D55" i="181"/>
  <c r="F55" i="181"/>
  <c r="E105" i="181"/>
  <c r="F105" i="181"/>
  <c r="H55" i="181"/>
  <c r="G105" i="181"/>
  <c r="H105" i="181"/>
  <c r="J55" i="181"/>
  <c r="L55" i="181"/>
  <c r="N55" i="181"/>
  <c r="P55" i="181"/>
  <c r="R55" i="181"/>
  <c r="T55" i="181"/>
  <c r="V55" i="181"/>
  <c r="F55" i="183"/>
  <c r="E105" i="183"/>
  <c r="F105" i="183"/>
  <c r="H55" i="183"/>
  <c r="G105" i="183"/>
  <c r="H105" i="183"/>
  <c r="J55" i="183"/>
  <c r="L55" i="183"/>
  <c r="N55" i="183"/>
  <c r="P55" i="183"/>
  <c r="R55" i="183"/>
  <c r="T55" i="183"/>
  <c r="V55" i="183"/>
  <c r="D55" i="186"/>
  <c r="F55" i="186"/>
  <c r="E105" i="186"/>
  <c r="F105" i="186"/>
  <c r="H55" i="186"/>
  <c r="G105" i="186"/>
  <c r="H105" i="186"/>
  <c r="J55" i="186"/>
  <c r="L55" i="186"/>
  <c r="N55" i="186"/>
  <c r="P55" i="186"/>
  <c r="R55" i="186"/>
  <c r="T55" i="186"/>
  <c r="V55" i="186"/>
  <c r="F55" i="188"/>
  <c r="E105" i="188"/>
  <c r="F105" i="188"/>
  <c r="H55" i="188"/>
  <c r="G105" i="188"/>
  <c r="G107" i="161"/>
  <c r="H107" i="161"/>
  <c r="E107" i="188"/>
  <c r="F107" i="188"/>
  <c r="G107" i="186"/>
  <c r="H107" i="186"/>
  <c r="G107" i="183"/>
  <c r="H107" i="183"/>
  <c r="E107" i="186"/>
  <c r="F107" i="186"/>
  <c r="G107" i="181"/>
  <c r="H107" i="181"/>
  <c r="F105" i="161"/>
  <c r="E107" i="181"/>
  <c r="F107" i="181"/>
  <c r="E107" i="183"/>
  <c r="F107" i="183"/>
  <c r="H105" i="188"/>
  <c r="G107" i="188"/>
  <c r="H107" i="188"/>
  <c r="J55" i="188"/>
  <c r="L55" i="188"/>
  <c r="N55" i="188"/>
  <c r="P55" i="188"/>
  <c r="R55" i="188"/>
  <c r="T55" i="188"/>
  <c r="V55" i="188"/>
  <c r="H55" i="191"/>
  <c r="G105" i="191"/>
  <c r="J55" i="191"/>
  <c r="L55" i="191"/>
  <c r="N55" i="191"/>
  <c r="P55" i="191"/>
  <c r="R55" i="191"/>
  <c r="T55" i="191"/>
  <c r="V55" i="191"/>
  <c r="H105" i="191"/>
  <c r="G107" i="191"/>
  <c r="H107" i="191"/>
  <c r="D102" i="183"/>
  <c r="C105" i="163"/>
  <c r="D102" i="164"/>
  <c r="D102" i="194"/>
  <c r="D102" i="193"/>
  <c r="D102" i="189"/>
  <c r="D102" i="175"/>
  <c r="D102" i="165"/>
  <c r="D102" i="176"/>
  <c r="D102" i="167"/>
  <c r="D102" i="158"/>
  <c r="D102" i="161"/>
  <c r="D102" i="186"/>
  <c r="D102" i="191"/>
  <c r="D102" i="168"/>
  <c r="D102" i="188"/>
  <c r="D102" i="185"/>
  <c r="D102" i="179"/>
  <c r="D102" i="172"/>
  <c r="D102" i="190"/>
  <c r="D102" i="180"/>
  <c r="D102" i="15"/>
  <c r="D102" i="169"/>
  <c r="D102" i="181"/>
  <c r="D102" i="178"/>
  <c r="D102" i="184"/>
  <c r="D102" i="159"/>
  <c r="D102" i="173"/>
  <c r="D102" i="187"/>
  <c r="D102" i="170"/>
  <c r="D102" i="174"/>
  <c r="D102" i="198"/>
  <c r="C105" i="178"/>
  <c r="D105" i="178"/>
  <c r="C105" i="158"/>
  <c r="D105" i="158"/>
  <c r="C105" i="170"/>
  <c r="C107" i="170"/>
  <c r="D107" i="170"/>
  <c r="C105" i="186"/>
  <c r="D105" i="186"/>
  <c r="C105" i="184"/>
  <c r="D105" i="184"/>
  <c r="C105" i="164"/>
  <c r="D105" i="164"/>
  <c r="C105" i="187"/>
  <c r="D105" i="187"/>
  <c r="C105" i="176"/>
  <c r="C107" i="176"/>
  <c r="D107" i="176"/>
  <c r="D105" i="163"/>
  <c r="C107" i="163"/>
  <c r="D107" i="163"/>
  <c r="C105" i="159"/>
  <c r="C105" i="168"/>
  <c r="C105" i="167"/>
  <c r="D105" i="167"/>
  <c r="D102" i="163"/>
  <c r="C105" i="174"/>
  <c r="D105" i="174"/>
  <c r="C105" i="173"/>
  <c r="C107" i="178"/>
  <c r="D107" i="178"/>
  <c r="C105" i="169"/>
  <c r="D105" i="169"/>
  <c r="C105" i="175"/>
  <c r="D105" i="175"/>
  <c r="C105" i="194"/>
  <c r="D105" i="194"/>
  <c r="C102" i="192"/>
  <c r="C105" i="165"/>
  <c r="C105" i="193"/>
  <c r="C105" i="189"/>
  <c r="C102" i="195"/>
  <c r="C105" i="181"/>
  <c r="C105" i="15"/>
  <c r="C105" i="180"/>
  <c r="C105" i="172"/>
  <c r="C105" i="179"/>
  <c r="C105" i="185"/>
  <c r="C105" i="161"/>
  <c r="C107" i="174"/>
  <c r="D107" i="174"/>
  <c r="C107" i="158"/>
  <c r="D107" i="158"/>
  <c r="C107" i="186"/>
  <c r="D107" i="186"/>
  <c r="D105" i="176"/>
  <c r="C107" i="187"/>
  <c r="D107" i="187"/>
  <c r="D105" i="170"/>
  <c r="C107" i="194"/>
  <c r="D107" i="194"/>
  <c r="C107" i="164"/>
  <c r="D107" i="164"/>
  <c r="C107" i="175"/>
  <c r="D107" i="175"/>
  <c r="C107" i="184"/>
  <c r="D107" i="184"/>
  <c r="C107" i="167"/>
  <c r="D107" i="167"/>
  <c r="C107" i="169"/>
  <c r="D107" i="169"/>
  <c r="D102" i="192"/>
  <c r="D105" i="159"/>
  <c r="C107" i="159"/>
  <c r="D107" i="159"/>
  <c r="D105" i="168"/>
  <c r="C107" i="168"/>
  <c r="D107" i="168"/>
  <c r="D105" i="173"/>
  <c r="C107" i="173"/>
  <c r="D107" i="173"/>
  <c r="D105" i="165"/>
  <c r="C107" i="165"/>
  <c r="D107" i="165"/>
  <c r="D105" i="189"/>
  <c r="C107" i="189"/>
  <c r="D107" i="189"/>
  <c r="D105" i="193"/>
  <c r="C107" i="193"/>
  <c r="D107" i="193"/>
  <c r="D102" i="195"/>
  <c r="C105" i="195"/>
  <c r="C107" i="172"/>
  <c r="D107" i="172"/>
  <c r="D105" i="172"/>
  <c r="C107" i="161"/>
  <c r="D107" i="161"/>
  <c r="D105" i="161"/>
  <c r="C107" i="180"/>
  <c r="D107" i="180"/>
  <c r="D105" i="180"/>
  <c r="C107" i="181"/>
  <c r="D107" i="181"/>
  <c r="D105" i="181"/>
  <c r="C107" i="185"/>
  <c r="D107" i="185"/>
  <c r="D105" i="185"/>
  <c r="C107" i="15"/>
  <c r="D107" i="15"/>
  <c r="D105" i="15"/>
  <c r="C107" i="179"/>
  <c r="D107" i="179"/>
  <c r="D105" i="179"/>
  <c r="D105" i="195"/>
  <c r="C107" i="195"/>
  <c r="D107" i="195"/>
  <c r="H55" i="15"/>
  <c r="G105" i="15"/>
  <c r="H105" i="15"/>
  <c r="G107" i="15"/>
  <c r="H107" i="15"/>
  <c r="H55" i="167"/>
  <c r="G105" i="167"/>
  <c r="G107" i="167"/>
  <c r="H107" i="167"/>
  <c r="H55" i="170"/>
  <c r="G105" i="170"/>
  <c r="H105" i="170"/>
  <c r="H105" i="167"/>
  <c r="G107" i="170"/>
  <c r="H107" i="170"/>
  <c r="H55" i="176"/>
  <c r="G105" i="176"/>
  <c r="G107" i="176"/>
  <c r="H107" i="176"/>
  <c r="H55" i="180"/>
  <c r="G105" i="180"/>
  <c r="G107" i="180"/>
  <c r="H107" i="180"/>
  <c r="G55" i="192"/>
  <c r="G105" i="192"/>
  <c r="G107" i="192"/>
  <c r="H107" i="192"/>
  <c r="H105" i="180"/>
  <c r="H55" i="198"/>
  <c r="H55" i="192"/>
  <c r="H105" i="176"/>
  <c r="H105" i="192"/>
  <c r="G105" i="198"/>
  <c r="G107" i="198"/>
  <c r="H107" i="198"/>
  <c r="H105" i="198"/>
  <c r="D55" i="183"/>
  <c r="C105" i="183"/>
  <c r="C107" i="183"/>
  <c r="D107" i="183"/>
  <c r="D55" i="191"/>
  <c r="C105" i="191"/>
  <c r="D105" i="191"/>
  <c r="D55" i="188"/>
  <c r="C105" i="188"/>
  <c r="D105" i="188"/>
  <c r="D55" i="190"/>
  <c r="C105" i="190"/>
  <c r="C107" i="190"/>
  <c r="D107" i="190"/>
  <c r="D105" i="190"/>
  <c r="C55" i="192"/>
  <c r="D55" i="192"/>
  <c r="C105" i="192"/>
  <c r="D105" i="192"/>
  <c r="D55" i="198"/>
  <c r="D105" i="183"/>
  <c r="C107" i="188"/>
  <c r="D107" i="188"/>
  <c r="C107" i="191"/>
  <c r="D107" i="191"/>
  <c r="C105" i="198"/>
  <c r="D105" i="198"/>
  <c r="C107" i="192"/>
  <c r="D107" i="192"/>
  <c r="C107" i="198"/>
  <c r="D107" i="198"/>
  <c r="F55" i="167"/>
  <c r="E105" i="167"/>
  <c r="F105" i="167"/>
  <c r="F55" i="191"/>
  <c r="E105" i="191"/>
  <c r="F105" i="191"/>
  <c r="E107" i="191"/>
  <c r="F107" i="191"/>
  <c r="F55" i="180"/>
  <c r="E105" i="180"/>
  <c r="F105" i="180"/>
  <c r="E107" i="180"/>
  <c r="F107" i="180"/>
  <c r="E55" i="192"/>
  <c r="F55" i="192"/>
  <c r="F55" i="170"/>
  <c r="E105" i="170"/>
  <c r="E107" i="170"/>
  <c r="F107" i="170"/>
  <c r="F105" i="170"/>
  <c r="F55" i="198"/>
  <c r="E107" i="167"/>
  <c r="F107" i="167"/>
  <c r="E105" i="198"/>
  <c r="E107" i="198"/>
  <c r="F107" i="198"/>
  <c r="E105" i="192"/>
  <c r="F105" i="198"/>
  <c r="F105" i="192"/>
  <c r="E107" i="192"/>
  <c r="F107" i="192"/>
  <c r="J101" i="162"/>
  <c r="I105" i="162"/>
  <c r="J105" i="162"/>
  <c r="J101" i="183"/>
  <c r="I105" i="183"/>
  <c r="J105" i="183"/>
  <c r="J101" i="163"/>
  <c r="I105" i="163"/>
  <c r="I107" i="163"/>
  <c r="J107" i="163"/>
  <c r="J101" i="164"/>
  <c r="I105" i="164"/>
  <c r="J101" i="194"/>
  <c r="I105" i="194"/>
  <c r="J105" i="194"/>
  <c r="J101" i="193"/>
  <c r="I105" i="193"/>
  <c r="J105" i="193"/>
  <c r="I107" i="193"/>
  <c r="J107" i="193"/>
  <c r="I101" i="195"/>
  <c r="J101" i="195"/>
  <c r="I105" i="195"/>
  <c r="J105" i="195"/>
  <c r="I107" i="195"/>
  <c r="J107" i="195"/>
  <c r="J101" i="189"/>
  <c r="I105" i="189"/>
  <c r="I107" i="189"/>
  <c r="J107" i="189"/>
  <c r="J105" i="189"/>
  <c r="J101" i="175"/>
  <c r="I105" i="175"/>
  <c r="J101" i="165"/>
  <c r="I105" i="165"/>
  <c r="J55" i="176"/>
  <c r="J101" i="176"/>
  <c r="I105" i="176"/>
  <c r="J105" i="176"/>
  <c r="J55" i="167"/>
  <c r="J101" i="167"/>
  <c r="I105" i="167"/>
  <c r="J101" i="158"/>
  <c r="I105" i="158"/>
  <c r="J105" i="158"/>
  <c r="J101" i="161"/>
  <c r="I105" i="161"/>
  <c r="J105" i="161"/>
  <c r="J101" i="118"/>
  <c r="I105" i="118"/>
  <c r="J101" i="186"/>
  <c r="I105" i="186"/>
  <c r="J105" i="186"/>
  <c r="I107" i="186"/>
  <c r="J107" i="186"/>
  <c r="J101" i="191"/>
  <c r="I105" i="191"/>
  <c r="I107" i="191"/>
  <c r="J107" i="191"/>
  <c r="J101" i="168"/>
  <c r="I105" i="168"/>
  <c r="J101" i="188"/>
  <c r="I105" i="188"/>
  <c r="J105" i="188"/>
  <c r="I107" i="188"/>
  <c r="J107" i="188"/>
  <c r="J101" i="185"/>
  <c r="I105" i="185"/>
  <c r="J105" i="185"/>
  <c r="J101" i="179"/>
  <c r="I105" i="179"/>
  <c r="I107" i="179"/>
  <c r="J107" i="179"/>
  <c r="J101" i="172"/>
  <c r="I105" i="172"/>
  <c r="J101" i="190"/>
  <c r="I105" i="190"/>
  <c r="I107" i="190"/>
  <c r="J107" i="190"/>
  <c r="J105" i="190"/>
  <c r="J55" i="180"/>
  <c r="J101" i="180"/>
  <c r="I105" i="180"/>
  <c r="J55" i="15"/>
  <c r="J101" i="15"/>
  <c r="I105" i="15"/>
  <c r="J105" i="15"/>
  <c r="I107" i="15"/>
  <c r="J107" i="15"/>
  <c r="J101" i="169"/>
  <c r="I105" i="169"/>
  <c r="I55" i="192"/>
  <c r="J55" i="192"/>
  <c r="I101" i="192"/>
  <c r="J101" i="192"/>
  <c r="I105" i="192"/>
  <c r="J101" i="181"/>
  <c r="I105" i="181"/>
  <c r="J105" i="181"/>
  <c r="J101" i="178"/>
  <c r="I105" i="178"/>
  <c r="J101" i="184"/>
  <c r="I105" i="184"/>
  <c r="J105" i="184"/>
  <c r="J101" i="159"/>
  <c r="I105" i="159"/>
  <c r="J105" i="159"/>
  <c r="J101" i="173"/>
  <c r="I105" i="173"/>
  <c r="I107" i="173"/>
  <c r="J107" i="173"/>
  <c r="J101" i="187"/>
  <c r="I105" i="187"/>
  <c r="J55" i="170"/>
  <c r="J101" i="170"/>
  <c r="I105" i="170"/>
  <c r="J105" i="170"/>
  <c r="I107" i="170"/>
  <c r="J107" i="170"/>
  <c r="J101" i="174"/>
  <c r="I105" i="174"/>
  <c r="I107" i="174"/>
  <c r="J107" i="174"/>
  <c r="J55" i="198"/>
  <c r="J101" i="198"/>
  <c r="I107" i="159"/>
  <c r="J107" i="159"/>
  <c r="I107" i="184"/>
  <c r="J107" i="184"/>
  <c r="I107" i="194"/>
  <c r="J107" i="194"/>
  <c r="J105" i="173"/>
  <c r="J105" i="191"/>
  <c r="I107" i="176"/>
  <c r="J107" i="176"/>
  <c r="I107" i="183"/>
  <c r="J107" i="183"/>
  <c r="I107" i="181"/>
  <c r="J107" i="181"/>
  <c r="I107" i="185"/>
  <c r="J107" i="185"/>
  <c r="I107" i="161"/>
  <c r="J107" i="161"/>
  <c r="I107" i="158"/>
  <c r="J107" i="158"/>
  <c r="J105" i="163"/>
  <c r="I107" i="162"/>
  <c r="J107" i="162"/>
  <c r="J105" i="174"/>
  <c r="J105" i="179"/>
  <c r="I105" i="198"/>
  <c r="J105" i="198"/>
  <c r="I107" i="192"/>
  <c r="J107" i="192"/>
  <c r="J105" i="192"/>
  <c r="I107" i="169"/>
  <c r="J107" i="169"/>
  <c r="J105" i="169"/>
  <c r="J105" i="178"/>
  <c r="I107" i="178"/>
  <c r="J107" i="178"/>
  <c r="I107" i="168"/>
  <c r="J107" i="168"/>
  <c r="J105" i="168"/>
  <c r="I107" i="187"/>
  <c r="J107" i="187"/>
  <c r="J105" i="187"/>
  <c r="I107" i="180"/>
  <c r="J107" i="180"/>
  <c r="J105" i="180"/>
  <c r="I107" i="118"/>
  <c r="J107" i="118"/>
  <c r="J105" i="118"/>
  <c r="J105" i="175"/>
  <c r="I107" i="175"/>
  <c r="J107" i="175"/>
  <c r="I107" i="172"/>
  <c r="J107" i="172"/>
  <c r="J105" i="172"/>
  <c r="I107" i="167"/>
  <c r="J107" i="167"/>
  <c r="J105" i="167"/>
  <c r="I107" i="165"/>
  <c r="J107" i="165"/>
  <c r="J105" i="165"/>
  <c r="I107" i="164"/>
  <c r="J107" i="164"/>
  <c r="J105" i="164"/>
  <c r="I107" i="198"/>
  <c r="J107" i="198"/>
  <c r="L101" i="162"/>
  <c r="K105" i="162"/>
  <c r="L105" i="162"/>
  <c r="L101" i="183"/>
  <c r="K105" i="183"/>
  <c r="K107" i="183"/>
  <c r="L107" i="183"/>
  <c r="L105" i="183"/>
  <c r="L101" i="163"/>
  <c r="K105" i="163"/>
  <c r="L105" i="163"/>
  <c r="L101" i="164"/>
  <c r="K105" i="164"/>
  <c r="K107" i="164"/>
  <c r="L107" i="164"/>
  <c r="L105" i="164"/>
  <c r="L101" i="194"/>
  <c r="K105" i="194"/>
  <c r="L105" i="194"/>
  <c r="L101" i="193"/>
  <c r="K105" i="193"/>
  <c r="K107" i="193"/>
  <c r="L107" i="193"/>
  <c r="L105" i="193"/>
  <c r="K101" i="195"/>
  <c r="L101" i="195"/>
  <c r="K105" i="195"/>
  <c r="L105" i="195"/>
  <c r="K107" i="195"/>
  <c r="L107" i="195"/>
  <c r="L101" i="189"/>
  <c r="K105" i="189"/>
  <c r="L105" i="189"/>
  <c r="K107" i="189"/>
  <c r="L107" i="189"/>
  <c r="L101" i="175"/>
  <c r="K105" i="175"/>
  <c r="L105" i="175"/>
  <c r="K107" i="175"/>
  <c r="L107" i="175"/>
  <c r="L101" i="165"/>
  <c r="K105" i="165"/>
  <c r="L105" i="165"/>
  <c r="K107" i="165"/>
  <c r="L107" i="165"/>
  <c r="L55" i="176"/>
  <c r="L101" i="176"/>
  <c r="K105" i="176"/>
  <c r="L105" i="176"/>
  <c r="K107" i="176"/>
  <c r="L107" i="176"/>
  <c r="L55" i="167"/>
  <c r="L101" i="167"/>
  <c r="K105" i="167"/>
  <c r="L105" i="167"/>
  <c r="L101" i="158"/>
  <c r="K105" i="158"/>
  <c r="L105" i="158"/>
  <c r="K107" i="158"/>
  <c r="L107" i="158"/>
  <c r="L101" i="161"/>
  <c r="K105" i="161"/>
  <c r="L105" i="161"/>
  <c r="K107" i="161"/>
  <c r="L107" i="161"/>
  <c r="L101" i="118"/>
  <c r="K105" i="118"/>
  <c r="K107" i="118"/>
  <c r="L107" i="118"/>
  <c r="L105" i="118"/>
  <c r="L101" i="186"/>
  <c r="K105" i="186"/>
  <c r="L105" i="186"/>
  <c r="K107" i="186"/>
  <c r="L107" i="186"/>
  <c r="L101" i="191"/>
  <c r="K105" i="191"/>
  <c r="L105" i="191"/>
  <c r="K107" i="191"/>
  <c r="L107" i="191"/>
  <c r="L101" i="168"/>
  <c r="K105" i="168"/>
  <c r="L105" i="168"/>
  <c r="K107" i="168"/>
  <c r="L107" i="168"/>
  <c r="L101" i="188"/>
  <c r="K105" i="188"/>
  <c r="L105" i="188"/>
  <c r="K107" i="188"/>
  <c r="L107" i="188"/>
  <c r="L101" i="185"/>
  <c r="K105" i="185"/>
  <c r="L101" i="179"/>
  <c r="K105" i="179"/>
  <c r="L105" i="179"/>
  <c r="L101" i="172"/>
  <c r="K105" i="172"/>
  <c r="L105" i="172"/>
  <c r="K107" i="172"/>
  <c r="L107" i="172"/>
  <c r="L101" i="190"/>
  <c r="K105" i="190"/>
  <c r="L105" i="190"/>
  <c r="L55" i="180"/>
  <c r="L101" i="180"/>
  <c r="K105" i="180"/>
  <c r="L105" i="180"/>
  <c r="K107" i="180"/>
  <c r="L107" i="180"/>
  <c r="L55" i="15"/>
  <c r="L101" i="15"/>
  <c r="K105" i="15"/>
  <c r="L105" i="15"/>
  <c r="L101" i="169"/>
  <c r="K105" i="169"/>
  <c r="L105" i="169"/>
  <c r="K55" i="192"/>
  <c r="L55" i="192"/>
  <c r="K101" i="192"/>
  <c r="L101" i="192"/>
  <c r="K105" i="192"/>
  <c r="L105" i="192"/>
  <c r="L101" i="181"/>
  <c r="K105" i="181"/>
  <c r="L105" i="181"/>
  <c r="K107" i="181"/>
  <c r="L107" i="181"/>
  <c r="L101" i="178"/>
  <c r="K105" i="178"/>
  <c r="L105" i="178"/>
  <c r="K107" i="178"/>
  <c r="L107" i="178"/>
  <c r="L101" i="184"/>
  <c r="K105" i="184"/>
  <c r="K107" i="184"/>
  <c r="L107" i="184"/>
  <c r="L105" i="184"/>
  <c r="L101" i="159"/>
  <c r="K105" i="159"/>
  <c r="L105" i="159"/>
  <c r="L101" i="173"/>
  <c r="K105" i="173"/>
  <c r="L105" i="173"/>
  <c r="L101" i="187"/>
  <c r="K105" i="187"/>
  <c r="L105" i="187"/>
  <c r="K107" i="187"/>
  <c r="L107" i="187"/>
  <c r="L55" i="170"/>
  <c r="L101" i="170"/>
  <c r="K105" i="170"/>
  <c r="L105" i="170"/>
  <c r="K107" i="170"/>
  <c r="L107" i="170"/>
  <c r="L101" i="174"/>
  <c r="K105" i="174"/>
  <c r="L105" i="174"/>
  <c r="L55" i="198"/>
  <c r="L101" i="198"/>
  <c r="K107" i="192"/>
  <c r="L107" i="192"/>
  <c r="K107" i="169"/>
  <c r="L107" i="169"/>
  <c r="K107" i="15"/>
  <c r="L107" i="15"/>
  <c r="K107" i="190"/>
  <c r="L107" i="190"/>
  <c r="K107" i="179"/>
  <c r="L107" i="179"/>
  <c r="K107" i="159"/>
  <c r="L107" i="159"/>
  <c r="K107" i="167"/>
  <c r="L107" i="167"/>
  <c r="K107" i="194"/>
  <c r="L107" i="194"/>
  <c r="K107" i="163"/>
  <c r="L107" i="163"/>
  <c r="K107" i="162"/>
  <c r="L107" i="162"/>
  <c r="K105" i="198"/>
  <c r="L105" i="185"/>
  <c r="K107" i="185"/>
  <c r="L107" i="185"/>
  <c r="K107" i="174"/>
  <c r="L107" i="174"/>
  <c r="K107" i="173"/>
  <c r="L107" i="173"/>
  <c r="K107" i="198"/>
  <c r="L105" i="198"/>
  <c r="L107" i="198"/>
  <c r="N101" i="162"/>
  <c r="M105" i="162"/>
  <c r="N105" i="162"/>
  <c r="N101" i="183"/>
  <c r="M105" i="183"/>
  <c r="N105" i="183"/>
  <c r="M107" i="183"/>
  <c r="N107" i="183"/>
  <c r="N101" i="163"/>
  <c r="M105" i="163"/>
  <c r="N105" i="163"/>
  <c r="M107" i="163"/>
  <c r="N107" i="163"/>
  <c r="N101" i="164"/>
  <c r="M105" i="164"/>
  <c r="N105" i="164"/>
  <c r="M107" i="164"/>
  <c r="N107" i="164"/>
  <c r="N101" i="194"/>
  <c r="M105" i="194"/>
  <c r="N105" i="194"/>
  <c r="M107" i="194"/>
  <c r="N107" i="194"/>
  <c r="N101" i="193"/>
  <c r="M105" i="193"/>
  <c r="N105" i="193"/>
  <c r="M107" i="193"/>
  <c r="N107" i="193"/>
  <c r="M101" i="195"/>
  <c r="N101" i="195"/>
  <c r="M105" i="195"/>
  <c r="N105" i="195"/>
  <c r="N101" i="189"/>
  <c r="M105" i="189"/>
  <c r="M107" i="189"/>
  <c r="N107" i="189"/>
  <c r="N105" i="189"/>
  <c r="N101" i="175"/>
  <c r="M105" i="175"/>
  <c r="N105" i="175"/>
  <c r="N101" i="165"/>
  <c r="M105" i="165"/>
  <c r="N105" i="165"/>
  <c r="M107" i="165"/>
  <c r="N107" i="165"/>
  <c r="N55" i="176"/>
  <c r="N101" i="176"/>
  <c r="M105" i="176"/>
  <c r="M107" i="176"/>
  <c r="N107" i="176"/>
  <c r="N55" i="167"/>
  <c r="N101" i="167"/>
  <c r="M105" i="167"/>
  <c r="N105" i="167"/>
  <c r="N101" i="158"/>
  <c r="M105" i="158"/>
  <c r="N105" i="158"/>
  <c r="M107" i="158"/>
  <c r="N107" i="158"/>
  <c r="N101" i="161"/>
  <c r="M105" i="161"/>
  <c r="N101" i="118"/>
  <c r="M105" i="118"/>
  <c r="N105" i="118"/>
  <c r="M107" i="118"/>
  <c r="N107" i="118"/>
  <c r="N101" i="186"/>
  <c r="M105" i="186"/>
  <c r="N105" i="186"/>
  <c r="N101" i="191"/>
  <c r="M105" i="191"/>
  <c r="N105" i="191"/>
  <c r="N101" i="168"/>
  <c r="M105" i="168"/>
  <c r="N101" i="188"/>
  <c r="M105" i="188"/>
  <c r="N105" i="188"/>
  <c r="N101" i="185"/>
  <c r="M105" i="185"/>
  <c r="N105" i="185"/>
  <c r="M107" i="185"/>
  <c r="N107" i="185"/>
  <c r="N101" i="179"/>
  <c r="M105" i="179"/>
  <c r="N105" i="179"/>
  <c r="N101" i="172"/>
  <c r="M105" i="172"/>
  <c r="N101" i="190"/>
  <c r="M105" i="190"/>
  <c r="N105" i="190"/>
  <c r="M107" i="190"/>
  <c r="N107" i="190"/>
  <c r="N55" i="180"/>
  <c r="N101" i="180"/>
  <c r="M105" i="180"/>
  <c r="M107" i="180"/>
  <c r="N107" i="180"/>
  <c r="N55" i="15"/>
  <c r="N101" i="15"/>
  <c r="M105" i="15"/>
  <c r="N105" i="15"/>
  <c r="N101" i="169"/>
  <c r="M105" i="169"/>
  <c r="N105" i="169"/>
  <c r="M107" i="169"/>
  <c r="N107" i="169"/>
  <c r="M55" i="192"/>
  <c r="N55" i="192"/>
  <c r="M101" i="192"/>
  <c r="N101" i="192"/>
  <c r="M105" i="192"/>
  <c r="N105" i="192"/>
  <c r="N101" i="181"/>
  <c r="M105" i="181"/>
  <c r="N105" i="181"/>
  <c r="M107" i="181"/>
  <c r="N107" i="181"/>
  <c r="N101" i="178"/>
  <c r="M105" i="178"/>
  <c r="N105" i="178"/>
  <c r="M107" i="178"/>
  <c r="N107" i="178"/>
  <c r="N101" i="184"/>
  <c r="M105" i="184"/>
  <c r="N105" i="184"/>
  <c r="M107" i="184"/>
  <c r="N107" i="184"/>
  <c r="N101" i="159"/>
  <c r="M105" i="159"/>
  <c r="N105" i="159"/>
  <c r="M107" i="159"/>
  <c r="N107" i="159"/>
  <c r="N101" i="173"/>
  <c r="M105" i="173"/>
  <c r="N105" i="173"/>
  <c r="M107" i="173"/>
  <c r="N107" i="173"/>
  <c r="N101" i="187"/>
  <c r="M105" i="187"/>
  <c r="N105" i="187"/>
  <c r="M107" i="187"/>
  <c r="N107" i="187"/>
  <c r="N55" i="170"/>
  <c r="N101" i="170"/>
  <c r="M105" i="170"/>
  <c r="N105" i="170"/>
  <c r="N101" i="174"/>
  <c r="M105" i="174"/>
  <c r="N105" i="174"/>
  <c r="N55" i="198"/>
  <c r="N101" i="198"/>
  <c r="M107" i="162"/>
  <c r="N107" i="162"/>
  <c r="M107" i="191"/>
  <c r="N107" i="191"/>
  <c r="M107" i="186"/>
  <c r="N107" i="186"/>
  <c r="M107" i="174"/>
  <c r="N107" i="174"/>
  <c r="M107" i="15"/>
  <c r="N107" i="15"/>
  <c r="N105" i="180"/>
  <c r="M107" i="179"/>
  <c r="N107" i="179"/>
  <c r="M107" i="188"/>
  <c r="N107" i="188"/>
  <c r="M107" i="167"/>
  <c r="N107" i="167"/>
  <c r="M107" i="175"/>
  <c r="N107" i="175"/>
  <c r="M107" i="195"/>
  <c r="N107" i="195"/>
  <c r="M105" i="198"/>
  <c r="M107" i="198"/>
  <c r="N107" i="198"/>
  <c r="M107" i="170"/>
  <c r="N107" i="170"/>
  <c r="N105" i="161"/>
  <c r="M107" i="161"/>
  <c r="N107" i="161"/>
  <c r="M107" i="192"/>
  <c r="N107" i="192"/>
  <c r="N105" i="168"/>
  <c r="M107" i="168"/>
  <c r="N107" i="168"/>
  <c r="N105" i="172"/>
  <c r="M107" i="172"/>
  <c r="N107" i="172"/>
  <c r="N105" i="176"/>
  <c r="P101" i="162"/>
  <c r="O105" i="162"/>
  <c r="P105" i="162"/>
  <c r="O107" i="162"/>
  <c r="P107" i="162"/>
  <c r="P101" i="183"/>
  <c r="O105" i="183"/>
  <c r="P105" i="183"/>
  <c r="O107" i="183"/>
  <c r="P107" i="183"/>
  <c r="P101" i="163"/>
  <c r="O105" i="163"/>
  <c r="P105" i="163"/>
  <c r="O107" i="163"/>
  <c r="P107" i="163"/>
  <c r="P101" i="164"/>
  <c r="O105" i="164"/>
  <c r="P105" i="164"/>
  <c r="O107" i="164"/>
  <c r="P107" i="164"/>
  <c r="P101" i="194"/>
  <c r="O105" i="194"/>
  <c r="P105" i="194"/>
  <c r="O107" i="194"/>
  <c r="P107" i="194"/>
  <c r="P101" i="193"/>
  <c r="O105" i="193"/>
  <c r="P105" i="193"/>
  <c r="O107" i="193"/>
  <c r="P107" i="193"/>
  <c r="O101" i="195"/>
  <c r="P101" i="195"/>
  <c r="O105" i="195"/>
  <c r="P105" i="195"/>
  <c r="O107" i="195"/>
  <c r="P107" i="195"/>
  <c r="P101" i="189"/>
  <c r="O105" i="189"/>
  <c r="P105" i="189"/>
  <c r="O107" i="189"/>
  <c r="P107" i="189"/>
  <c r="P101" i="175"/>
  <c r="O105" i="175"/>
  <c r="P105" i="175"/>
  <c r="P101" i="165"/>
  <c r="O105" i="165"/>
  <c r="P105" i="165"/>
  <c r="O107" i="165"/>
  <c r="P107" i="165"/>
  <c r="P55" i="176"/>
  <c r="P101" i="176"/>
  <c r="O105" i="176"/>
  <c r="P105" i="176"/>
  <c r="O107" i="176"/>
  <c r="P107" i="176"/>
  <c r="P55" i="167"/>
  <c r="P101" i="167"/>
  <c r="O105" i="167"/>
  <c r="P105" i="167"/>
  <c r="O107" i="167"/>
  <c r="P107" i="167"/>
  <c r="P101" i="158"/>
  <c r="O105" i="158"/>
  <c r="P105" i="158"/>
  <c r="O107" i="158"/>
  <c r="P107" i="158"/>
  <c r="P101" i="161"/>
  <c r="O105" i="161"/>
  <c r="P105" i="161"/>
  <c r="O107" i="161"/>
  <c r="P107" i="161"/>
  <c r="P101" i="118"/>
  <c r="O105" i="118"/>
  <c r="P105" i="118"/>
  <c r="O107" i="118"/>
  <c r="P107" i="118"/>
  <c r="P101" i="186"/>
  <c r="O105" i="186"/>
  <c r="P105" i="186"/>
  <c r="O107" i="186"/>
  <c r="P107" i="186"/>
  <c r="P101" i="191"/>
  <c r="O105" i="191"/>
  <c r="P105" i="191"/>
  <c r="O107" i="191"/>
  <c r="P107" i="191"/>
  <c r="P101" i="168"/>
  <c r="O105" i="168"/>
  <c r="P105" i="168"/>
  <c r="O107" i="168"/>
  <c r="P107" i="168"/>
  <c r="P101" i="188"/>
  <c r="O105" i="188"/>
  <c r="P105" i="188"/>
  <c r="P101" i="185"/>
  <c r="O105" i="185"/>
  <c r="P105" i="185"/>
  <c r="P101" i="179"/>
  <c r="O105" i="179"/>
  <c r="O107" i="179"/>
  <c r="P107" i="179"/>
  <c r="P105" i="179"/>
  <c r="P101" i="172"/>
  <c r="O105" i="172"/>
  <c r="O107" i="172"/>
  <c r="P107" i="172"/>
  <c r="P105" i="172"/>
  <c r="P101" i="190"/>
  <c r="O105" i="190"/>
  <c r="P105" i="190"/>
  <c r="O107" i="190"/>
  <c r="P107" i="190"/>
  <c r="P55" i="180"/>
  <c r="P101" i="180"/>
  <c r="O105" i="180"/>
  <c r="P105" i="180"/>
  <c r="O107" i="180"/>
  <c r="P107" i="180"/>
  <c r="P55" i="15"/>
  <c r="P101" i="15"/>
  <c r="O105" i="15"/>
  <c r="P105" i="15"/>
  <c r="O107" i="15"/>
  <c r="P107" i="15"/>
  <c r="P101" i="169"/>
  <c r="O105" i="169"/>
  <c r="P105" i="169"/>
  <c r="O107" i="169"/>
  <c r="P107" i="169"/>
  <c r="O55" i="192"/>
  <c r="P55" i="192"/>
  <c r="O101" i="192"/>
  <c r="P101" i="192"/>
  <c r="O105" i="192"/>
  <c r="P105" i="192"/>
  <c r="P101" i="181"/>
  <c r="O105" i="181"/>
  <c r="O107" i="181"/>
  <c r="P107" i="181"/>
  <c r="P105" i="181"/>
  <c r="P101" i="178"/>
  <c r="O105" i="178"/>
  <c r="P105" i="178"/>
  <c r="P101" i="184"/>
  <c r="O105" i="184"/>
  <c r="O107" i="184"/>
  <c r="P107" i="184"/>
  <c r="P105" i="184"/>
  <c r="P101" i="159"/>
  <c r="O105" i="159"/>
  <c r="P105" i="159"/>
  <c r="P101" i="173"/>
  <c r="O105" i="173"/>
  <c r="O107" i="173"/>
  <c r="P107" i="173"/>
  <c r="P105" i="173"/>
  <c r="P101" i="187"/>
  <c r="O105" i="187"/>
  <c r="P105" i="187"/>
  <c r="P55" i="170"/>
  <c r="P101" i="170"/>
  <c r="O105" i="170"/>
  <c r="P105" i="170"/>
  <c r="P101" i="174"/>
  <c r="O105" i="174"/>
  <c r="O107" i="174"/>
  <c r="P107" i="174"/>
  <c r="P105" i="174"/>
  <c r="P55" i="198"/>
  <c r="P101" i="198"/>
  <c r="O107" i="175"/>
  <c r="P107" i="175"/>
  <c r="O107" i="188"/>
  <c r="P107" i="188"/>
  <c r="O107" i="170"/>
  <c r="P107" i="170"/>
  <c r="O107" i="187"/>
  <c r="P107" i="187"/>
  <c r="O107" i="159"/>
  <c r="P107" i="159"/>
  <c r="O107" i="178"/>
  <c r="P107" i="178"/>
  <c r="O107" i="192"/>
  <c r="P107" i="192"/>
  <c r="O107" i="185"/>
  <c r="P107" i="185"/>
  <c r="N105" i="198"/>
  <c r="O105" i="198"/>
  <c r="O107" i="198"/>
  <c r="P107" i="198"/>
  <c r="R101" i="162"/>
  <c r="Q105" i="162"/>
  <c r="R105" i="162"/>
  <c r="R101" i="183"/>
  <c r="Q105" i="183"/>
  <c r="Q107" i="183"/>
  <c r="R107" i="183"/>
  <c r="R101" i="163"/>
  <c r="Q105" i="163"/>
  <c r="R105" i="163"/>
  <c r="R101" i="164"/>
  <c r="Q105" i="164"/>
  <c r="R105" i="164"/>
  <c r="Q107" i="164"/>
  <c r="R107" i="164"/>
  <c r="R101" i="194"/>
  <c r="Q105" i="194"/>
  <c r="R105" i="194"/>
  <c r="R101" i="193"/>
  <c r="Q105" i="193"/>
  <c r="R105" i="193"/>
  <c r="Q107" i="193"/>
  <c r="R107" i="193"/>
  <c r="Q101" i="195"/>
  <c r="R101" i="195"/>
  <c r="Q105" i="195"/>
  <c r="R105" i="195"/>
  <c r="R101" i="189"/>
  <c r="Q105" i="189"/>
  <c r="R105" i="189"/>
  <c r="Q107" i="189"/>
  <c r="R107" i="189"/>
  <c r="R101" i="175"/>
  <c r="Q105" i="175"/>
  <c r="R105" i="175"/>
  <c r="R101" i="165"/>
  <c r="Q105" i="165"/>
  <c r="R105" i="165"/>
  <c r="R55" i="176"/>
  <c r="R101" i="176"/>
  <c r="Q105" i="176"/>
  <c r="R105" i="176"/>
  <c r="R55" i="167"/>
  <c r="R101" i="167"/>
  <c r="Q105" i="167"/>
  <c r="R105" i="167"/>
  <c r="R101" i="158"/>
  <c r="Q105" i="158"/>
  <c r="R105" i="158"/>
  <c r="Q107" i="158"/>
  <c r="R107" i="158"/>
  <c r="R101" i="161"/>
  <c r="Q105" i="161"/>
  <c r="R105" i="161"/>
  <c r="Q107" i="161"/>
  <c r="R107" i="161"/>
  <c r="R101" i="118"/>
  <c r="Q105" i="118"/>
  <c r="R105" i="118"/>
  <c r="R101" i="186"/>
  <c r="Q105" i="186"/>
  <c r="R105" i="186"/>
  <c r="R101" i="191"/>
  <c r="Q105" i="191"/>
  <c r="R105" i="191"/>
  <c r="R101" i="168"/>
  <c r="Q105" i="168"/>
  <c r="R105" i="168"/>
  <c r="Q107" i="168"/>
  <c r="R107" i="168"/>
  <c r="R101" i="188"/>
  <c r="Q105" i="188"/>
  <c r="R105" i="188"/>
  <c r="R101" i="185"/>
  <c r="Q105" i="185"/>
  <c r="R105" i="185"/>
  <c r="R101" i="179"/>
  <c r="Q105" i="179"/>
  <c r="R105" i="179"/>
  <c r="R101" i="172"/>
  <c r="Q105" i="172"/>
  <c r="R105" i="172"/>
  <c r="Q107" i="172"/>
  <c r="R107" i="172"/>
  <c r="R101" i="190"/>
  <c r="Q105" i="190"/>
  <c r="R105" i="190"/>
  <c r="Q107" i="190"/>
  <c r="R107" i="190"/>
  <c r="R55" i="180"/>
  <c r="R101" i="180"/>
  <c r="Q105" i="180"/>
  <c r="R105" i="180"/>
  <c r="R55" i="15"/>
  <c r="R101" i="15"/>
  <c r="Q105" i="15"/>
  <c r="Q107" i="15"/>
  <c r="R107" i="15"/>
  <c r="R101" i="169"/>
  <c r="Q105" i="169"/>
  <c r="R105" i="169"/>
  <c r="Q107" i="169"/>
  <c r="R107" i="169"/>
  <c r="Q55" i="192"/>
  <c r="R55" i="192"/>
  <c r="Q101" i="192"/>
  <c r="R101" i="192"/>
  <c r="Q105" i="192"/>
  <c r="R105" i="192"/>
  <c r="R101" i="181"/>
  <c r="Q105" i="181"/>
  <c r="Q107" i="181"/>
  <c r="R107" i="181"/>
  <c r="R105" i="181"/>
  <c r="R101" i="178"/>
  <c r="Q105" i="178"/>
  <c r="R105" i="178"/>
  <c r="R101" i="184"/>
  <c r="Q105" i="184"/>
  <c r="Q107" i="184"/>
  <c r="R107" i="184"/>
  <c r="R105" i="184"/>
  <c r="R101" i="159"/>
  <c r="Q105" i="159"/>
  <c r="R105" i="159"/>
  <c r="R101" i="173"/>
  <c r="Q105" i="173"/>
  <c r="Q107" i="173"/>
  <c r="R107" i="173"/>
  <c r="R105" i="173"/>
  <c r="R101" i="187"/>
  <c r="Q105" i="187"/>
  <c r="R105" i="187"/>
  <c r="R55" i="170"/>
  <c r="R101" i="170"/>
  <c r="Q105" i="170"/>
  <c r="R105" i="170"/>
  <c r="R101" i="174"/>
  <c r="Q105" i="174"/>
  <c r="R105" i="174"/>
  <c r="Q107" i="174"/>
  <c r="R107" i="174"/>
  <c r="R55" i="198"/>
  <c r="R101" i="198"/>
  <c r="Q107" i="187"/>
  <c r="R107" i="187"/>
  <c r="Q107" i="159"/>
  <c r="R107" i="159"/>
  <c r="Q107" i="178"/>
  <c r="R107" i="178"/>
  <c r="Q107" i="179"/>
  <c r="R107" i="179"/>
  <c r="Q107" i="191"/>
  <c r="R107" i="191"/>
  <c r="Q107" i="194"/>
  <c r="R107" i="194"/>
  <c r="R105" i="183"/>
  <c r="Q107" i="180"/>
  <c r="R107" i="180"/>
  <c r="Q107" i="188"/>
  <c r="R107" i="188"/>
  <c r="Q107" i="118"/>
  <c r="R107" i="118"/>
  <c r="Q107" i="175"/>
  <c r="R107" i="175"/>
  <c r="Q107" i="195"/>
  <c r="R107" i="195"/>
  <c r="Q107" i="185"/>
  <c r="R107" i="185"/>
  <c r="Q107" i="186"/>
  <c r="R107" i="186"/>
  <c r="Q107" i="165"/>
  <c r="R107" i="165"/>
  <c r="Q107" i="162"/>
  <c r="R107" i="162"/>
  <c r="Q105" i="198"/>
  <c r="R105" i="198"/>
  <c r="P105" i="198"/>
  <c r="Q107" i="170"/>
  <c r="R107" i="170"/>
  <c r="R105" i="15"/>
  <c r="Q107" i="192"/>
  <c r="R107" i="192"/>
  <c r="Q107" i="167"/>
  <c r="R107" i="167"/>
  <c r="Q107" i="163"/>
  <c r="R107" i="163"/>
  <c r="Q107" i="176"/>
  <c r="R107" i="176"/>
  <c r="T101" i="162"/>
  <c r="S105" i="162"/>
  <c r="T105" i="162"/>
  <c r="T101" i="183"/>
  <c r="S105" i="183"/>
  <c r="T105" i="183"/>
  <c r="S107" i="183"/>
  <c r="T107" i="183"/>
  <c r="T101" i="163"/>
  <c r="S105" i="163"/>
  <c r="T105" i="163"/>
  <c r="S107" i="163"/>
  <c r="T107" i="163"/>
  <c r="T101" i="164"/>
  <c r="S105" i="164"/>
  <c r="T105" i="164"/>
  <c r="T101" i="194"/>
  <c r="S105" i="194"/>
  <c r="T105" i="194"/>
  <c r="T101" i="193"/>
  <c r="S105" i="193"/>
  <c r="T105" i="193"/>
  <c r="S107" i="193"/>
  <c r="T107" i="193"/>
  <c r="S101" i="195"/>
  <c r="T101" i="195"/>
  <c r="S105" i="195"/>
  <c r="T105" i="195"/>
  <c r="S107" i="195"/>
  <c r="T107" i="195"/>
  <c r="T101" i="189"/>
  <c r="S105" i="189"/>
  <c r="T105" i="189"/>
  <c r="S107" i="189"/>
  <c r="T107" i="189"/>
  <c r="T101" i="175"/>
  <c r="S105" i="175"/>
  <c r="T105" i="175"/>
  <c r="S107" i="175"/>
  <c r="T107" i="175"/>
  <c r="T101" i="165"/>
  <c r="S105" i="165"/>
  <c r="T105" i="165"/>
  <c r="S107" i="165"/>
  <c r="T107" i="165"/>
  <c r="T55" i="176"/>
  <c r="T101" i="176"/>
  <c r="S105" i="176"/>
  <c r="T105" i="176"/>
  <c r="S107" i="176"/>
  <c r="T107" i="176"/>
  <c r="T55" i="167"/>
  <c r="T101" i="167"/>
  <c r="S105" i="167"/>
  <c r="T105" i="167"/>
  <c r="S107" i="167"/>
  <c r="T107" i="167"/>
  <c r="T101" i="158"/>
  <c r="S105" i="158"/>
  <c r="T105" i="158"/>
  <c r="S107" i="158"/>
  <c r="T107" i="158"/>
  <c r="T101" i="161"/>
  <c r="S105" i="161"/>
  <c r="T105" i="161"/>
  <c r="S107" i="161"/>
  <c r="T107" i="161"/>
  <c r="T101" i="118"/>
  <c r="S105" i="118"/>
  <c r="T105" i="118"/>
  <c r="S107" i="118"/>
  <c r="T107" i="118"/>
  <c r="T101" i="186"/>
  <c r="S105" i="186"/>
  <c r="T105" i="186"/>
  <c r="T101" i="191"/>
  <c r="S105" i="191"/>
  <c r="T105" i="191"/>
  <c r="S107" i="191"/>
  <c r="T107" i="191"/>
  <c r="T101" i="168"/>
  <c r="S105" i="168"/>
  <c r="T105" i="168"/>
  <c r="S107" i="168"/>
  <c r="T107" i="168"/>
  <c r="T101" i="188"/>
  <c r="S105" i="188"/>
  <c r="T105" i="188"/>
  <c r="S107" i="188"/>
  <c r="T107" i="188"/>
  <c r="T101" i="185"/>
  <c r="S105" i="185"/>
  <c r="T105" i="185"/>
  <c r="T101" i="179"/>
  <c r="S105" i="179"/>
  <c r="T105" i="179"/>
  <c r="T101" i="172"/>
  <c r="S105" i="172"/>
  <c r="S107" i="172"/>
  <c r="T107" i="172"/>
  <c r="T105" i="172"/>
  <c r="T101" i="190"/>
  <c r="S105" i="190"/>
  <c r="T105" i="190"/>
  <c r="S107" i="190"/>
  <c r="T107" i="190"/>
  <c r="T55" i="180"/>
  <c r="T101" i="180"/>
  <c r="S105" i="180"/>
  <c r="T105" i="180"/>
  <c r="S107" i="180"/>
  <c r="T107" i="180"/>
  <c r="T55" i="15"/>
  <c r="T101" i="15"/>
  <c r="S105" i="15"/>
  <c r="T105" i="15"/>
  <c r="S107" i="15"/>
  <c r="T107" i="15"/>
  <c r="T101" i="169"/>
  <c r="S105" i="169"/>
  <c r="T105" i="169"/>
  <c r="S107" i="169"/>
  <c r="T107" i="169"/>
  <c r="S55" i="192"/>
  <c r="T55" i="192"/>
  <c r="S101" i="192"/>
  <c r="T101" i="192"/>
  <c r="S105" i="192"/>
  <c r="T105" i="192"/>
  <c r="T101" i="181"/>
  <c r="S105" i="181"/>
  <c r="S107" i="181"/>
  <c r="T107" i="181"/>
  <c r="T105" i="181"/>
  <c r="T101" i="178"/>
  <c r="S105" i="178"/>
  <c r="T105" i="178"/>
  <c r="T101" i="184"/>
  <c r="S105" i="184"/>
  <c r="S107" i="184"/>
  <c r="T107" i="184"/>
  <c r="T105" i="184"/>
  <c r="T101" i="159"/>
  <c r="S105" i="159"/>
  <c r="T105" i="159"/>
  <c r="T101" i="173"/>
  <c r="S105" i="173"/>
  <c r="T105" i="173"/>
  <c r="T101" i="187"/>
  <c r="S105" i="187"/>
  <c r="T105" i="187"/>
  <c r="S107" i="187"/>
  <c r="T107" i="187"/>
  <c r="T55" i="170"/>
  <c r="T101" i="170"/>
  <c r="S105" i="170"/>
  <c r="T105" i="170"/>
  <c r="S107" i="170"/>
  <c r="T107" i="170"/>
  <c r="T101" i="174"/>
  <c r="S105" i="174"/>
  <c r="T105" i="174"/>
  <c r="S107" i="174"/>
  <c r="T107" i="174"/>
  <c r="T55" i="198"/>
  <c r="T101" i="198"/>
  <c r="S107" i="162"/>
  <c r="T107" i="162"/>
  <c r="S107" i="159"/>
  <c r="T107" i="159"/>
  <c r="S107" i="185"/>
  <c r="T107" i="185"/>
  <c r="S107" i="164"/>
  <c r="T107" i="164"/>
  <c r="S107" i="173"/>
  <c r="T107" i="173"/>
  <c r="S107" i="178"/>
  <c r="T107" i="178"/>
  <c r="S107" i="192"/>
  <c r="T107" i="192"/>
  <c r="S107" i="179"/>
  <c r="T107" i="179"/>
  <c r="S107" i="186"/>
  <c r="T107" i="186"/>
  <c r="S107" i="194"/>
  <c r="T107" i="194"/>
  <c r="Q107" i="198"/>
  <c r="R107" i="198"/>
  <c r="S105" i="198"/>
  <c r="S107" i="198"/>
  <c r="T107" i="198"/>
  <c r="V101" i="162"/>
  <c r="U105" i="162"/>
  <c r="U107" i="162"/>
  <c r="V107" i="162"/>
  <c r="V101" i="183"/>
  <c r="U105" i="183"/>
  <c r="V105" i="183"/>
  <c r="V101" i="163"/>
  <c r="U105" i="163"/>
  <c r="V105" i="163"/>
  <c r="V101" i="164"/>
  <c r="U105" i="164"/>
  <c r="V105" i="164"/>
  <c r="U107" i="164"/>
  <c r="V107" i="164"/>
  <c r="V101" i="194"/>
  <c r="U105" i="194"/>
  <c r="U107" i="194"/>
  <c r="V107" i="194"/>
  <c r="V101" i="193"/>
  <c r="U105" i="193"/>
  <c r="V105" i="193"/>
  <c r="U101" i="195"/>
  <c r="V101" i="195"/>
  <c r="U105" i="195"/>
  <c r="U107" i="195"/>
  <c r="V107" i="195"/>
  <c r="V101" i="189"/>
  <c r="U105" i="189"/>
  <c r="U107" i="189"/>
  <c r="V107" i="189"/>
  <c r="V101" i="175"/>
  <c r="U105" i="175"/>
  <c r="V105" i="175"/>
  <c r="V101" i="165"/>
  <c r="U105" i="165"/>
  <c r="V105" i="165"/>
  <c r="U107" i="165"/>
  <c r="V107" i="165"/>
  <c r="V55" i="176"/>
  <c r="V101" i="176"/>
  <c r="U105" i="176"/>
  <c r="U107" i="176"/>
  <c r="V107" i="176"/>
  <c r="V55" i="167"/>
  <c r="V101" i="167"/>
  <c r="U105" i="167"/>
  <c r="V105" i="167"/>
  <c r="U107" i="167"/>
  <c r="V107" i="167"/>
  <c r="V101" i="158"/>
  <c r="U105" i="158"/>
  <c r="U107" i="158"/>
  <c r="V107" i="158"/>
  <c r="V101" i="161"/>
  <c r="U105" i="161"/>
  <c r="U107" i="161"/>
  <c r="V107" i="161"/>
  <c r="V101" i="118"/>
  <c r="U105" i="118"/>
  <c r="V105" i="118"/>
  <c r="V101" i="186"/>
  <c r="U105" i="186"/>
  <c r="V105" i="186"/>
  <c r="V101" i="191"/>
  <c r="U105" i="191"/>
  <c r="U107" i="191"/>
  <c r="V107" i="191"/>
  <c r="V105" i="191"/>
  <c r="V101" i="168"/>
  <c r="U105" i="168"/>
  <c r="U107" i="168"/>
  <c r="V107" i="168"/>
  <c r="V101" i="188"/>
  <c r="U105" i="188"/>
  <c r="V105" i="188"/>
  <c r="V101" i="185"/>
  <c r="U105" i="185"/>
  <c r="V105" i="185"/>
  <c r="V101" i="179"/>
  <c r="U105" i="179"/>
  <c r="U107" i="179"/>
  <c r="V107" i="179"/>
  <c r="V105" i="179"/>
  <c r="V101" i="172"/>
  <c r="U105" i="172"/>
  <c r="U107" i="172"/>
  <c r="V107" i="172"/>
  <c r="V101" i="190"/>
  <c r="U105" i="190"/>
  <c r="V105" i="190"/>
  <c r="V55" i="180"/>
  <c r="V101" i="180"/>
  <c r="U105" i="180"/>
  <c r="U107" i="180"/>
  <c r="V107" i="180"/>
  <c r="V105" i="180"/>
  <c r="V55" i="15"/>
  <c r="V101" i="15"/>
  <c r="U105" i="15"/>
  <c r="V105" i="15"/>
  <c r="V101" i="169"/>
  <c r="U105" i="169"/>
  <c r="V105" i="169"/>
  <c r="U107" i="169"/>
  <c r="V107" i="169"/>
  <c r="U55" i="192"/>
  <c r="V55" i="192"/>
  <c r="U101" i="192"/>
  <c r="U105" i="192"/>
  <c r="V101" i="181"/>
  <c r="U105" i="181"/>
  <c r="U107" i="181"/>
  <c r="V107" i="181"/>
  <c r="V55" i="178"/>
  <c r="V101" i="178"/>
  <c r="U105" i="178"/>
  <c r="V105" i="178"/>
  <c r="V101" i="184"/>
  <c r="U105" i="184"/>
  <c r="V105" i="184"/>
  <c r="U107" i="184"/>
  <c r="V107" i="184"/>
  <c r="V101" i="159"/>
  <c r="U105" i="159"/>
  <c r="U107" i="159"/>
  <c r="V107" i="159"/>
  <c r="V101" i="173"/>
  <c r="U105" i="173"/>
  <c r="V105" i="173"/>
  <c r="V101" i="187"/>
  <c r="U105" i="187"/>
  <c r="U107" i="187"/>
  <c r="V107" i="187"/>
  <c r="V55" i="170"/>
  <c r="V101" i="170"/>
  <c r="U105" i="170"/>
  <c r="V105" i="170"/>
  <c r="V101" i="174"/>
  <c r="U105" i="174"/>
  <c r="V105" i="174"/>
  <c r="U107" i="170"/>
  <c r="V107" i="170"/>
  <c r="U107" i="185"/>
  <c r="V107" i="185"/>
  <c r="V105" i="187"/>
  <c r="U107" i="178"/>
  <c r="V107" i="178"/>
  <c r="V105" i="158"/>
  <c r="U107" i="163"/>
  <c r="V107" i="163"/>
  <c r="V105" i="159"/>
  <c r="V105" i="181"/>
  <c r="U107" i="186"/>
  <c r="V107" i="186"/>
  <c r="V105" i="195"/>
  <c r="T105" i="198"/>
  <c r="V105" i="192"/>
  <c r="U107" i="192"/>
  <c r="V107" i="192"/>
  <c r="V101" i="198"/>
  <c r="U107" i="174"/>
  <c r="V107" i="174"/>
  <c r="U107" i="173"/>
  <c r="V107" i="173"/>
  <c r="V55" i="198"/>
  <c r="V101" i="192"/>
  <c r="V105" i="172"/>
  <c r="V105" i="168"/>
  <c r="V105" i="161"/>
  <c r="V105" i="176"/>
  <c r="V105" i="189"/>
  <c r="V105" i="194"/>
  <c r="V105" i="162"/>
  <c r="U107" i="15"/>
  <c r="V107" i="15"/>
  <c r="U107" i="190"/>
  <c r="V107" i="190"/>
  <c r="U107" i="188"/>
  <c r="V107" i="188"/>
  <c r="U107" i="118"/>
  <c r="V107" i="118"/>
  <c r="U107" i="175"/>
  <c r="V107" i="175"/>
  <c r="U107" i="193"/>
  <c r="V107" i="193"/>
  <c r="U107" i="183"/>
  <c r="V107" i="183"/>
  <c r="U105" i="198"/>
  <c r="V105" i="198"/>
  <c r="U107" i="198"/>
  <c r="V107" i="19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Littrell, Missy</author>
  </authors>
  <commentList>
    <comment ref="F21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Littrell, Missy:</t>
        </r>
        <r>
          <rPr>
            <sz val="9"/>
            <color indexed="81"/>
            <rFont val="Tahoma"/>
            <family val="2"/>
          </rPr>
          <t xml:space="preserve">
Assumed Fall 18/Fall 19 prices for all fac/employee mp would be the same as current year and 2% in year 2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Littrell, Missy</author>
  </authors>
  <commentList>
    <comment ref="F26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Littrell, Missy:</t>
        </r>
        <r>
          <rPr>
            <sz val="9"/>
            <color indexed="81"/>
            <rFont val="Tahoma"/>
            <family val="2"/>
          </rPr>
          <t xml:space="preserve">
Assumed Fall 18/Fall 19 prices for all fac/employee mp would be the same as current year and 2% in year 2</t>
        </r>
      </text>
    </comment>
  </commentList>
</comments>
</file>

<file path=xl/sharedStrings.xml><?xml version="1.0" encoding="utf-8"?>
<sst xmlns="http://schemas.openxmlformats.org/spreadsheetml/2006/main" count="7528" uniqueCount="526">
  <si>
    <t>APPENDIX VIII - FINANCIAL WORKBOOK</t>
  </si>
  <si>
    <t>FLORIDA INTERNATIONAL UNIVERSITY</t>
  </si>
  <si>
    <t>FINANCIAL WORKBOOK INSTRUCTIONS</t>
  </si>
  <si>
    <t>General</t>
  </si>
  <si>
    <t>- Vendors are responsible to ensure that all formulas are correct.</t>
  </si>
  <si>
    <r>
      <t>- Specific instructions for one specific sheet are generally in</t>
    </r>
    <r>
      <rPr>
        <i/>
        <sz val="10"/>
        <rFont val="Calibri"/>
        <family val="2"/>
        <scheme val="minor"/>
      </rPr>
      <t xml:space="preserve"> </t>
    </r>
    <r>
      <rPr>
        <i/>
        <sz val="10"/>
        <color rgb="FF3333CC"/>
        <rFont val="Calibri"/>
        <family val="2"/>
        <scheme val="minor"/>
      </rPr>
      <t>blue text</t>
    </r>
  </si>
  <si>
    <t>- All sheets have been formatted to print on letter size paper</t>
  </si>
  <si>
    <t>- Enter data into cells that are gray</t>
  </si>
  <si>
    <t xml:space="preserve"> and note that other cells may contain formulas.</t>
  </si>
  <si>
    <t>Pro Forma Worksheets</t>
  </si>
  <si>
    <t>- Report the value of forfeited all you care to eat meals on Lines 23 and 24 of the G&amp;A Pro Forma worksheet.</t>
  </si>
  <si>
    <t>- Report the value of forfeited meal plan Dining $ on Line 20 of the G&amp;A Pro Forma worksheet.</t>
  </si>
  <si>
    <t>- Report revenue from Summer Conference &amp; Camps on the Fresh Food Co worksheet</t>
  </si>
  <si>
    <t xml:space="preserve">- Calculate the refunded dining dollars from the All Access $100DD meal plan only on Year 1-10 MP worksheet.  </t>
  </si>
  <si>
    <t xml:space="preserve">   Refunds are made in the spring semester and for a maximum of $75 per semester.</t>
  </si>
  <si>
    <t>COMMISSIONS PAYABLE TO THE UNIVERSITY</t>
  </si>
  <si>
    <t>VENDOR:</t>
  </si>
  <si>
    <t>Aramark Educational Services, LLC</t>
  </si>
  <si>
    <t>1.</t>
  </si>
  <si>
    <t>Sales Commissions</t>
  </si>
  <si>
    <t>Commissionable revenue includes Cash/Check, Credit Card, Debit Card, FIU One Card, Meal Plan Dining $, and Departmental Purchases.</t>
  </si>
  <si>
    <t>Current Name</t>
  </si>
  <si>
    <t>Proposed Name</t>
  </si>
  <si>
    <t>Subcontracted?</t>
  </si>
  <si>
    <t>Commission</t>
  </si>
  <si>
    <t>(Yes/No)</t>
  </si>
  <si>
    <t>Rate</t>
  </si>
  <si>
    <t>MMC</t>
  </si>
  <si>
    <t>Retail Sales (inclusive of Meal Plan Dining $)</t>
  </si>
  <si>
    <t>Fresh Food Co. - Door Sales (Graham Center)</t>
  </si>
  <si>
    <t xml:space="preserve">No </t>
  </si>
  <si>
    <t xml:space="preserve">Fixed - see below chart </t>
  </si>
  <si>
    <t>POD Market (Breezeway)</t>
  </si>
  <si>
    <t>Express (Green Library)</t>
  </si>
  <si>
    <t>Starbucks (Green Library)</t>
  </si>
  <si>
    <t>Miro's Food Truck (Green Library)</t>
  </si>
  <si>
    <t>Yes</t>
  </si>
  <si>
    <t>Faculty Club (Graham Center)</t>
  </si>
  <si>
    <t>Almazar (Graham Center)</t>
  </si>
  <si>
    <t>Burger King (Graham Center)</t>
  </si>
  <si>
    <t>Café Bustelo (Graham Center)</t>
  </si>
  <si>
    <t>Chili's (Graham Center)</t>
  </si>
  <si>
    <t>Einstein Bros. Bagels (Graham Center)</t>
  </si>
  <si>
    <t>Jamba Juice (Graham Center)</t>
  </si>
  <si>
    <t>Pollo Tropical (Graham Center)</t>
  </si>
  <si>
    <t>Subway (Graham Center)</t>
  </si>
  <si>
    <t>Sushi Maki (Graham Center)</t>
  </si>
  <si>
    <t>Panda Express (MANGO)</t>
  </si>
  <si>
    <t>Starbucks (MANGO)</t>
  </si>
  <si>
    <t>Taco Bell (MANGO)</t>
  </si>
  <si>
    <t>Chick-fil-A (Parking Garage 5)</t>
  </si>
  <si>
    <t>Dunkin Donuts (Parking Garage 5)</t>
  </si>
  <si>
    <t>Misha's Cupcakes (Parking Garage 5)</t>
  </si>
  <si>
    <t>Sergio's Cuban Café &amp; Grill (Parking Garage 5)</t>
  </si>
  <si>
    <t>Moe's Southwest Grill (Parking Garage 5)</t>
  </si>
  <si>
    <t>Papa John's Pizza (Parking Garage 5)</t>
  </si>
  <si>
    <t>Salad Creations (Parking Garage 5)</t>
  </si>
  <si>
    <t>Half Moon Empanadas (Parking Garage 6)</t>
  </si>
  <si>
    <t>Tropical Café Smoothies (Recreation Center)</t>
  </si>
  <si>
    <t xml:space="preserve">Heritage Market </t>
  </si>
  <si>
    <t>Panera</t>
  </si>
  <si>
    <t xml:space="preserve">Chipotle / GC Food Court </t>
  </si>
  <si>
    <t>Market Pavillion</t>
  </si>
  <si>
    <t>Meal Plans</t>
  </si>
  <si>
    <t>All Meal Plans (exclusive of Meal Plan Dining $)</t>
  </si>
  <si>
    <t>No</t>
  </si>
  <si>
    <t>Other</t>
  </si>
  <si>
    <t>Catering</t>
  </si>
  <si>
    <t>Athletic Catering</t>
  </si>
  <si>
    <t>Alcohol</t>
  </si>
  <si>
    <t>Summer Conferences &amp; Camps</t>
  </si>
  <si>
    <t>BBC</t>
  </si>
  <si>
    <t>Starbucks (Hubert Library)</t>
  </si>
  <si>
    <t>Moe's Southwest Grill (Wolfe Center)</t>
  </si>
  <si>
    <t>Grille Works (Wolfe Center)</t>
  </si>
  <si>
    <t>Subway (Wolfe Center)</t>
  </si>
  <si>
    <t xml:space="preserve">Chick-fil-A </t>
  </si>
  <si>
    <t>Other (Specify)</t>
  </si>
  <si>
    <t xml:space="preserve">Catering </t>
  </si>
  <si>
    <t xml:space="preserve">Unused DB Drop </t>
  </si>
  <si>
    <t>Declining Balance</t>
  </si>
  <si>
    <t xml:space="preserve">Concessions </t>
  </si>
  <si>
    <t>2.</t>
  </si>
  <si>
    <t>Guaranteed Minimum Commission ($ from all commissionable revenue streams)</t>
  </si>
  <si>
    <t>FY 18-19</t>
  </si>
  <si>
    <t>* Commissoins on concessions and commissions on DB drop would be in addition to this number</t>
  </si>
  <si>
    <t>FY 19-20</t>
  </si>
  <si>
    <t>FY 20-21</t>
  </si>
  <si>
    <t>FY 21-22</t>
  </si>
  <si>
    <t>FY 22-23</t>
  </si>
  <si>
    <t>FY 23-24</t>
  </si>
  <si>
    <t>FY 24-25</t>
  </si>
  <si>
    <t>FY 25-26</t>
  </si>
  <si>
    <t>FY 26-27</t>
  </si>
  <si>
    <t>FY 27-28</t>
  </si>
  <si>
    <t>Renewal Yrs.</t>
  </si>
  <si>
    <t xml:space="preserve">To be mutually agreed upon </t>
  </si>
  <si>
    <t xml:space="preserve">Aramark Educational Services, LLC </t>
  </si>
  <si>
    <t>Full Exclusivity</t>
  </si>
  <si>
    <t>Provide an offer (lump sum, additional commission %, etc) for Full Exclusivity on MMC &amp; BBC</t>
  </si>
  <si>
    <t xml:space="preserve">PER YEAR </t>
  </si>
  <si>
    <t>REVENUE ASSUMPTIONS &amp; ADDITIONAL INFORMATION</t>
  </si>
  <si>
    <t>Year 1 Revenue Assumptions</t>
  </si>
  <si>
    <t>You MUST use the following revenue assumptions for your Year 1 financial projections.</t>
  </si>
  <si>
    <t>Revenue Type</t>
  </si>
  <si>
    <t>FY 2018-19</t>
  </si>
  <si>
    <t>Estimated (1)</t>
  </si>
  <si>
    <t xml:space="preserve">MMC </t>
  </si>
  <si>
    <t>Retail Dining Sales (2)</t>
  </si>
  <si>
    <t>Cash, Check, Credit/Debit Card, Dept. Charge</t>
  </si>
  <si>
    <t>For Years 2-10, base your projections on a 2% annual inflation rate except where confident you can grow the base.</t>
  </si>
  <si>
    <t>FIU One Card</t>
  </si>
  <si>
    <t>Meal Plan Dining $</t>
  </si>
  <si>
    <t>For Years 1-10, as derived by Vendor on the Year 1-10 MP worksheet</t>
  </si>
  <si>
    <t>Meal Plan AYCE Revenue</t>
  </si>
  <si>
    <t>Catering Services (includes related Alcohol service)</t>
  </si>
  <si>
    <t>Athletic Catering Services</t>
  </si>
  <si>
    <t>Retail Sales (2)</t>
  </si>
  <si>
    <t>(1) Estimated only; not a guarantee.</t>
  </si>
  <si>
    <t xml:space="preserve">(2) Includes the Retail sales revenue of subcontractors.  </t>
  </si>
  <si>
    <r>
      <t xml:space="preserve">Purchase Rebates - </t>
    </r>
    <r>
      <rPr>
        <b/>
        <sz val="10"/>
        <color rgb="FFFF0000"/>
        <rFont val="Calibri"/>
        <family val="2"/>
        <scheme val="minor"/>
      </rPr>
      <t xml:space="preserve">Aramark is offering a food credit in lieu of rebates </t>
    </r>
  </si>
  <si>
    <t xml:space="preserve">If you propose to pass manufacturer and/or distributor volume purchase rebates and/or discounts back to the University, enter the percentages below.  </t>
  </si>
  <si>
    <t xml:space="preserve">The dollar amounts listed on the Total Estimated Rebate line must tie out to the Applied Credits from Purchase Rebates line in your pro forma projections.  </t>
  </si>
  <si>
    <t>Rebate Type</t>
  </si>
  <si>
    <t>FY 2019-20</t>
  </si>
  <si>
    <t>FY 2020-21</t>
  </si>
  <si>
    <t>FY 2021-22</t>
  </si>
  <si>
    <t>FY 2022-23</t>
  </si>
  <si>
    <t>FY 2023-24</t>
  </si>
  <si>
    <t>FY 2024-25</t>
  </si>
  <si>
    <t>FY 2025-26</t>
  </si>
  <si>
    <t>FY 2026-27</t>
  </si>
  <si>
    <t>FY 2027-28</t>
  </si>
  <si>
    <t>Renewal Yrs</t>
  </si>
  <si>
    <t>Food Credit  (as a % or in $)</t>
  </si>
  <si>
    <t xml:space="preserve">To be mutually ageed upon </t>
  </si>
  <si>
    <t>Food Credit (as a % or in $)</t>
  </si>
  <si>
    <t>Total Estimated Rebate (in $)</t>
  </si>
  <si>
    <t xml:space="preserve">** Estimate based on % of annual food cost </t>
  </si>
  <si>
    <t>3.</t>
  </si>
  <si>
    <t>Residential Dining Door Pricing</t>
  </si>
  <si>
    <t>Provide your proposed FY18-19 Door Pricing below.</t>
  </si>
  <si>
    <t>Residential Dining Door Rates</t>
  </si>
  <si>
    <t>If Using Cash, Debit/Credit, FIU One Card</t>
  </si>
  <si>
    <t>If Using Meal Plan Dining $</t>
  </si>
  <si>
    <t xml:space="preserve">  Breakfast</t>
  </si>
  <si>
    <t xml:space="preserve">  Lunch</t>
  </si>
  <si>
    <t xml:space="preserve">  Dinner</t>
  </si>
  <si>
    <t xml:space="preserve">  Late Night </t>
  </si>
  <si>
    <t xml:space="preserve">  Brunch</t>
  </si>
  <si>
    <t>START UP COSTS</t>
  </si>
  <si>
    <t>Start Up Costs</t>
  </si>
  <si>
    <t>Provide a list of your one-time Start Up Costs below, including cost estimates for each.</t>
  </si>
  <si>
    <t>Dining Venue</t>
  </si>
  <si>
    <t>Estimated Cost</t>
  </si>
  <si>
    <t>Brand training, Travel, Food sampling/ training costs</t>
  </si>
  <si>
    <t xml:space="preserve">Starbucks/ Starbucks truck / Sergios/ CFA </t>
  </si>
  <si>
    <t xml:space="preserve">BBC CFA/ Panera/ World Pavillion/ Updated PG5/ Ath. Training table </t>
  </si>
  <si>
    <t>Heritage Market / Chipotle</t>
  </si>
  <si>
    <t>Total Vendor Start Up Costs:</t>
  </si>
  <si>
    <t>Check one of the statements below with an "X":</t>
  </si>
  <si>
    <t>1.  Start Up costs will be amortized over the initial term of the contract (10 years).</t>
  </si>
  <si>
    <t>2.  Start Up costs will be fully contributed upfront by Vendor (not amortized).</t>
  </si>
  <si>
    <t>X</t>
  </si>
  <si>
    <t>If you select statement 1, be sure to include the annual amortization on your pro forma projections (Row 53)</t>
  </si>
  <si>
    <t>If you select statement 2, be sure to include the total amount on your pro forma projections (Row 101)</t>
  </si>
  <si>
    <t>CAPITAL INVESTMENT AND OTHER CONTRIBUTIONS TO THE UNIVERSITY</t>
  </si>
  <si>
    <t>Capital Investments (to include Refresh Funds)</t>
  </si>
  <si>
    <t>Use the following tables to list your proposed Capital Investments (including investment amounts and annual amortization) and Contributions.</t>
  </si>
  <si>
    <t>Be sure to include the annual amortization on your pro forma projections (Row 52)</t>
  </si>
  <si>
    <t>Investment Description</t>
  </si>
  <si>
    <t>Total</t>
  </si>
  <si>
    <t xml:space="preserve">Starbucks - Year 1 </t>
  </si>
  <si>
    <t xml:space="preserve">Expanded seating + Tapingo </t>
  </si>
  <si>
    <t xml:space="preserve">POD Express- Year 1 </t>
  </si>
  <si>
    <t xml:space="preserve">Refresh </t>
  </si>
  <si>
    <t xml:space="preserve">Fresh Food Company - Year 1 </t>
  </si>
  <si>
    <t xml:space="preserve">PG5 Chick-fil-A - Year 1 </t>
  </si>
  <si>
    <t xml:space="preserve">Refresh - to Include Breakfast </t>
  </si>
  <si>
    <t xml:space="preserve">Starbucks Truck - Year 1 </t>
  </si>
  <si>
    <t xml:space="preserve">New Starbucks Truck </t>
  </si>
  <si>
    <t xml:space="preserve">Sergios - Year 1 </t>
  </si>
  <si>
    <t xml:space="preserve">Refresh and Expansion </t>
  </si>
  <si>
    <t>BBC Campus - Year 2</t>
  </si>
  <si>
    <t>Chick-fil-A/ 2 Rotating PODS</t>
  </si>
  <si>
    <t xml:space="preserve">Faculty Club - Year 2 </t>
  </si>
  <si>
    <t xml:space="preserve">Faculty Club Renovations </t>
  </si>
  <si>
    <t>Panera - Year 2</t>
  </si>
  <si>
    <t xml:space="preserve">Panera - New location </t>
  </si>
  <si>
    <t>World Pavillion - Year 2</t>
  </si>
  <si>
    <t xml:space="preserve">5 new concepts </t>
  </si>
  <si>
    <t>NEW PG5 - Year 2</t>
  </si>
  <si>
    <t>Salad Works, Café Bustello, Smart Room</t>
  </si>
  <si>
    <t>Athletics - Year 2</t>
  </si>
  <si>
    <t>Ath. Training table kitchen</t>
  </si>
  <si>
    <t>Heritage Market - Year 3</t>
  </si>
  <si>
    <t xml:space="preserve">New Dining Center </t>
  </si>
  <si>
    <t xml:space="preserve">Starbucks </t>
  </si>
  <si>
    <t>Mandatory Starbucks Refresh</t>
  </si>
  <si>
    <t xml:space="preserve">Chilis Patio - Year 1 </t>
  </si>
  <si>
    <t xml:space="preserve">Chili's Too Renovation </t>
  </si>
  <si>
    <t>GC Food Court with Chipotle - Year 3</t>
  </si>
  <si>
    <t xml:space="preserve">FC Foodcourt with new Chipotle </t>
  </si>
  <si>
    <t>Additional Dining Improvements</t>
  </si>
  <si>
    <t xml:space="preserve">Misc. Dining Improvements </t>
  </si>
  <si>
    <t>Total:</t>
  </si>
  <si>
    <t>Investment Amortization</t>
  </si>
  <si>
    <t>Total Annual Amortization by Year</t>
  </si>
  <si>
    <t>Value Added Support/Contributions (Ex: Catering Fund, Unrestricted Funds, etc.)</t>
  </si>
  <si>
    <t>Be sure to include the annual contributions on your pro forma projections (Row 62)</t>
  </si>
  <si>
    <t>Description</t>
  </si>
  <si>
    <t xml:space="preserve">In Kind Catering Fund </t>
  </si>
  <si>
    <t xml:space="preserve">Annual Refresh Funds </t>
  </si>
  <si>
    <t xml:space="preserve">Annual Unrestricted Grants </t>
  </si>
  <si>
    <t>Student Internship Program</t>
  </si>
  <si>
    <t xml:space="preserve">Scholarship Program </t>
  </si>
  <si>
    <t xml:space="preserve">Annual Food Credit </t>
  </si>
  <si>
    <t xml:space="preserve">Exclusivity </t>
  </si>
  <si>
    <t xml:space="preserve">Taxes on Commissions, Investment, Food credit, Grants, etc. </t>
  </si>
  <si>
    <t xml:space="preserve"> </t>
  </si>
  <si>
    <t>YEAR 1-10 MEAL PLAN PROJECTIONS</t>
  </si>
  <si>
    <t>Aramark</t>
  </si>
  <si>
    <t>INSTRUCTIONS</t>
  </si>
  <si>
    <t xml:space="preserve">1. The meal plan subcriptions and pricing provided are not a guarantee and are for modeling purposes for the ITN.  </t>
  </si>
  <si>
    <t xml:space="preserve">2. For Year 1, you MUST use the meal plan types, and Mandatory meal plan subscription rates provided in the spreadsheet without deviation or addition.  </t>
  </si>
  <si>
    <t xml:space="preserve">    You may add in the number of Voluntary meal plan subscriptions.</t>
  </si>
  <si>
    <r>
      <t xml:space="preserve">3. For Years 2-10 Mandatory plans, you MUST use the meal plan types and meal plan subscription rates provided in the spreadsheet without deviation or addition, </t>
    </r>
    <r>
      <rPr>
        <b/>
        <sz val="10"/>
        <color rgb="FFFF0000"/>
        <rFont val="Calibri"/>
        <family val="2"/>
        <scheme val="minor"/>
      </rPr>
      <t xml:space="preserve">except for the All Access $100DD. </t>
    </r>
  </si>
  <si>
    <r>
      <t xml:space="preserve">      </t>
    </r>
    <r>
      <rPr>
        <b/>
        <sz val="10"/>
        <color rgb="FFFF0000"/>
        <rFont val="Calibri"/>
        <family val="2"/>
        <scheme val="minor"/>
      </rPr>
      <t>Adjust the number of mandatory All Access $100DD subscriptions so that the total number of ALL (mandatory and voluntary) meal plans is 31,087.</t>
    </r>
  </si>
  <si>
    <t xml:space="preserve">4. For Years 2-10 Voluntary plans, you MUST use the meal plan types provided in the spreadsheet, without deviation or addition.  However, you MAY change the number of Voluntary meal plan subscriptions to </t>
  </si>
  <si>
    <t xml:space="preserve">    the extent you believe you can grow this business.</t>
  </si>
  <si>
    <t>5. Employee &amp; Affiliate current meal plans to continued to be offered trough out contract, even though not shown on this worksheet.</t>
  </si>
  <si>
    <t>6. Early Fall (Summer B) has specific plans beginning on Row 32 in Year 1.  The BYOB 50 Meals can be used for Early Fall (Summer B), Fall Semester &amp; Spring Semester.</t>
  </si>
  <si>
    <t>7. The yellow highlighted cells indicate revised numbers provided on this worksheet.</t>
  </si>
  <si>
    <t xml:space="preserve">Year 1 </t>
  </si>
  <si>
    <t>Early Fall (Summer B)</t>
  </si>
  <si>
    <t>Fall Semester</t>
  </si>
  <si>
    <t>Spring Semester</t>
  </si>
  <si>
    <t>FY18-19 
Price per Term</t>
  </si>
  <si>
    <t xml:space="preserve">Dining $ Included in Plan </t>
  </si>
  <si>
    <t>Estimated Mandatory Subscriptions</t>
  </si>
  <si>
    <t>Estimated Voluntary Subscriptions</t>
  </si>
  <si>
    <t>Total AYCE Revenue Component</t>
  </si>
  <si>
    <t xml:space="preserve">Total Estimated
Meal Plan 
Dining $ </t>
  </si>
  <si>
    <t>Total Estimated
Meal
Plan Revenue</t>
  </si>
  <si>
    <t>Ultimate 5 (any 5 days of access +bonus meal)</t>
  </si>
  <si>
    <t>Ultimate 7 (all access + bonus meal)</t>
  </si>
  <si>
    <t>VIP5 (any 5 days of access)</t>
  </si>
  <si>
    <t>VIP7 (all access)</t>
  </si>
  <si>
    <t>SBLK150 Meals +$700DD +$200 Bonus DD</t>
  </si>
  <si>
    <t>SBLK100 Meals +$1,100DD +$100 Bonus DD</t>
  </si>
  <si>
    <t>SBLK50 Meals +$1,550DD +$100 Bonus DD</t>
  </si>
  <si>
    <t>All Access T1 $1,549DD</t>
  </si>
  <si>
    <t>All Access T2 $1,129DD</t>
  </si>
  <si>
    <t>All Access T3 $829DD</t>
  </si>
  <si>
    <t>All Access T4 $499DD</t>
  </si>
  <si>
    <t>BYOB 100 Meals</t>
  </si>
  <si>
    <t>BYOB 50 Meals</t>
  </si>
  <si>
    <t>Global Block 75</t>
  </si>
  <si>
    <t>BYOB 25 Meals</t>
  </si>
  <si>
    <t>All Access T1 $775DD</t>
  </si>
  <si>
    <t>All Access T2 $350DD</t>
  </si>
  <si>
    <t>All Access T3 $250DD</t>
  </si>
  <si>
    <t xml:space="preserve">Total: </t>
  </si>
  <si>
    <t>1. The calculated Mandatory AYCE Revenue must tie out to the Mandatory AYCE Revenue line in your pro forma projections.</t>
  </si>
  <si>
    <t>2. The calculated Voluntary AYCE Revenue must tie out to the Mandatory AYCE Revenue line in your pro forma projections.</t>
  </si>
  <si>
    <t>Mandatory Revenue:</t>
  </si>
  <si>
    <t>3. The calculated Total Estimated Meal Plan Dining $ must tie out to the Mandatory AYCH Revenue line in your pro forma projections.</t>
  </si>
  <si>
    <t>Voluntary Revenue:</t>
  </si>
  <si>
    <t>Year 2</t>
  </si>
  <si>
    <t>FY19-20 
Price per Term</t>
  </si>
  <si>
    <t xml:space="preserve">Estimated
Meal Plan 
Dining $ </t>
  </si>
  <si>
    <t>Ultimate 5 (any 5 days all access)</t>
  </si>
  <si>
    <t>Ultimate 7 (all access)</t>
  </si>
  <si>
    <t>SBLK 200 Meals +$250DD +$100 Bonus DD</t>
  </si>
  <si>
    <t>SBLK 150 Meals +$500DD +$100 Bonus DD</t>
  </si>
  <si>
    <t>SBLK 75 Meals +$1,275DD +$100 Bonus DD</t>
  </si>
  <si>
    <t xml:space="preserve">All Access $1,549DD + $25 add on </t>
  </si>
  <si>
    <t>All Access $999DD + $25 add on</t>
  </si>
  <si>
    <t xml:space="preserve">All Access $499DD +$25 add on </t>
  </si>
  <si>
    <t>All Access $100DD</t>
  </si>
  <si>
    <t>Global Block 75 Meals</t>
  </si>
  <si>
    <t>Refunded Dining Dollars ($100DD Plan Only)</t>
  </si>
  <si>
    <t>Total Estimated Meal Plan Dining $</t>
  </si>
  <si>
    <t>Year 3</t>
  </si>
  <si>
    <t>FY20-21 
Price per Term</t>
  </si>
  <si>
    <t xml:space="preserve">All Access $1,549DD + $50 add on </t>
  </si>
  <si>
    <t>All Access $999DD + $50 add on</t>
  </si>
  <si>
    <t xml:space="preserve">All Access $499DD +$50 add on </t>
  </si>
  <si>
    <t>Year 4</t>
  </si>
  <si>
    <t>FY21-22 
Price per Term</t>
  </si>
  <si>
    <t>All Access $1,599DD</t>
  </si>
  <si>
    <t>All Access $1049DD</t>
  </si>
  <si>
    <t>All Access $549DD</t>
  </si>
  <si>
    <t>Year 5</t>
  </si>
  <si>
    <t>FY22-23 
Price per Term</t>
  </si>
  <si>
    <t>Year 6</t>
  </si>
  <si>
    <t>FY23-24 
Price per Term</t>
  </si>
  <si>
    <t>Year 7</t>
  </si>
  <si>
    <t>FY24-25 
Price per Term</t>
  </si>
  <si>
    <t>Year 8</t>
  </si>
  <si>
    <t>FY25-26 
Price per Term</t>
  </si>
  <si>
    <t>Year 9</t>
  </si>
  <si>
    <t>FY26-27 
Price per Term</t>
  </si>
  <si>
    <t>Year 10</t>
  </si>
  <si>
    <t>FY27-28 
Price per Term</t>
  </si>
  <si>
    <t>ADDITIONAL MEAL PLAN REQUESTS</t>
  </si>
  <si>
    <t>Provide your proposed voluntary meal plans with descriptions and pricing.  - Revised area of worksheet.</t>
  </si>
  <si>
    <t>Meal Plans (including description of plan)</t>
  </si>
  <si>
    <t>Voluntary Student Plans</t>
  </si>
  <si>
    <t xml:space="preserve">Ultimate 5 (any 5 day access in the Fresh Food Company) with $200 DD plus one bonus meal per day </t>
  </si>
  <si>
    <t>Ultimate 7 (all access in the Fresh Food Company) with $100 DD plus one bonus meal per day</t>
  </si>
  <si>
    <t>Super Block 150 with $825 DD plus one bonus meal per day</t>
  </si>
  <si>
    <t>Super Block 100 with $1025 DD plus one bonus meal per day</t>
  </si>
  <si>
    <t>Commuter Block 50 with $50 DD plus one bonus meal per day</t>
  </si>
  <si>
    <t>Commuter Block 25 with $150 DD plus one bonus meal per day</t>
  </si>
  <si>
    <t>Commuter All Access $600 (only Dining Dollars)</t>
  </si>
  <si>
    <t>Commuter All Access $400 (only Dining Dollars)</t>
  </si>
  <si>
    <t>Employee/Affiliate Plans</t>
  </si>
  <si>
    <t>Faculty Club 50 (50 meals for the Faculty Club or Fresh Food Company)</t>
  </si>
  <si>
    <t>Faculty Club 25 (25 meals for the Faculty Club or Fresh Food Company)</t>
  </si>
  <si>
    <t>Employee/Affiliate Dining Plan $500 (20% discount at the location)</t>
  </si>
  <si>
    <t>Employee/Affiliate Dining Plan $300 (20% discount at the location)</t>
  </si>
  <si>
    <t>Notes:</t>
  </si>
  <si>
    <t>Provide your proposed commission structure for Years 2-10 if FIU elects to make all meal plan purchases voluntary.</t>
  </si>
  <si>
    <t>A. Sales Commissions</t>
  </si>
  <si>
    <t xml:space="preserve">    Commissionable revenue includes Cash/Check, Credit Card, Debit Card, FIU One Card, Meal Plan Dining $, and Departmental Purchases.</t>
  </si>
  <si>
    <t>Commission Rate</t>
  </si>
  <si>
    <t>Panda Express (Mango)</t>
  </si>
  <si>
    <t>Starbucks (Mango)</t>
  </si>
  <si>
    <t>Taco Bell (Mango)</t>
  </si>
  <si>
    <t>CFA</t>
  </si>
  <si>
    <t>B. Guaranteed Minimum Commission ($ from all commissionable revenue streams)</t>
  </si>
  <si>
    <t xml:space="preserve">Provide your proposed meal plan structure to begin in Year 2 of the contract, along with the associated commission structure if </t>
  </si>
  <si>
    <t>the University elects to replace their plan structure with the one you propose.</t>
  </si>
  <si>
    <t>Mandatory meal plan pricing must be similar to current, adjusted for inflation at 2%.</t>
  </si>
  <si>
    <t>Add additional rows as needed.</t>
  </si>
  <si>
    <t>Mandatory Plans</t>
  </si>
  <si>
    <t>All DB $200 (for all students as defined in addendum four page 32)</t>
  </si>
  <si>
    <t>Voluntary Plans</t>
  </si>
  <si>
    <t>All Access 7 (unlimited access 7 days a week to the Fresh Food Company plus one bonus meal per day)</t>
  </si>
  <si>
    <t>All Access 5 (unlimited access Monday through Friday to the Fresh Food Company plus one bonus meal per day)</t>
  </si>
  <si>
    <t>Block 150 (150 meals for the semester in the Fresh Food Company plus one bonus meal per day)</t>
  </si>
  <si>
    <t>Block 100 (100 meals for the semester in the Fresh Food Company plus one bonus meal per day)</t>
  </si>
  <si>
    <t>Commuter Block 50 (50 meals for the semester in the Fresh Food Company plus one bonus meal per day)</t>
  </si>
  <si>
    <t>Commuter Block 25 (25 meals for the semester in the Fresh Food Company plus one bonus meal per day)</t>
  </si>
  <si>
    <t xml:space="preserve">CFA </t>
  </si>
  <si>
    <t xml:space="preserve">Provide your proposed commission structure in the event the University elects to allow acceptance of Meal Plan Dining $ at </t>
  </si>
  <si>
    <t>on-campus food service locations that are not included in your contract.</t>
  </si>
  <si>
    <t>Assume that the University's meal plan structure will be otherwise unchanged from its intended FY 2018-19 plans.</t>
  </si>
  <si>
    <t xml:space="preserve">C. Concerns - list any concerns regarding the mechanics/operation of allowing Meal Plan Dining $ to be used at on campus </t>
  </si>
  <si>
    <t xml:space="preserve">     food service locations not included in your contract.</t>
  </si>
  <si>
    <t>Add additional numbers as needed.</t>
  </si>
  <si>
    <t>1).</t>
  </si>
  <si>
    <t>2).</t>
  </si>
  <si>
    <t>3).</t>
  </si>
  <si>
    <t>Service Location (Current Name):</t>
  </si>
  <si>
    <t>Fresh Food Company</t>
  </si>
  <si>
    <t>PRO FORMA FINANCIAL PROJECTIONS</t>
  </si>
  <si>
    <t>Service Location (Proposed Name):</t>
  </si>
  <si>
    <t xml:space="preserve">VENDOR:  </t>
  </si>
  <si>
    <t>Subcontract? (Yes/No):</t>
  </si>
  <si>
    <t>REVENUE ASSUMPTIONS:</t>
  </si>
  <si>
    <t>Number of Annual Operating Days</t>
  </si>
  <si>
    <t>Projected Annual Number of Meals Served</t>
  </si>
  <si>
    <t>Projected Food Cost per Meal Served</t>
  </si>
  <si>
    <t>Projected Meals per Labor Hour</t>
  </si>
  <si>
    <t>%</t>
  </si>
  <si>
    <t>Revenue (Net of Sales Tax)</t>
  </si>
  <si>
    <t>Retail Sales Revenue</t>
  </si>
  <si>
    <t xml:space="preserve">   Cash/Credit Card/One Card</t>
  </si>
  <si>
    <t xml:space="preserve">   Meal Plan Dining $ </t>
  </si>
  <si>
    <t xml:space="preserve">   Meal Equivalencies</t>
  </si>
  <si>
    <t>Residential Dining Sales Revenue</t>
  </si>
  <si>
    <t xml:space="preserve">   Mandatory Meal Plans (AYCE portion)</t>
  </si>
  <si>
    <t xml:space="preserve">   Voluntary Meal Plans (AYCE Portion)</t>
  </si>
  <si>
    <t>Catering Sales Revenue</t>
  </si>
  <si>
    <t>Summer Conferences &amp; Camps Sales Revenue</t>
  </si>
  <si>
    <t>Other Revenue (list) _________________________</t>
  </si>
  <si>
    <t>Total Revenue:</t>
  </si>
  <si>
    <t>Cost of Goods Sold:</t>
  </si>
  <si>
    <t>Food Cost</t>
  </si>
  <si>
    <t xml:space="preserve">Less:  Applied Credits from Purchase Rebates </t>
  </si>
  <si>
    <t>Subtotal Food &amp; Beverage Costs:</t>
  </si>
  <si>
    <t>Labor Costs:</t>
  </si>
  <si>
    <t>Management Wages</t>
  </si>
  <si>
    <t>Full-time Staff Wages</t>
  </si>
  <si>
    <t>Part-time Staff Wages</t>
  </si>
  <si>
    <t>Student Employee Wages</t>
  </si>
  <si>
    <t>Management Benefits</t>
  </si>
  <si>
    <t>Full-time Staff Benefits</t>
  </si>
  <si>
    <t>Part-time Staff Benefits</t>
  </si>
  <si>
    <t>Student Employee Benefits</t>
  </si>
  <si>
    <t>Temporary Labor Expenses</t>
  </si>
  <si>
    <t>Payroll Taxes</t>
  </si>
  <si>
    <t>Subtotal Labor Costs:</t>
  </si>
  <si>
    <t>Operating Expenses:</t>
  </si>
  <si>
    <t>Amortization of Capital Investments (Row 29 'Invest &amp; Contrib' Sheet)</t>
  </si>
  <si>
    <t>Amortization of Start Up Costs (Row 32 'Start Up Costs' Sheet)</t>
  </si>
  <si>
    <t>Bank Service Fees</t>
  </si>
  <si>
    <t>Brand Licensing, Royalty and /or Franchise Fees</t>
  </si>
  <si>
    <t xml:space="preserve">Business Insurance </t>
  </si>
  <si>
    <t>Business Taxes and Licenses</t>
  </si>
  <si>
    <t>Cash Escort Services</t>
  </si>
  <si>
    <t>Commissions Payable to University</t>
  </si>
  <si>
    <t>Common Area Maintenance</t>
  </si>
  <si>
    <t>Computer Hardware Purchases Leases, Fees and Support</t>
  </si>
  <si>
    <t>Contributions to University (Row 46 'Invest &amp; Contrib' Sheet)</t>
  </si>
  <si>
    <t>Credit/Debit Card Transaction Fees</t>
  </si>
  <si>
    <t>Custodial/Sanitation Supplies and/or Janitorial/Cleaning Services</t>
  </si>
  <si>
    <t>Decorative Materials</t>
  </si>
  <si>
    <t>Delivery &amp; Freight</t>
  </si>
  <si>
    <t xml:space="preserve">Equipment Maintenance and Repair </t>
  </si>
  <si>
    <t>Equipment Rental</t>
  </si>
  <si>
    <t>Exhaust Hood Canopy/Duct Deep Cleaning</t>
  </si>
  <si>
    <t>First Aid Supplies and Equipment</t>
  </si>
  <si>
    <t>Grease Trap Maintenance and Removal</t>
  </si>
  <si>
    <t>Health, Safety and Sanitation Inspection Services and Fees</t>
  </si>
  <si>
    <t>Internet Access/Service</t>
  </si>
  <si>
    <t>Laundry &amp; Linen Purchase/Rental</t>
  </si>
  <si>
    <t>Marketing Materials, Advertising and Other Direct Expenses</t>
  </si>
  <si>
    <t>Office Equipment (Lease or expensed in purchase year)</t>
  </si>
  <si>
    <t>Office Supplies, Misc. Printing &amp; Postage</t>
  </si>
  <si>
    <t xml:space="preserve">Paper Supplies and Disposable Ware </t>
  </si>
  <si>
    <t>Parking Permits</t>
  </si>
  <si>
    <t>Performance Bond</t>
  </si>
  <si>
    <t xml:space="preserve">Pest &amp; Insect Control </t>
  </si>
  <si>
    <t>Professional Memberships/Dues (Food Service Industry)</t>
  </si>
  <si>
    <t>Relocation Expenses - Key Management Team Members</t>
  </si>
  <si>
    <t>Risk Payments (Performance Scorecard)</t>
  </si>
  <si>
    <t>Security Systems</t>
  </si>
  <si>
    <t>Smallwares Replacement</t>
  </si>
  <si>
    <t>Software Licensing and Support</t>
  </si>
  <si>
    <t xml:space="preserve">Subcontracted Services </t>
  </si>
  <si>
    <t xml:space="preserve">Telephone Equipment, Line Installation &amp; Service </t>
  </si>
  <si>
    <t xml:space="preserve">Training </t>
  </si>
  <si>
    <t>Trash, Recyclables and Compost Removal (From Dumpsters)</t>
  </si>
  <si>
    <t>Uniforms and Uniform Replacement</t>
  </si>
  <si>
    <t>University One Card Fees</t>
  </si>
  <si>
    <t>University Technology Fees</t>
  </si>
  <si>
    <t>Utilities</t>
  </si>
  <si>
    <t>Vehicle Lease and Operating Expenses (Delivery Vehicles)</t>
  </si>
  <si>
    <t>Workers' Compensation Insurance</t>
  </si>
  <si>
    <t xml:space="preserve">Taxes - Personal Property </t>
  </si>
  <si>
    <t>Taxes - Sales Tax on purchased goods</t>
  </si>
  <si>
    <t>Taxes (List) ______________________________________</t>
  </si>
  <si>
    <t>Yr 1 Start Up Costs (Row 32 'Start Up Costs' Sheet if Not Amortized)</t>
  </si>
  <si>
    <t>Other (List) ______________________________________</t>
  </si>
  <si>
    <t>Subtotal Operating Expenses:</t>
  </si>
  <si>
    <t>Operating Profit/(Loss):</t>
  </si>
  <si>
    <t>Return to University</t>
  </si>
  <si>
    <t xml:space="preserve">Contributions to University </t>
  </si>
  <si>
    <t>Total Annual Return to University:</t>
  </si>
  <si>
    <t>Assumptions:</t>
  </si>
  <si>
    <t>List assumptions as appropriate</t>
  </si>
  <si>
    <t>FTIC YEAR 1</t>
  </si>
  <si>
    <t xml:space="preserve">Allocate 4% of total retail to ME for the highlited locations </t>
  </si>
  <si>
    <t xml:space="preserve">Total ME for campus should be at $200k </t>
  </si>
  <si>
    <t xml:space="preserve">FTIC YEAR 2 ONWARDS </t>
  </si>
  <si>
    <t xml:space="preserve">Total ME for campus should be at $100k </t>
  </si>
  <si>
    <t xml:space="preserve">ONWARDS </t>
  </si>
  <si>
    <t>POD (Breezeway)</t>
  </si>
  <si>
    <t xml:space="preserve">POD Breezway </t>
  </si>
  <si>
    <t>Projected Average # Daily Customers</t>
  </si>
  <si>
    <t>Projected Average Check</t>
  </si>
  <si>
    <t>Projected Annual Revenue</t>
  </si>
  <si>
    <t>Contributions to University (Row 46 'Invest &amp; Support' Sheet)</t>
  </si>
  <si>
    <t>Starbucks (Green Library) &amp; Starbucks Truck</t>
  </si>
  <si>
    <t>Includes NEW Starbucks truck sales in the mix</t>
  </si>
  <si>
    <t xml:space="preserve">Other Revenue - Subcontractor Revenue </t>
  </si>
  <si>
    <t>Other Revenue: Subcontractor</t>
  </si>
  <si>
    <t>Taxes (List)</t>
  </si>
  <si>
    <t>Café Bustelo relocated to PG5 in year 3</t>
  </si>
  <si>
    <t>Other Revenue : subcontractor</t>
  </si>
  <si>
    <t xml:space="preserve">Chipotle </t>
  </si>
  <si>
    <t>Other Revenue: subcontractor</t>
  </si>
  <si>
    <t>In year 2 - Sergio's to be expanded with elimination of EBB</t>
  </si>
  <si>
    <t>PG5 Renovation Year 3</t>
  </si>
  <si>
    <t xml:space="preserve">Other Revenue: subcontractor </t>
  </si>
  <si>
    <t>Converted from subcontractor to Aramark operated in year 3</t>
  </si>
  <si>
    <t>Half Moon Empanadas (Parking Garage 5)</t>
  </si>
  <si>
    <t>Athletic Concessions / Kitchen</t>
  </si>
  <si>
    <t>Menu</t>
  </si>
  <si>
    <t>Item      </t>
  </si>
  <si>
    <t>Price</t>
  </si>
  <si>
    <t>Hotdog     </t>
  </si>
  <si>
    <t xml:space="preserve">Pizza      </t>
  </si>
  <si>
    <t xml:space="preserve">Pretzel   </t>
  </si>
  <si>
    <t>Soda (Bottle)</t>
  </si>
  <si>
    <t>Water       </t>
  </si>
  <si>
    <t>Hamburger</t>
  </si>
  <si>
    <t>Candy</t>
  </si>
  <si>
    <t>Chicken Sandwich</t>
  </si>
  <si>
    <t>Chips</t>
  </si>
  <si>
    <t>Churro</t>
  </si>
  <si>
    <t>Coffee</t>
  </si>
  <si>
    <t>Cracker Jacks</t>
  </si>
  <si>
    <t>Peanus</t>
  </si>
  <si>
    <t>Sunflower Seeds</t>
  </si>
  <si>
    <t>Small Popcorn</t>
  </si>
  <si>
    <t>Large Popcorn</t>
  </si>
  <si>
    <t>Fountain Soda</t>
  </si>
  <si>
    <t>Gatorade</t>
  </si>
  <si>
    <t>Nachos</t>
  </si>
  <si>
    <t>Rockstar</t>
  </si>
  <si>
    <t>Sausage</t>
  </si>
  <si>
    <t>16oz Beer (domestic)</t>
  </si>
  <si>
    <t>Craft/Import Beer</t>
  </si>
  <si>
    <t>Replaced by CFA Year 1</t>
  </si>
  <si>
    <t>Grill Works replaced with shipping containers food concept in Year 2</t>
  </si>
  <si>
    <t xml:space="preserve">CFA added to space as well </t>
  </si>
  <si>
    <t>Year 2 Subway refresh</t>
  </si>
  <si>
    <t>Chic Fil A BBC</t>
  </si>
  <si>
    <t>Includes restaurant rotation, food truck, fruit stand and carribean concept.</t>
  </si>
  <si>
    <t>ATTACHMENT IX - FINANCIAL WORKBOOK</t>
  </si>
  <si>
    <t>Retail Dining Roll Up</t>
  </si>
  <si>
    <t>Catering Services (MMC)</t>
  </si>
  <si>
    <t>Catering Services (BBC)</t>
  </si>
  <si>
    <t>Catering Services Roll Up</t>
  </si>
  <si>
    <t>General &amp; Administrative</t>
  </si>
  <si>
    <t xml:space="preserve">Other G&amp;A Fee </t>
  </si>
  <si>
    <t>Food cost: Catering food cost for in kind catering accounted under G&amp;A</t>
  </si>
  <si>
    <t>Annual Food credit in the amount of $200K provided to FIU</t>
  </si>
  <si>
    <t>Total Roll Up</t>
  </si>
  <si>
    <t xml:space="preserve">Other: Investment </t>
  </si>
  <si>
    <t>Other: Marketing and Advertising fund</t>
  </si>
  <si>
    <t>Other: Repair/ Maint. / Utilities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</si>
</sst>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&quot;$&quot;#,##0.00"/>
    <numFmt numFmtId="166" formatCode="&quot;$&quot;#,##0"/>
    <numFmt numFmtId="167" formatCode="_(* #,##0_);_(* \(#,##0\);_(* &quot;-&quot;??_);_(@_)"/>
    <numFmt numFmtId="168" formatCode="0.0%"/>
    <numFmt numFmtId="169" formatCode="0.000%"/>
  </numFmts>
  <fonts count="27">
    <font>
      <sz val="10"/>
      <name val="MS Sans Serif"/>
    </font>
    <font>
      <sz val="10.5"/>
      <color theme="1"/>
      <name val="Trebuchet MS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sz val="10"/>
      <name val="MS Sans Serif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i/>
      <sz val="10"/>
      <color rgb="FF3333CC"/>
      <name val="Calibri"/>
      <family val="2"/>
      <scheme val="minor"/>
    </font>
    <font>
      <i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i/>
      <u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i/>
      <sz val="10"/>
      <color rgb="FF3333CC"/>
      <name val="Calibri"/>
      <family val="2"/>
      <scheme val="minor"/>
    </font>
    <font>
      <sz val="8"/>
      <name val="Calibri"/>
      <family val="2"/>
      <scheme val="minor"/>
    </font>
    <font>
      <b/>
      <sz val="10"/>
      <color rgb="FF3333CC"/>
      <name val="Calibri"/>
      <family val="2"/>
      <scheme val="minor"/>
    </font>
    <font>
      <sz val="10.5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0"/>
      <name val="Calibri"/>
      <family val="2"/>
      <scheme val="minor"/>
    </font>
    <font>
      <strike/>
      <sz val="1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Calibri"/>
      <family val="2"/>
      <scheme val="minor"/>
    </font>
    <font>
      <b/>
      <sz val="1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gray0625"/>
    </fill>
    <fill>
      <patternFill patternType="solid">
        <fgColor theme="0" tint="-0.1499984740745262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4.9989318521683403E-2"/>
        <bgColor indexed="64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auto="1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6">
    <xf numFmtId="0" fontId="0" fillId="0" borderId="0"/>
    <xf numFmtId="9" fontId="2" fillId="0" borderId="0" applyFont="0" applyFill="0" applyBorder="0" applyAlignment="0" applyProtection="0"/>
    <xf numFmtId="0" fontId="3" fillId="0" borderId="0"/>
    <xf numFmtId="44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</cellStyleXfs>
  <cellXfs count="290">
    <xf numFmtId="0" fontId="0" fillId="0" borderId="0" xfId="0"/>
    <xf numFmtId="0" fontId="6" fillId="0" borderId="0" xfId="0" applyFont="1"/>
    <xf numFmtId="0" fontId="7" fillId="0" borderId="0" xfId="0" applyFont="1"/>
    <xf numFmtId="0" fontId="7" fillId="0" borderId="0" xfId="0" applyFont="1" applyAlignment="1">
      <alignment horizontal="center"/>
    </xf>
    <xf numFmtId="0" fontId="8" fillId="0" borderId="0" xfId="0" applyFont="1"/>
    <xf numFmtId="0" fontId="9" fillId="0" borderId="0" xfId="0" applyFont="1"/>
    <xf numFmtId="0" fontId="7" fillId="0" borderId="4" xfId="0" applyFont="1" applyBorder="1"/>
    <xf numFmtId="44" fontId="7" fillId="0" borderId="0" xfId="3" applyFont="1"/>
    <xf numFmtId="0" fontId="10" fillId="0" borderId="0" xfId="0" applyFont="1"/>
    <xf numFmtId="0" fontId="12" fillId="0" borderId="0" xfId="0" applyFont="1"/>
    <xf numFmtId="0" fontId="13" fillId="0" borderId="0" xfId="0" applyFont="1"/>
    <xf numFmtId="0" fontId="14" fillId="0" borderId="0" xfId="0" applyFont="1" applyAlignment="1">
      <alignment horizontal="center"/>
    </xf>
    <xf numFmtId="164" fontId="7" fillId="0" borderId="0" xfId="0" applyNumberFormat="1" applyFont="1"/>
    <xf numFmtId="166" fontId="7" fillId="0" borderId="0" xfId="3" applyNumberFormat="1" applyFont="1"/>
    <xf numFmtId="0" fontId="7" fillId="0" borderId="3" xfId="0" applyFont="1" applyBorder="1"/>
    <xf numFmtId="0" fontId="6" fillId="0" borderId="3" xfId="0" applyFont="1" applyBorder="1"/>
    <xf numFmtId="0" fontId="7" fillId="0" borderId="2" xfId="0" applyFont="1" applyBorder="1"/>
    <xf numFmtId="44" fontId="6" fillId="0" borderId="0" xfId="3" applyFont="1"/>
    <xf numFmtId="165" fontId="6" fillId="0" borderId="0" xfId="0" applyNumberFormat="1" applyFont="1"/>
    <xf numFmtId="0" fontId="11" fillId="0" borderId="0" xfId="0" applyFont="1"/>
    <xf numFmtId="44" fontId="6" fillId="2" borderId="3" xfId="3" applyFont="1" applyFill="1" applyBorder="1" applyAlignment="1">
      <alignment horizontal="center" vertical="center" wrapText="1"/>
    </xf>
    <xf numFmtId="44" fontId="6" fillId="2" borderId="13" xfId="3" applyFont="1" applyFill="1" applyBorder="1" applyAlignment="1">
      <alignment horizontal="center" vertical="center" wrapText="1"/>
    </xf>
    <xf numFmtId="0" fontId="6" fillId="2" borderId="16" xfId="0" applyFont="1" applyFill="1" applyBorder="1" applyAlignment="1">
      <alignment horizontal="center" vertical="center" wrapText="1"/>
    </xf>
    <xf numFmtId="0" fontId="17" fillId="0" borderId="0" xfId="0" applyFont="1"/>
    <xf numFmtId="164" fontId="7" fillId="0" borderId="18" xfId="3" applyNumberFormat="1" applyFont="1" applyBorder="1"/>
    <xf numFmtId="164" fontId="7" fillId="0" borderId="5" xfId="3" applyNumberFormat="1" applyFont="1" applyBorder="1"/>
    <xf numFmtId="164" fontId="6" fillId="0" borderId="6" xfId="3" applyNumberFormat="1" applyFont="1" applyBorder="1"/>
    <xf numFmtId="0" fontId="6" fillId="0" borderId="0" xfId="0" applyFont="1" applyAlignment="1">
      <alignment vertical="top" wrapText="1"/>
    </xf>
    <xf numFmtId="0" fontId="7" fillId="0" borderId="14" xfId="0" applyFont="1" applyBorder="1"/>
    <xf numFmtId="0" fontId="7" fillId="0" borderId="12" xfId="0" applyFont="1" applyBorder="1"/>
    <xf numFmtId="164" fontId="6" fillId="0" borderId="3" xfId="3" applyNumberFormat="1" applyFont="1" applyBorder="1"/>
    <xf numFmtId="167" fontId="6" fillId="0" borderId="0" xfId="4" applyNumberFormat="1" applyFont="1"/>
    <xf numFmtId="0" fontId="6" fillId="0" borderId="0" xfId="0" applyFont="1" applyAlignment="1">
      <alignment horizontal="center"/>
    </xf>
    <xf numFmtId="0" fontId="6" fillId="0" borderId="4" xfId="0" applyFont="1" applyBorder="1" applyAlignment="1">
      <alignment horizontal="left"/>
    </xf>
    <xf numFmtId="0" fontId="6" fillId="0" borderId="4" xfId="0" applyFont="1" applyBorder="1" applyAlignment="1">
      <alignment horizontal="center"/>
    </xf>
    <xf numFmtId="0" fontId="7" fillId="0" borderId="5" xfId="0" applyFont="1" applyBorder="1"/>
    <xf numFmtId="6" fontId="7" fillId="0" borderId="12" xfId="0" applyNumberFormat="1" applyFont="1" applyBorder="1"/>
    <xf numFmtId="9" fontId="7" fillId="0" borderId="12" xfId="1" applyFont="1" applyBorder="1"/>
    <xf numFmtId="6" fontId="6" fillId="0" borderId="0" xfId="0" applyNumberFormat="1" applyFont="1"/>
    <xf numFmtId="9" fontId="7" fillId="0" borderId="0" xfId="1" applyFont="1"/>
    <xf numFmtId="0" fontId="6" fillId="0" borderId="0" xfId="2" applyFont="1"/>
    <xf numFmtId="0" fontId="7" fillId="0" borderId="5" xfId="2" applyFont="1" applyBorder="1"/>
    <xf numFmtId="0" fontId="6" fillId="0" borderId="5" xfId="2" applyFont="1" applyBorder="1"/>
    <xf numFmtId="0" fontId="14" fillId="0" borderId="0" xfId="0" applyFont="1"/>
    <xf numFmtId="0" fontId="6" fillId="4" borderId="0" xfId="0" applyFont="1" applyFill="1"/>
    <xf numFmtId="164" fontId="7" fillId="0" borderId="0" xfId="3" applyNumberFormat="1" applyFont="1" applyAlignment="1">
      <alignment horizontal="center"/>
    </xf>
    <xf numFmtId="0" fontId="7" fillId="0" borderId="0" xfId="0" applyFont="1" applyAlignment="1">
      <alignment horizontal="right"/>
    </xf>
    <xf numFmtId="0" fontId="16" fillId="0" borderId="0" xfId="0" applyFont="1"/>
    <xf numFmtId="0" fontId="7" fillId="0" borderId="8" xfId="0" applyFont="1" applyBorder="1"/>
    <xf numFmtId="0" fontId="7" fillId="0" borderId="9" xfId="0" applyFont="1" applyBorder="1"/>
    <xf numFmtId="0" fontId="6" fillId="0" borderId="0" xfId="0" quotePrefix="1" applyFont="1" applyAlignment="1">
      <alignment horizontal="center"/>
    </xf>
    <xf numFmtId="0" fontId="7" fillId="0" borderId="0" xfId="0" quotePrefix="1" applyFont="1" applyAlignment="1">
      <alignment horizontal="center"/>
    </xf>
    <xf numFmtId="165" fontId="7" fillId="0" borderId="0" xfId="3" applyNumberFormat="1" applyFont="1"/>
    <xf numFmtId="0" fontId="6" fillId="0" borderId="5" xfId="0" applyFont="1" applyBorder="1"/>
    <xf numFmtId="0" fontId="7" fillId="6" borderId="0" xfId="0" applyFont="1" applyFill="1"/>
    <xf numFmtId="0" fontId="6" fillId="2" borderId="21" xfId="0" applyFont="1" applyFill="1" applyBorder="1" applyAlignment="1">
      <alignment horizontal="center" vertical="center" wrapText="1"/>
    </xf>
    <xf numFmtId="0" fontId="6" fillId="2" borderId="20" xfId="0" applyFont="1" applyFill="1" applyBorder="1" applyAlignment="1">
      <alignment horizontal="center" vertical="center" wrapText="1"/>
    </xf>
    <xf numFmtId="37" fontId="20" fillId="0" borderId="21" xfId="5" applyNumberFormat="1" applyFont="1" applyBorder="1"/>
    <xf numFmtId="37" fontId="19" fillId="0" borderId="21" xfId="5" applyNumberFormat="1" applyFont="1" applyBorder="1"/>
    <xf numFmtId="0" fontId="6" fillId="0" borderId="0" xfId="0" applyFont="1" applyAlignment="1">
      <alignment horizontal="right" vertical="top" wrapText="1"/>
    </xf>
    <xf numFmtId="37" fontId="20" fillId="0" borderId="6" xfId="5" applyNumberFormat="1" applyFont="1" applyBorder="1"/>
    <xf numFmtId="0" fontId="6" fillId="0" borderId="0" xfId="0" applyFont="1" applyAlignment="1">
      <alignment horizontal="right"/>
    </xf>
    <xf numFmtId="164" fontId="6" fillId="0" borderId="3" xfId="0" applyNumberFormat="1" applyFont="1" applyBorder="1"/>
    <xf numFmtId="0" fontId="18" fillId="0" borderId="0" xfId="0" applyFont="1"/>
    <xf numFmtId="37" fontId="20" fillId="0" borderId="0" xfId="5" applyNumberFormat="1" applyFont="1"/>
    <xf numFmtId="37" fontId="19" fillId="0" borderId="0" xfId="5" applyNumberFormat="1" applyFont="1"/>
    <xf numFmtId="164" fontId="6" fillId="0" borderId="16" xfId="3" applyNumberFormat="1" applyFont="1" applyBorder="1"/>
    <xf numFmtId="164" fontId="6" fillId="6" borderId="3" xfId="3" applyNumberFormat="1" applyFont="1" applyFill="1" applyBorder="1"/>
    <xf numFmtId="164" fontId="6" fillId="7" borderId="21" xfId="3" applyNumberFormat="1" applyFont="1" applyFill="1" applyBorder="1"/>
    <xf numFmtId="164" fontId="6" fillId="5" borderId="6" xfId="3" applyNumberFormat="1" applyFont="1" applyFill="1" applyBorder="1"/>
    <xf numFmtId="44" fontId="7" fillId="6" borderId="0" xfId="3" applyFont="1" applyFill="1"/>
    <xf numFmtId="0" fontId="7" fillId="6" borderId="0" xfId="0" applyFont="1" applyFill="1" applyAlignment="1">
      <alignment vertical="top" wrapText="1"/>
    </xf>
    <xf numFmtId="167" fontId="7" fillId="6" borderId="0" xfId="4" applyNumberFormat="1" applyFont="1" applyFill="1"/>
    <xf numFmtId="0" fontId="7" fillId="7" borderId="0" xfId="0" applyFont="1" applyFill="1"/>
    <xf numFmtId="44" fontId="7" fillId="7" borderId="0" xfId="3" applyFont="1" applyFill="1"/>
    <xf numFmtId="0" fontId="7" fillId="5" borderId="0" xfId="0" applyFont="1" applyFill="1"/>
    <xf numFmtId="44" fontId="7" fillId="5" borderId="0" xfId="3" applyFont="1" applyFill="1"/>
    <xf numFmtId="9" fontId="7" fillId="0" borderId="0" xfId="1" applyFont="1" applyAlignment="1">
      <alignment horizontal="center"/>
    </xf>
    <xf numFmtId="0" fontId="7" fillId="0" borderId="1" xfId="0" applyFont="1" applyBorder="1"/>
    <xf numFmtId="6" fontId="7" fillId="0" borderId="1" xfId="0" applyNumberFormat="1" applyFont="1" applyBorder="1"/>
    <xf numFmtId="9" fontId="7" fillId="0" borderId="1" xfId="1" applyFont="1" applyBorder="1"/>
    <xf numFmtId="6" fontId="7" fillId="0" borderId="2" xfId="0" applyNumberFormat="1" applyFont="1" applyBorder="1"/>
    <xf numFmtId="6" fontId="6" fillId="0" borderId="3" xfId="0" applyNumberFormat="1" applyFont="1" applyBorder="1"/>
    <xf numFmtId="9" fontId="6" fillId="0" borderId="3" xfId="1" applyFont="1" applyBorder="1"/>
    <xf numFmtId="6" fontId="7" fillId="0" borderId="10" xfId="0" applyNumberFormat="1" applyFont="1" applyBorder="1"/>
    <xf numFmtId="6" fontId="6" fillId="0" borderId="3" xfId="2" applyNumberFormat="1" applyFont="1" applyBorder="1"/>
    <xf numFmtId="0" fontId="6" fillId="3" borderId="3" xfId="0" applyFont="1" applyFill="1" applyBorder="1" applyAlignment="1">
      <alignment horizontal="center"/>
    </xf>
    <xf numFmtId="0" fontId="6" fillId="3" borderId="2" xfId="0" applyFont="1" applyFill="1" applyBorder="1" applyAlignment="1">
      <alignment horizontal="center"/>
    </xf>
    <xf numFmtId="9" fontId="6" fillId="0" borderId="0" xfId="1" applyFont="1"/>
    <xf numFmtId="0" fontId="6" fillId="8" borderId="0" xfId="0" applyFont="1" applyFill="1"/>
    <xf numFmtId="0" fontId="7" fillId="8" borderId="0" xfId="0" applyFont="1" applyFill="1"/>
    <xf numFmtId="0" fontId="7" fillId="8" borderId="4" xfId="0" applyFont="1" applyFill="1" applyBorder="1"/>
    <xf numFmtId="44" fontId="7" fillId="8" borderId="4" xfId="3" applyFont="1" applyFill="1" applyBorder="1"/>
    <xf numFmtId="0" fontId="6" fillId="3" borderId="10" xfId="0" applyFont="1" applyFill="1" applyBorder="1" applyAlignment="1">
      <alignment horizontal="center"/>
    </xf>
    <xf numFmtId="0" fontId="6" fillId="3" borderId="10" xfId="0" applyFont="1" applyFill="1" applyBorder="1" applyAlignment="1">
      <alignment horizontal="center" wrapText="1"/>
    </xf>
    <xf numFmtId="0" fontId="6" fillId="3" borderId="14" xfId="0" applyFont="1" applyFill="1" applyBorder="1" applyAlignment="1">
      <alignment horizontal="center"/>
    </xf>
    <xf numFmtId="0" fontId="6" fillId="3" borderId="4" xfId="0" applyFont="1" applyFill="1" applyBorder="1" applyAlignment="1">
      <alignment horizontal="center"/>
    </xf>
    <xf numFmtId="168" fontId="7" fillId="0" borderId="6" xfId="1" applyNumberFormat="1" applyFont="1" applyBorder="1"/>
    <xf numFmtId="168" fontId="7" fillId="0" borderId="11" xfId="1" applyNumberFormat="1" applyFont="1" applyBorder="1"/>
    <xf numFmtId="0" fontId="6" fillId="0" borderId="8" xfId="0" applyFont="1" applyBorder="1"/>
    <xf numFmtId="168" fontId="7" fillId="0" borderId="5" xfId="1" applyNumberFormat="1" applyFont="1" applyBorder="1"/>
    <xf numFmtId="0" fontId="15" fillId="0" borderId="8" xfId="0" applyFont="1" applyBorder="1"/>
    <xf numFmtId="0" fontId="21" fillId="0" borderId="8" xfId="0" applyFont="1" applyBorder="1"/>
    <xf numFmtId="0" fontId="21" fillId="0" borderId="15" xfId="0" applyFont="1" applyBorder="1"/>
    <xf numFmtId="0" fontId="21" fillId="0" borderId="14" xfId="0" applyFont="1" applyBorder="1"/>
    <xf numFmtId="0" fontId="21" fillId="0" borderId="0" xfId="0" applyFont="1"/>
    <xf numFmtId="0" fontId="15" fillId="0" borderId="0" xfId="0" applyFont="1"/>
    <xf numFmtId="0" fontId="6" fillId="0" borderId="0" xfId="0" quotePrefix="1" applyFont="1"/>
    <xf numFmtId="0" fontId="7" fillId="0" borderId="0" xfId="0" quotePrefix="1" applyFont="1"/>
    <xf numFmtId="0" fontId="7" fillId="9" borderId="4" xfId="0" applyFont="1" applyFill="1" applyBorder="1"/>
    <xf numFmtId="44" fontId="7" fillId="9" borderId="4" xfId="3" applyFont="1" applyFill="1" applyBorder="1"/>
    <xf numFmtId="6" fontId="7" fillId="9" borderId="1" xfId="0" applyNumberFormat="1" applyFont="1" applyFill="1" applyBorder="1"/>
    <xf numFmtId="6" fontId="7" fillId="9" borderId="2" xfId="0" applyNumberFormat="1" applyFont="1" applyFill="1" applyBorder="1"/>
    <xf numFmtId="0" fontId="7" fillId="9" borderId="1" xfId="0" applyFont="1" applyFill="1" applyBorder="1"/>
    <xf numFmtId="0" fontId="7" fillId="9" borderId="2" xfId="0" applyFont="1" applyFill="1" applyBorder="1"/>
    <xf numFmtId="0" fontId="6" fillId="9" borderId="12" xfId="0" applyFont="1" applyFill="1" applyBorder="1" applyAlignment="1">
      <alignment horizontal="left"/>
    </xf>
    <xf numFmtId="0" fontId="6" fillId="9" borderId="12" xfId="0" applyFont="1" applyFill="1" applyBorder="1" applyAlignment="1">
      <alignment horizontal="center"/>
    </xf>
    <xf numFmtId="0" fontId="7" fillId="0" borderId="0" xfId="2" applyFont="1"/>
    <xf numFmtId="0" fontId="6" fillId="0" borderId="0" xfId="0" applyFont="1" applyAlignment="1">
      <alignment horizontal="left"/>
    </xf>
    <xf numFmtId="43" fontId="7" fillId="9" borderId="4" xfId="4" applyFont="1" applyFill="1" applyBorder="1"/>
    <xf numFmtId="43" fontId="7" fillId="0" borderId="0" xfId="4" applyFont="1"/>
    <xf numFmtId="44" fontId="7" fillId="0" borderId="4" xfId="0" applyNumberFormat="1" applyFont="1" applyBorder="1"/>
    <xf numFmtId="0" fontId="22" fillId="0" borderId="0" xfId="0" applyFont="1"/>
    <xf numFmtId="0" fontId="22" fillId="0" borderId="5" xfId="0" applyFont="1" applyBorder="1"/>
    <xf numFmtId="44" fontId="7" fillId="8" borderId="4" xfId="0" applyNumberFormat="1" applyFont="1" applyFill="1" applyBorder="1"/>
    <xf numFmtId="6" fontId="7" fillId="8" borderId="1" xfId="0" applyNumberFormat="1" applyFont="1" applyFill="1" applyBorder="1"/>
    <xf numFmtId="9" fontId="7" fillId="8" borderId="1" xfId="1" applyFont="1" applyFill="1" applyBorder="1"/>
    <xf numFmtId="0" fontId="21" fillId="0" borderId="4" xfId="0" applyFont="1" applyBorder="1"/>
    <xf numFmtId="0" fontId="7" fillId="9" borderId="3" xfId="0" applyFont="1" applyFill="1" applyBorder="1"/>
    <xf numFmtId="0" fontId="6" fillId="9" borderId="4" xfId="0" applyFont="1" applyFill="1" applyBorder="1"/>
    <xf numFmtId="9" fontId="7" fillId="0" borderId="6" xfId="1" applyFont="1" applyBorder="1"/>
    <xf numFmtId="0" fontId="6" fillId="3" borderId="10" xfId="0" applyFont="1" applyFill="1" applyBorder="1" applyAlignment="1">
      <alignment horizontal="center" vertical="top" wrapText="1"/>
    </xf>
    <xf numFmtId="0" fontId="6" fillId="3" borderId="10" xfId="0" applyFont="1" applyFill="1" applyBorder="1" applyAlignment="1">
      <alignment horizontal="center" vertical="center"/>
    </xf>
    <xf numFmtId="0" fontId="7" fillId="3" borderId="3" xfId="0" applyFont="1" applyFill="1" applyBorder="1"/>
    <xf numFmtId="164" fontId="7" fillId="0" borderId="1" xfId="3" applyNumberFormat="1" applyFont="1" applyBorder="1"/>
    <xf numFmtId="164" fontId="7" fillId="0" borderId="8" xfId="3" applyNumberFormat="1" applyFont="1" applyBorder="1"/>
    <xf numFmtId="167" fontId="7" fillId="9" borderId="23" xfId="4" applyNumberFormat="1" applyFont="1" applyFill="1" applyBorder="1"/>
    <xf numFmtId="167" fontId="7" fillId="9" borderId="24" xfId="4" applyNumberFormat="1" applyFont="1" applyFill="1" applyBorder="1"/>
    <xf numFmtId="167" fontId="7" fillId="0" borderId="22" xfId="4" applyNumberFormat="1" applyFont="1" applyBorder="1"/>
    <xf numFmtId="167" fontId="7" fillId="0" borderId="26" xfId="4" applyNumberFormat="1" applyFont="1" applyBorder="1"/>
    <xf numFmtId="164" fontId="7" fillId="9" borderId="3" xfId="3" applyNumberFormat="1" applyFont="1" applyFill="1" applyBorder="1"/>
    <xf numFmtId="164" fontId="6" fillId="9" borderId="2" xfId="3" applyNumberFormat="1" applyFont="1" applyFill="1" applyBorder="1"/>
    <xf numFmtId="164" fontId="7" fillId="9" borderId="4" xfId="3" applyNumberFormat="1" applyFont="1" applyFill="1" applyBorder="1"/>
    <xf numFmtId="164" fontId="6" fillId="9" borderId="4" xfId="3" applyNumberFormat="1" applyFont="1" applyFill="1" applyBorder="1"/>
    <xf numFmtId="0" fontId="7" fillId="9" borderId="12" xfId="0" applyFont="1" applyFill="1" applyBorder="1"/>
    <xf numFmtId="0" fontId="7" fillId="9" borderId="14" xfId="0" applyFont="1" applyFill="1" applyBorder="1"/>
    <xf numFmtId="168" fontId="7" fillId="9" borderId="7" xfId="1" applyNumberFormat="1" applyFont="1" applyFill="1" applyBorder="1"/>
    <xf numFmtId="168" fontId="7" fillId="9" borderId="6" xfId="1" applyNumberFormat="1" applyFont="1" applyFill="1" applyBorder="1"/>
    <xf numFmtId="168" fontId="7" fillId="9" borderId="11" xfId="1" applyNumberFormat="1" applyFont="1" applyFill="1" applyBorder="1"/>
    <xf numFmtId="0" fontId="7" fillId="9" borderId="0" xfId="0" applyFont="1" applyFill="1"/>
    <xf numFmtId="168" fontId="7" fillId="9" borderId="5" xfId="1" applyNumberFormat="1" applyFont="1" applyFill="1" applyBorder="1"/>
    <xf numFmtId="164" fontId="7" fillId="9" borderId="4" xfId="3" applyNumberFormat="1" applyFont="1" applyFill="1" applyBorder="1" applyAlignment="1">
      <alignment horizontal="center"/>
    </xf>
    <xf numFmtId="164" fontId="7" fillId="0" borderId="2" xfId="3" applyNumberFormat="1" applyFont="1" applyBorder="1"/>
    <xf numFmtId="164" fontId="7" fillId="0" borderId="0" xfId="3" applyNumberFormat="1" applyFont="1"/>
    <xf numFmtId="42" fontId="7" fillId="0" borderId="0" xfId="0" applyNumberFormat="1" applyFont="1"/>
    <xf numFmtId="42" fontId="7" fillId="0" borderId="0" xfId="3" applyNumberFormat="1" applyFont="1"/>
    <xf numFmtId="6" fontId="7" fillId="10" borderId="1" xfId="0" applyNumberFormat="1" applyFont="1" applyFill="1" applyBorder="1"/>
    <xf numFmtId="9" fontId="7" fillId="10" borderId="1" xfId="1" applyFont="1" applyFill="1" applyBorder="1"/>
    <xf numFmtId="0" fontId="6" fillId="8" borderId="12" xfId="0" applyFont="1" applyFill="1" applyBorder="1" applyAlignment="1">
      <alignment horizontal="left"/>
    </xf>
    <xf numFmtId="0" fontId="6" fillId="8" borderId="12" xfId="0" applyFont="1" applyFill="1" applyBorder="1" applyAlignment="1">
      <alignment horizontal="center"/>
    </xf>
    <xf numFmtId="164" fontId="6" fillId="5" borderId="3" xfId="0" applyNumberFormat="1" applyFont="1" applyFill="1" applyBorder="1"/>
    <xf numFmtId="0" fontId="11" fillId="0" borderId="8" xfId="0" applyFont="1" applyBorder="1"/>
    <xf numFmtId="168" fontId="7" fillId="0" borderId="0" xfId="1" applyNumberFormat="1" applyFont="1"/>
    <xf numFmtId="0" fontId="6" fillId="0" borderId="8" xfId="0" applyFont="1" applyBorder="1" applyAlignment="1">
      <alignment horizontal="center"/>
    </xf>
    <xf numFmtId="164" fontId="7" fillId="0" borderId="27" xfId="3" applyNumberFormat="1" applyFont="1" applyBorder="1"/>
    <xf numFmtId="167" fontId="7" fillId="9" borderId="0" xfId="4" applyNumberFormat="1" applyFont="1" applyFill="1"/>
    <xf numFmtId="167" fontId="7" fillId="10" borderId="25" xfId="4" applyNumberFormat="1" applyFont="1" applyFill="1" applyBorder="1"/>
    <xf numFmtId="167" fontId="7" fillId="10" borderId="23" xfId="4" applyNumberFormat="1" applyFont="1" applyFill="1" applyBorder="1"/>
    <xf numFmtId="167" fontId="7" fillId="10" borderId="22" xfId="4" applyNumberFormat="1" applyFont="1" applyFill="1" applyBorder="1"/>
    <xf numFmtId="167" fontId="7" fillId="10" borderId="24" xfId="4" applyNumberFormat="1" applyFont="1" applyFill="1" applyBorder="1"/>
    <xf numFmtId="167" fontId="7" fillId="10" borderId="0" xfId="4" applyNumberFormat="1" applyFont="1" applyFill="1"/>
    <xf numFmtId="167" fontId="7" fillId="11" borderId="22" xfId="4" applyNumberFormat="1" applyFont="1" applyFill="1" applyBorder="1"/>
    <xf numFmtId="167" fontId="7" fillId="11" borderId="0" xfId="4" applyNumberFormat="1" applyFont="1" applyFill="1"/>
    <xf numFmtId="164" fontId="7" fillId="11" borderId="2" xfId="3" applyNumberFormat="1" applyFont="1" applyFill="1" applyBorder="1"/>
    <xf numFmtId="164" fontId="7" fillId="11" borderId="9" xfId="3" applyNumberFormat="1" applyFont="1" applyFill="1" applyBorder="1"/>
    <xf numFmtId="167" fontId="7" fillId="11" borderId="23" xfId="4" applyNumberFormat="1" applyFont="1" applyFill="1" applyBorder="1"/>
    <xf numFmtId="167" fontId="7" fillId="11" borderId="24" xfId="4" applyNumberFormat="1" applyFont="1" applyFill="1" applyBorder="1"/>
    <xf numFmtId="167" fontId="7" fillId="10" borderId="26" xfId="4" applyNumberFormat="1" applyFont="1" applyFill="1" applyBorder="1"/>
    <xf numFmtId="164" fontId="7" fillId="9" borderId="1" xfId="3" applyNumberFormat="1" applyFont="1" applyFill="1" applyBorder="1"/>
    <xf numFmtId="164" fontId="7" fillId="10" borderId="2" xfId="3" applyNumberFormat="1" applyFont="1" applyFill="1" applyBorder="1"/>
    <xf numFmtId="164" fontId="7" fillId="10" borderId="9" xfId="3" applyNumberFormat="1" applyFont="1" applyFill="1" applyBorder="1"/>
    <xf numFmtId="164" fontId="7" fillId="9" borderId="2" xfId="3" applyNumberFormat="1" applyFont="1" applyFill="1" applyBorder="1"/>
    <xf numFmtId="0" fontId="6" fillId="2" borderId="6" xfId="0" applyFont="1" applyFill="1" applyBorder="1" applyAlignment="1">
      <alignment horizontal="center" vertical="center" wrapText="1"/>
    </xf>
    <xf numFmtId="0" fontId="17" fillId="0" borderId="0" xfId="0" applyFont="1" applyAlignment="1">
      <alignment wrapText="1"/>
    </xf>
    <xf numFmtId="167" fontId="17" fillId="0" borderId="0" xfId="0" applyNumberFormat="1" applyFont="1" applyAlignment="1">
      <alignment wrapText="1"/>
    </xf>
    <xf numFmtId="0" fontId="18" fillId="4" borderId="0" xfId="0" applyFont="1" applyFill="1"/>
    <xf numFmtId="0" fontId="7" fillId="4" borderId="0" xfId="0" applyFont="1" applyFill="1"/>
    <xf numFmtId="44" fontId="7" fillId="4" borderId="0" xfId="3" applyFont="1" applyFill="1"/>
    <xf numFmtId="164" fontId="7" fillId="9" borderId="3" xfId="0" applyNumberFormat="1" applyFont="1" applyFill="1" applyBorder="1"/>
    <xf numFmtId="0" fontId="7" fillId="0" borderId="0" xfId="0" applyFont="1" applyAlignment="1">
      <alignment vertical="center" wrapText="1"/>
    </xf>
    <xf numFmtId="164" fontId="7" fillId="0" borderId="1" xfId="3" applyNumberFormat="1" applyFont="1" applyBorder="1" applyAlignment="1">
      <alignment vertical="center" wrapText="1"/>
    </xf>
    <xf numFmtId="164" fontId="7" fillId="12" borderId="1" xfId="3" applyNumberFormat="1" applyFont="1" applyFill="1" applyBorder="1"/>
    <xf numFmtId="10" fontId="7" fillId="0" borderId="0" xfId="1" applyNumberFormat="1" applyFont="1"/>
    <xf numFmtId="44" fontId="7" fillId="9" borderId="1" xfId="3" applyFont="1" applyFill="1" applyBorder="1"/>
    <xf numFmtId="169" fontId="0" fillId="0" borderId="0" xfId="1" applyNumberFormat="1" applyFont="1"/>
    <xf numFmtId="0" fontId="7" fillId="4" borderId="5" xfId="0" applyFont="1" applyFill="1" applyBorder="1"/>
    <xf numFmtId="164" fontId="7" fillId="9" borderId="1" xfId="0" applyNumberFormat="1" applyFont="1" applyFill="1" applyBorder="1"/>
    <xf numFmtId="10" fontId="7" fillId="0" borderId="1" xfId="0" applyNumberFormat="1" applyFont="1" applyBorder="1"/>
    <xf numFmtId="164" fontId="7" fillId="0" borderId="4" xfId="0" applyNumberFormat="1" applyFont="1" applyBorder="1"/>
    <xf numFmtId="0" fontId="7" fillId="9" borderId="1" xfId="3" applyNumberFormat="1" applyFont="1" applyFill="1" applyBorder="1"/>
    <xf numFmtId="44" fontId="7" fillId="9" borderId="1" xfId="0" applyNumberFormat="1" applyFont="1" applyFill="1" applyBorder="1"/>
    <xf numFmtId="1" fontId="7" fillId="9" borderId="4" xfId="0" applyNumberFormat="1" applyFont="1" applyFill="1" applyBorder="1"/>
    <xf numFmtId="1" fontId="7" fillId="0" borderId="0" xfId="0" applyNumberFormat="1" applyFont="1"/>
    <xf numFmtId="9" fontId="7" fillId="0" borderId="1" xfId="0" applyNumberFormat="1" applyFont="1" applyBorder="1"/>
    <xf numFmtId="167" fontId="7" fillId="9" borderId="4" xfId="4" applyNumberFormat="1" applyFont="1" applyFill="1" applyBorder="1"/>
    <xf numFmtId="167" fontId="7" fillId="0" borderId="0" xfId="0" applyNumberFormat="1" applyFont="1"/>
    <xf numFmtId="167" fontId="7" fillId="9" borderId="4" xfId="0" applyNumberFormat="1" applyFont="1" applyFill="1" applyBorder="1"/>
    <xf numFmtId="44" fontId="7" fillId="0" borderId="0" xfId="0" applyNumberFormat="1" applyFont="1"/>
    <xf numFmtId="0" fontId="7" fillId="9" borderId="4" xfId="0" applyFont="1" applyFill="1" applyBorder="1" applyAlignment="1">
      <alignment wrapText="1"/>
    </xf>
    <xf numFmtId="0" fontId="7" fillId="9" borderId="13" xfId="0" applyFont="1" applyFill="1" applyBorder="1" applyAlignment="1">
      <alignment horizontal="left"/>
    </xf>
    <xf numFmtId="0" fontId="7" fillId="9" borderId="6" xfId="0" applyFont="1" applyFill="1" applyBorder="1" applyAlignment="1">
      <alignment horizontal="left"/>
    </xf>
    <xf numFmtId="0" fontId="8" fillId="4" borderId="0" xfId="0" applyFont="1" applyFill="1"/>
    <xf numFmtId="0" fontId="7" fillId="13" borderId="0" xfId="0" applyFont="1" applyFill="1"/>
    <xf numFmtId="8" fontId="7" fillId="9" borderId="1" xfId="0" applyNumberFormat="1" applyFont="1" applyFill="1" applyBorder="1"/>
    <xf numFmtId="0" fontId="7" fillId="14" borderId="0" xfId="0" applyFont="1" applyFill="1"/>
    <xf numFmtId="0" fontId="7" fillId="14" borderId="5" xfId="0" applyFont="1" applyFill="1" applyBorder="1"/>
    <xf numFmtId="0" fontId="7" fillId="14" borderId="0" xfId="2" applyFont="1" applyFill="1"/>
    <xf numFmtId="0" fontId="6" fillId="14" borderId="0" xfId="0" applyFont="1" applyFill="1"/>
    <xf numFmtId="9" fontId="7" fillId="4" borderId="1" xfId="1" applyFont="1" applyFill="1" applyBorder="1"/>
    <xf numFmtId="9" fontId="7" fillId="4" borderId="0" xfId="1" applyFont="1" applyFill="1"/>
    <xf numFmtId="6" fontId="7" fillId="9" borderId="1" xfId="0" applyNumberFormat="1" applyFont="1" applyFill="1" applyBorder="1" applyAlignment="1">
      <alignment horizontal="right"/>
    </xf>
    <xf numFmtId="44" fontId="7" fillId="9" borderId="3" xfId="3" applyFont="1" applyFill="1" applyBorder="1"/>
    <xf numFmtId="44" fontId="7" fillId="9" borderId="2" xfId="3" applyFont="1" applyFill="1" applyBorder="1"/>
    <xf numFmtId="164" fontId="7" fillId="0" borderId="4" xfId="3" applyNumberFormat="1" applyFont="1" applyBorder="1"/>
    <xf numFmtId="0" fontId="25" fillId="0" borderId="1" xfId="0" applyFont="1" applyBorder="1"/>
    <xf numFmtId="0" fontId="15" fillId="0" borderId="0" xfId="0" applyFont="1" applyAlignment="1">
      <alignment horizontal="center"/>
    </xf>
    <xf numFmtId="168" fontId="7" fillId="9" borderId="3" xfId="1" applyNumberFormat="1" applyFont="1" applyFill="1" applyBorder="1"/>
    <xf numFmtId="164" fontId="7" fillId="9" borderId="10" xfId="3" applyNumberFormat="1" applyFont="1" applyFill="1" applyBorder="1"/>
    <xf numFmtId="167" fontId="7" fillId="0" borderId="25" xfId="4" applyNumberFormat="1" applyFont="1" applyBorder="1"/>
    <xf numFmtId="37" fontId="19" fillId="11" borderId="21" xfId="5" applyNumberFormat="1" applyFont="1" applyFill="1" applyBorder="1"/>
    <xf numFmtId="167" fontId="7" fillId="0" borderId="28" xfId="4" applyNumberFormat="1" applyFont="1" applyBorder="1"/>
    <xf numFmtId="167" fontId="7" fillId="0" borderId="29" xfId="4" applyNumberFormat="1" applyFont="1" applyBorder="1"/>
    <xf numFmtId="0" fontId="6" fillId="2" borderId="23" xfId="0" applyFont="1" applyFill="1" applyBorder="1" applyAlignment="1">
      <alignment horizontal="center" vertical="center" wrapText="1"/>
    </xf>
    <xf numFmtId="167" fontId="7" fillId="0" borderId="30" xfId="4" applyNumberFormat="1" applyFont="1" applyBorder="1"/>
    <xf numFmtId="167" fontId="7" fillId="9" borderId="10" xfId="4" applyNumberFormat="1" applyFont="1" applyFill="1" applyBorder="1"/>
    <xf numFmtId="167" fontId="7" fillId="9" borderId="1" xfId="4" applyNumberFormat="1" applyFont="1" applyFill="1" applyBorder="1"/>
    <xf numFmtId="167" fontId="7" fillId="11" borderId="1" xfId="4" applyNumberFormat="1" applyFont="1" applyFill="1" applyBorder="1"/>
    <xf numFmtId="167" fontId="7" fillId="11" borderId="2" xfId="4" applyNumberFormat="1" applyFont="1" applyFill="1" applyBorder="1"/>
    <xf numFmtId="167" fontId="7" fillId="0" borderId="0" xfId="4" applyNumberFormat="1" applyFont="1"/>
    <xf numFmtId="37" fontId="20" fillId="11" borderId="6" xfId="5" applyNumberFormat="1" applyFont="1" applyFill="1" applyBorder="1"/>
    <xf numFmtId="164" fontId="7" fillId="9" borderId="4" xfId="0" applyNumberFormat="1" applyFont="1" applyFill="1" applyBorder="1"/>
    <xf numFmtId="8" fontId="7" fillId="0" borderId="0" xfId="0" applyNumberFormat="1" applyFont="1"/>
    <xf numFmtId="168" fontId="7" fillId="0" borderId="1" xfId="1" applyNumberFormat="1" applyFont="1" applyBorder="1"/>
    <xf numFmtId="164" fontId="7" fillId="0" borderId="1" xfId="0" applyNumberFormat="1" applyFont="1" applyBorder="1"/>
    <xf numFmtId="0" fontId="26" fillId="15" borderId="0" xfId="0" applyFont="1" applyFill="1" applyAlignment="1">
      <alignment horizontal="center" vertical="center"/>
    </xf>
    <xf numFmtId="0" fontId="26" fillId="15" borderId="0" xfId="0" applyFont="1" applyFill="1" applyAlignment="1">
      <alignment horizontal="center"/>
    </xf>
    <xf numFmtId="0" fontId="13" fillId="15" borderId="0" xfId="0" applyFont="1" applyFill="1" applyAlignment="1">
      <alignment vertical="center"/>
    </xf>
    <xf numFmtId="0" fontId="13" fillId="15" borderId="0" xfId="0" applyFont="1" applyFill="1"/>
    <xf numFmtId="8" fontId="13" fillId="15" borderId="0" xfId="0" applyNumberFormat="1" applyFont="1" applyFill="1"/>
    <xf numFmtId="164" fontId="7" fillId="0" borderId="0" xfId="3" applyNumberFormat="1" applyFont="1" applyAlignment="1">
      <alignment horizontal="left"/>
    </xf>
    <xf numFmtId="0" fontId="6" fillId="3" borderId="15" xfId="0" applyFont="1" applyFill="1" applyBorder="1" applyAlignment="1">
      <alignment horizontal="center"/>
    </xf>
    <xf numFmtId="0" fontId="6" fillId="3" borderId="11" xfId="0" applyFont="1" applyFill="1" applyBorder="1" applyAlignment="1">
      <alignment horizontal="center"/>
    </xf>
    <xf numFmtId="0" fontId="6" fillId="3" borderId="9" xfId="0" applyFont="1" applyFill="1" applyBorder="1" applyAlignment="1">
      <alignment horizontal="center"/>
    </xf>
    <xf numFmtId="0" fontId="6" fillId="3" borderId="7" xfId="0" applyFont="1" applyFill="1" applyBorder="1" applyAlignment="1">
      <alignment horizontal="center"/>
    </xf>
    <xf numFmtId="0" fontId="7" fillId="9" borderId="4" xfId="0" applyFont="1" applyFill="1" applyBorder="1" applyAlignment="1">
      <alignment horizontal="left"/>
    </xf>
    <xf numFmtId="0" fontId="6" fillId="3" borderId="13" xfId="0" applyFont="1" applyFill="1" applyBorder="1" applyAlignment="1">
      <alignment horizontal="center"/>
    </xf>
    <xf numFmtId="0" fontId="6" fillId="3" borderId="6" xfId="0" applyFont="1" applyFill="1" applyBorder="1" applyAlignment="1">
      <alignment horizontal="center"/>
    </xf>
    <xf numFmtId="0" fontId="6" fillId="3" borderId="3" xfId="0" applyFont="1" applyFill="1" applyBorder="1" applyAlignment="1">
      <alignment horizontal="center"/>
    </xf>
    <xf numFmtId="0" fontId="6" fillId="9" borderId="3" xfId="0" applyFont="1" applyFill="1" applyBorder="1" applyAlignment="1">
      <alignment horizontal="left"/>
    </xf>
    <xf numFmtId="0" fontId="6" fillId="3" borderId="3" xfId="0" applyFont="1" applyFill="1" applyBorder="1" applyAlignment="1">
      <alignment horizontal="left"/>
    </xf>
    <xf numFmtId="0" fontId="7" fillId="9" borderId="3" xfId="0" applyFont="1" applyFill="1" applyBorder="1" applyAlignment="1">
      <alignment horizontal="left"/>
    </xf>
    <xf numFmtId="0" fontId="6" fillId="9" borderId="13" xfId="0" applyFont="1" applyFill="1" applyBorder="1" applyAlignment="1">
      <alignment horizontal="left"/>
    </xf>
    <xf numFmtId="0" fontId="6" fillId="9" borderId="6" xfId="0" applyFont="1" applyFill="1" applyBorder="1" applyAlignment="1">
      <alignment horizontal="left"/>
    </xf>
    <xf numFmtId="0" fontId="7" fillId="9" borderId="13" xfId="0" applyFont="1" applyFill="1" applyBorder="1" applyAlignment="1">
      <alignment horizontal="left"/>
    </xf>
    <xf numFmtId="0" fontId="7" fillId="9" borderId="6" xfId="0" applyFont="1" applyFill="1" applyBorder="1" applyAlignment="1">
      <alignment horizontal="left"/>
    </xf>
    <xf numFmtId="0" fontId="7" fillId="0" borderId="8" xfId="0" applyFont="1" applyBorder="1" applyAlignment="1">
      <alignment horizontal="left" vertical="center" wrapText="1"/>
    </xf>
    <xf numFmtId="0" fontId="7" fillId="0" borderId="5" xfId="0" applyFont="1" applyBorder="1" applyAlignment="1">
      <alignment horizontal="left" vertical="center" wrapText="1"/>
    </xf>
    <xf numFmtId="0" fontId="6" fillId="3" borderId="19" xfId="0" applyFont="1" applyFill="1" applyBorder="1" applyAlignment="1">
      <alignment horizontal="center"/>
    </xf>
    <xf numFmtId="0" fontId="6" fillId="3" borderId="20" xfId="0" applyFont="1" applyFill="1" applyBorder="1" applyAlignment="1">
      <alignment horizontal="center"/>
    </xf>
    <xf numFmtId="0" fontId="6" fillId="3" borderId="12" xfId="0" applyFont="1" applyFill="1" applyBorder="1" applyAlignment="1">
      <alignment horizontal="center"/>
    </xf>
    <xf numFmtId="0" fontId="6" fillId="3" borderId="17" xfId="0" applyFont="1" applyFill="1" applyBorder="1" applyAlignment="1">
      <alignment horizontal="center"/>
    </xf>
    <xf numFmtId="0" fontId="6" fillId="2" borderId="13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7" fillId="0" borderId="9" xfId="0" applyFont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7" fillId="0" borderId="4" xfId="0" applyFont="1" applyBorder="1" applyAlignment="1">
      <alignment horizontal="left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6" fillId="0" borderId="15" xfId="0" applyFont="1" applyBorder="1" applyAlignment="1">
      <alignment horizontal="left" vertical="center" wrapText="1"/>
    </xf>
    <xf numFmtId="0" fontId="6" fillId="0" borderId="14" xfId="0" applyFont="1" applyBorder="1" applyAlignment="1">
      <alignment horizontal="left" vertical="center" wrapText="1"/>
    </xf>
    <xf numFmtId="0" fontId="6" fillId="0" borderId="11" xfId="0" applyFont="1" applyBorder="1" applyAlignment="1">
      <alignment horizontal="left" vertical="center" wrapText="1"/>
    </xf>
    <xf numFmtId="0" fontId="6" fillId="0" borderId="8" xfId="0" applyFont="1" applyBorder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0" fontId="6" fillId="0" borderId="5" xfId="0" applyFont="1" applyBorder="1" applyAlignment="1">
      <alignment horizontal="left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26" fillId="15" borderId="0" xfId="0" applyFont="1" applyFill="1" applyAlignment="1">
      <alignment horizontal="center" vertical="center"/>
    </xf>
  </cellXfs>
  <cellStyles count="6">
    <cellStyle name="Comma" xfId="4" builtinId="3"/>
    <cellStyle name="Currency" xfId="3" builtinId="4"/>
    <cellStyle name="Normal" xfId="0" builtinId="0"/>
    <cellStyle name="Normal 2" xfId="2" xr:uid="{00000000-0005-0000-0000-000003000000}"/>
    <cellStyle name="Normal 4" xfId="5" xr:uid="{00000000-0005-0000-0000-000004000000}"/>
    <cellStyle name="Percent" xfId="1" builtinId="5"/>
  </cellStyles>
  <dxfs count="0"/>
  <tableStyles count="0" defaultTableStyle="TableStyleMedium9" defaultPivotStyle="PivotStyleLight16"/>
  <colors>
    <mruColors>
      <color rgb="FF3333CC"/>
      <color rgb="FFFFFF99"/>
      <color rgb="FF663300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8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E17"/>
  <sheetViews>
    <sheetView workbookViewId="0" xr3:uid="{AEA406A1-0E4B-5B11-9CD5-51D6E497D94C}">
      <selection activeCell="K23" sqref="K23"/>
    </sheetView>
  </sheetViews>
  <sheetFormatPr defaultColWidth="9.140625" defaultRowHeight="12.75"/>
  <cols>
    <col min="1" max="16384" width="9.140625" style="2"/>
  </cols>
  <sheetData>
    <row r="1" spans="1:5">
      <c r="A1" s="1" t="s">
        <v>0</v>
      </c>
    </row>
    <row r="2" spans="1:5">
      <c r="A2" s="1" t="s">
        <v>1</v>
      </c>
    </row>
    <row r="3" spans="1:5">
      <c r="A3" s="1" t="s">
        <v>2</v>
      </c>
    </row>
    <row r="5" spans="1:5">
      <c r="A5" s="1"/>
    </row>
    <row r="6" spans="1:5">
      <c r="A6" s="127" t="s">
        <v>3</v>
      </c>
    </row>
    <row r="7" spans="1:5">
      <c r="A7" s="108" t="s">
        <v>4</v>
      </c>
    </row>
    <row r="8" spans="1:5">
      <c r="A8" s="108" t="s">
        <v>5</v>
      </c>
    </row>
    <row r="9" spans="1:5">
      <c r="A9" s="108" t="s">
        <v>6</v>
      </c>
    </row>
    <row r="10" spans="1:5">
      <c r="A10" s="108" t="s">
        <v>7</v>
      </c>
      <c r="D10" s="128"/>
      <c r="E10" s="2" t="s">
        <v>8</v>
      </c>
    </row>
    <row r="11" spans="1:5">
      <c r="A11" s="108"/>
    </row>
    <row r="12" spans="1:5">
      <c r="A12" s="105" t="s">
        <v>9</v>
      </c>
    </row>
    <row r="13" spans="1:5">
      <c r="A13" s="108" t="s">
        <v>10</v>
      </c>
    </row>
    <row r="14" spans="1:5">
      <c r="A14" s="108" t="s">
        <v>11</v>
      </c>
    </row>
    <row r="15" spans="1:5">
      <c r="A15" s="108" t="s">
        <v>12</v>
      </c>
    </row>
    <row r="16" spans="1:5">
      <c r="A16" s="108" t="s">
        <v>13</v>
      </c>
    </row>
    <row r="17" spans="1:1">
      <c r="A17" s="2" t="s">
        <v>14</v>
      </c>
    </row>
  </sheetData>
  <pageMargins left="0.7" right="0.7" top="0.75" bottom="0.75" header="0.3" footer="0.3"/>
  <pageSetup orientation="landscape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39997558519241921"/>
  </sheetPr>
  <dimension ref="A1:J100"/>
  <sheetViews>
    <sheetView topLeftCell="A73" workbookViewId="0" xr3:uid="{7BE570AB-09E9-518F-B8F7-3F91B7162CA9}">
      <selection activeCell="H84" sqref="H84"/>
    </sheetView>
  </sheetViews>
  <sheetFormatPr defaultColWidth="9.140625" defaultRowHeight="12.75"/>
  <cols>
    <col min="1" max="1" width="4.5703125" style="2" customWidth="1"/>
    <col min="2" max="2" width="11.7109375" style="2" customWidth="1"/>
    <col min="3" max="3" width="28.7109375" style="2" customWidth="1"/>
    <col min="4" max="4" width="36.28515625" style="2" customWidth="1"/>
    <col min="5" max="5" width="2.5703125" style="2" customWidth="1"/>
    <col min="6" max="6" width="14.7109375" style="2" customWidth="1"/>
    <col min="7" max="7" width="2.5703125" style="2" customWidth="1"/>
    <col min="8" max="8" width="14.7109375" style="2" customWidth="1"/>
    <col min="9" max="16384" width="9.140625" style="2"/>
  </cols>
  <sheetData>
    <row r="1" spans="1:8">
      <c r="A1" s="1" t="s">
        <v>0</v>
      </c>
    </row>
    <row r="2" spans="1:8">
      <c r="A2" s="1" t="s">
        <v>1</v>
      </c>
    </row>
    <row r="3" spans="1:8">
      <c r="A3" s="1" t="s">
        <v>305</v>
      </c>
    </row>
    <row r="4" spans="1:8">
      <c r="A4" s="1"/>
    </row>
    <row r="5" spans="1:8">
      <c r="A5" s="1" t="s">
        <v>16</v>
      </c>
      <c r="C5" s="109" t="s">
        <v>221</v>
      </c>
    </row>
    <row r="7" spans="1:8">
      <c r="A7" s="107" t="s">
        <v>139</v>
      </c>
      <c r="B7" s="1" t="s">
        <v>346</v>
      </c>
    </row>
    <row r="8" spans="1:8">
      <c r="A8" s="108"/>
      <c r="B8" s="1" t="s">
        <v>347</v>
      </c>
    </row>
    <row r="9" spans="1:8">
      <c r="B9" s="4" t="s">
        <v>348</v>
      </c>
    </row>
    <row r="11" spans="1:8">
      <c r="A11" s="50"/>
      <c r="B11" s="1" t="s">
        <v>324</v>
      </c>
      <c r="C11" s="1"/>
      <c r="D11" s="3"/>
      <c r="E11" s="3"/>
      <c r="G11" s="3"/>
    </row>
    <row r="12" spans="1:8">
      <c r="A12" s="50"/>
      <c r="B12" s="4" t="s">
        <v>325</v>
      </c>
      <c r="C12" s="4"/>
      <c r="D12" s="3"/>
      <c r="E12" s="3"/>
      <c r="G12" s="3"/>
    </row>
    <row r="13" spans="1:8">
      <c r="A13" s="50"/>
      <c r="B13" s="4"/>
      <c r="C13" s="4"/>
      <c r="D13" s="3"/>
      <c r="E13" s="3"/>
      <c r="G13" s="3"/>
    </row>
    <row r="14" spans="1:8">
      <c r="A14" s="51"/>
      <c r="B14" s="250" t="s">
        <v>21</v>
      </c>
      <c r="C14" s="251"/>
      <c r="D14" s="93" t="s">
        <v>22</v>
      </c>
      <c r="E14" s="93"/>
      <c r="F14" s="93" t="s">
        <v>23</v>
      </c>
      <c r="G14" s="95"/>
      <c r="H14" s="93" t="s">
        <v>326</v>
      </c>
    </row>
    <row r="15" spans="1:8">
      <c r="A15" s="51"/>
      <c r="B15" s="252"/>
      <c r="C15" s="253"/>
      <c r="D15" s="87"/>
      <c r="E15" s="87"/>
      <c r="F15" s="87" t="s">
        <v>25</v>
      </c>
      <c r="G15" s="96"/>
      <c r="H15" s="87"/>
    </row>
    <row r="16" spans="1:8">
      <c r="A16" s="51"/>
      <c r="B16" s="103" t="s">
        <v>27</v>
      </c>
      <c r="C16" s="104"/>
      <c r="D16" s="28"/>
      <c r="E16" s="28"/>
      <c r="F16" s="28"/>
      <c r="G16" s="28"/>
      <c r="H16" s="98"/>
    </row>
    <row r="17" spans="1:8" ht="5.0999999999999996" customHeight="1">
      <c r="A17" s="51"/>
      <c r="B17" s="99"/>
      <c r="C17" s="1"/>
      <c r="H17" s="100"/>
    </row>
    <row r="18" spans="1:8">
      <c r="A18" s="51"/>
      <c r="B18" s="99" t="s">
        <v>28</v>
      </c>
      <c r="C18" s="1"/>
      <c r="H18" s="100"/>
    </row>
    <row r="19" spans="1:8">
      <c r="A19" s="51"/>
      <c r="B19" s="48" t="s">
        <v>29</v>
      </c>
      <c r="D19" s="109" t="s">
        <v>29</v>
      </c>
      <c r="F19" s="109" t="s">
        <v>30</v>
      </c>
      <c r="H19" s="146"/>
    </row>
    <row r="20" spans="1:8">
      <c r="A20" s="51"/>
      <c r="B20" s="48" t="s">
        <v>32</v>
      </c>
      <c r="D20" s="109" t="s">
        <v>32</v>
      </c>
      <c r="F20" s="109" t="s">
        <v>30</v>
      </c>
      <c r="H20" s="146"/>
    </row>
    <row r="21" spans="1:8">
      <c r="A21" s="51"/>
      <c r="B21" s="48" t="s">
        <v>33</v>
      </c>
      <c r="D21" s="144" t="s">
        <v>33</v>
      </c>
      <c r="F21" s="144" t="s">
        <v>30</v>
      </c>
      <c r="H21" s="147"/>
    </row>
    <row r="22" spans="1:8">
      <c r="A22" s="51"/>
      <c r="B22" s="48" t="s">
        <v>34</v>
      </c>
      <c r="D22" s="144" t="s">
        <v>34</v>
      </c>
      <c r="F22" s="144" t="s">
        <v>30</v>
      </c>
      <c r="H22" s="147"/>
    </row>
    <row r="23" spans="1:8">
      <c r="A23" s="51"/>
      <c r="B23" s="48" t="s">
        <v>35</v>
      </c>
      <c r="D23" s="144" t="s">
        <v>35</v>
      </c>
      <c r="F23" s="144" t="s">
        <v>36</v>
      </c>
      <c r="H23" s="147"/>
    </row>
    <row r="24" spans="1:8">
      <c r="A24" s="51"/>
      <c r="B24" s="48" t="s">
        <v>37</v>
      </c>
      <c r="D24" s="144" t="s">
        <v>37</v>
      </c>
      <c r="F24" s="144" t="s">
        <v>30</v>
      </c>
      <c r="H24" s="147"/>
    </row>
    <row r="25" spans="1:8">
      <c r="A25" s="51"/>
      <c r="B25" s="48" t="s">
        <v>38</v>
      </c>
      <c r="D25" s="144" t="s">
        <v>38</v>
      </c>
      <c r="F25" s="144" t="s">
        <v>36</v>
      </c>
      <c r="H25" s="147"/>
    </row>
    <row r="26" spans="1:8">
      <c r="A26" s="51"/>
      <c r="B26" s="48" t="s">
        <v>39</v>
      </c>
      <c r="D26" s="144" t="s">
        <v>39</v>
      </c>
      <c r="F26" s="144" t="s">
        <v>30</v>
      </c>
      <c r="H26" s="147"/>
    </row>
    <row r="27" spans="1:8">
      <c r="A27" s="51"/>
      <c r="B27" s="48" t="s">
        <v>40</v>
      </c>
      <c r="D27" s="144" t="s">
        <v>40</v>
      </c>
      <c r="F27" s="144" t="s">
        <v>30</v>
      </c>
      <c r="H27" s="147"/>
    </row>
    <row r="28" spans="1:8">
      <c r="A28" s="51"/>
      <c r="B28" s="48" t="s">
        <v>41</v>
      </c>
      <c r="D28" s="144" t="s">
        <v>41</v>
      </c>
      <c r="F28" s="144" t="s">
        <v>30</v>
      </c>
      <c r="H28" s="147"/>
    </row>
    <row r="29" spans="1:8">
      <c r="A29" s="51"/>
      <c r="B29" s="48" t="s">
        <v>42</v>
      </c>
      <c r="D29" s="144" t="s">
        <v>42</v>
      </c>
      <c r="F29" s="144" t="s">
        <v>30</v>
      </c>
      <c r="H29" s="147"/>
    </row>
    <row r="30" spans="1:8">
      <c r="A30" s="51"/>
      <c r="B30" s="48" t="s">
        <v>43</v>
      </c>
      <c r="D30" s="144" t="s">
        <v>43</v>
      </c>
      <c r="F30" s="144" t="s">
        <v>30</v>
      </c>
      <c r="H30" s="147"/>
    </row>
    <row r="31" spans="1:8">
      <c r="A31" s="51"/>
      <c r="B31" s="48" t="s">
        <v>44</v>
      </c>
      <c r="D31" s="144" t="s">
        <v>44</v>
      </c>
      <c r="F31" s="144" t="s">
        <v>30</v>
      </c>
      <c r="H31" s="147"/>
    </row>
    <row r="32" spans="1:8">
      <c r="A32" s="51"/>
      <c r="B32" s="48" t="s">
        <v>45</v>
      </c>
      <c r="D32" s="144" t="s">
        <v>45</v>
      </c>
      <c r="F32" s="144" t="s">
        <v>30</v>
      </c>
      <c r="H32" s="147"/>
    </row>
    <row r="33" spans="1:8">
      <c r="A33" s="51"/>
      <c r="B33" s="48" t="s">
        <v>46</v>
      </c>
      <c r="D33" s="144" t="s">
        <v>46</v>
      </c>
      <c r="F33" s="144" t="s">
        <v>36</v>
      </c>
      <c r="H33" s="147"/>
    </row>
    <row r="34" spans="1:8">
      <c r="A34" s="51"/>
      <c r="B34" s="48" t="s">
        <v>327</v>
      </c>
      <c r="D34" s="144" t="s">
        <v>327</v>
      </c>
      <c r="F34" s="144" t="s">
        <v>30</v>
      </c>
      <c r="H34" s="147"/>
    </row>
    <row r="35" spans="1:8">
      <c r="A35" s="51"/>
      <c r="B35" s="48" t="s">
        <v>328</v>
      </c>
      <c r="D35" s="144" t="s">
        <v>328</v>
      </c>
      <c r="F35" s="144" t="s">
        <v>30</v>
      </c>
      <c r="H35" s="147"/>
    </row>
    <row r="36" spans="1:8">
      <c r="A36" s="51"/>
      <c r="B36" s="48" t="s">
        <v>329</v>
      </c>
      <c r="D36" s="144" t="s">
        <v>329</v>
      </c>
      <c r="F36" s="144" t="s">
        <v>30</v>
      </c>
      <c r="H36" s="147"/>
    </row>
    <row r="37" spans="1:8">
      <c r="A37" s="51"/>
      <c r="B37" s="48" t="s">
        <v>50</v>
      </c>
      <c r="D37" s="144" t="s">
        <v>50</v>
      </c>
      <c r="F37" s="144" t="s">
        <v>30</v>
      </c>
      <c r="H37" s="147"/>
    </row>
    <row r="38" spans="1:8">
      <c r="A38" s="51"/>
      <c r="B38" s="48" t="s">
        <v>51</v>
      </c>
      <c r="D38" s="144" t="s">
        <v>51</v>
      </c>
      <c r="F38" s="144" t="s">
        <v>30</v>
      </c>
      <c r="H38" s="147"/>
    </row>
    <row r="39" spans="1:8">
      <c r="A39" s="51"/>
      <c r="B39" s="48" t="s">
        <v>52</v>
      </c>
      <c r="D39" s="144" t="s">
        <v>52</v>
      </c>
      <c r="F39" s="144" t="s">
        <v>36</v>
      </c>
      <c r="H39" s="147"/>
    </row>
    <row r="40" spans="1:8">
      <c r="A40" s="51"/>
      <c r="B40" s="48" t="s">
        <v>53</v>
      </c>
      <c r="D40" s="144" t="s">
        <v>53</v>
      </c>
      <c r="F40" s="144" t="s">
        <v>30</v>
      </c>
      <c r="H40" s="147"/>
    </row>
    <row r="41" spans="1:8">
      <c r="A41" s="51"/>
      <c r="B41" s="48" t="s">
        <v>54</v>
      </c>
      <c r="D41" s="144" t="s">
        <v>54</v>
      </c>
      <c r="F41" s="144" t="s">
        <v>30</v>
      </c>
      <c r="H41" s="147"/>
    </row>
    <row r="42" spans="1:8">
      <c r="A42" s="51"/>
      <c r="B42" s="48" t="s">
        <v>55</v>
      </c>
      <c r="D42" s="144" t="s">
        <v>55</v>
      </c>
      <c r="F42" s="144" t="s">
        <v>30</v>
      </c>
      <c r="H42" s="147"/>
    </row>
    <row r="43" spans="1:8">
      <c r="A43" s="51"/>
      <c r="B43" s="48" t="s">
        <v>56</v>
      </c>
      <c r="D43" s="144" t="s">
        <v>56</v>
      </c>
      <c r="F43" s="144" t="s">
        <v>36</v>
      </c>
      <c r="H43" s="147"/>
    </row>
    <row r="44" spans="1:8">
      <c r="A44" s="51"/>
      <c r="B44" s="48" t="s">
        <v>57</v>
      </c>
      <c r="D44" s="144" t="s">
        <v>57</v>
      </c>
      <c r="F44" s="144" t="s">
        <v>36</v>
      </c>
      <c r="H44" s="147"/>
    </row>
    <row r="45" spans="1:8">
      <c r="A45" s="51"/>
      <c r="B45" s="48" t="s">
        <v>58</v>
      </c>
      <c r="D45" s="144" t="s">
        <v>58</v>
      </c>
      <c r="F45" s="144" t="s">
        <v>36</v>
      </c>
      <c r="H45" s="147"/>
    </row>
    <row r="46" spans="1:8">
      <c r="A46" s="51"/>
      <c r="B46" s="48" t="s">
        <v>59</v>
      </c>
      <c r="D46" s="145" t="s">
        <v>59</v>
      </c>
      <c r="F46" s="145" t="s">
        <v>30</v>
      </c>
      <c r="H46" s="148"/>
    </row>
    <row r="47" spans="1:8">
      <c r="A47" s="51"/>
      <c r="B47" s="48" t="s">
        <v>60</v>
      </c>
      <c r="D47" s="145" t="s">
        <v>60</v>
      </c>
      <c r="F47" s="145" t="s">
        <v>30</v>
      </c>
      <c r="H47" s="148"/>
    </row>
    <row r="48" spans="1:8">
      <c r="A48" s="51"/>
      <c r="B48" s="48" t="s">
        <v>62</v>
      </c>
      <c r="D48" s="145" t="s">
        <v>62</v>
      </c>
      <c r="F48" s="145" t="s">
        <v>30</v>
      </c>
      <c r="H48" s="148"/>
    </row>
    <row r="49" spans="1:8">
      <c r="A49" s="51"/>
      <c r="B49" s="48"/>
      <c r="D49" s="28"/>
      <c r="F49" s="28"/>
      <c r="H49" s="98"/>
    </row>
    <row r="50" spans="1:8">
      <c r="A50" s="51"/>
      <c r="B50" s="99" t="s">
        <v>63</v>
      </c>
      <c r="C50" s="1"/>
      <c r="H50" s="100"/>
    </row>
    <row r="51" spans="1:8">
      <c r="A51" s="51"/>
      <c r="B51" s="48" t="s">
        <v>64</v>
      </c>
      <c r="D51" s="149" t="s">
        <v>64</v>
      </c>
      <c r="F51" s="149" t="s">
        <v>65</v>
      </c>
      <c r="H51" s="150"/>
    </row>
    <row r="52" spans="1:8">
      <c r="A52" s="51"/>
      <c r="B52" s="48"/>
      <c r="D52" s="28"/>
      <c r="F52" s="28"/>
      <c r="H52" s="98"/>
    </row>
    <row r="53" spans="1:8">
      <c r="A53" s="51"/>
      <c r="B53" s="99" t="s">
        <v>66</v>
      </c>
      <c r="C53" s="1"/>
      <c r="H53" s="100"/>
    </row>
    <row r="54" spans="1:8">
      <c r="A54" s="51"/>
      <c r="B54" s="48" t="s">
        <v>67</v>
      </c>
      <c r="D54" s="149" t="s">
        <v>67</v>
      </c>
      <c r="F54" s="149" t="s">
        <v>65</v>
      </c>
      <c r="H54" s="150"/>
    </row>
    <row r="55" spans="1:8">
      <c r="A55" s="51"/>
      <c r="B55" s="48" t="s">
        <v>68</v>
      </c>
      <c r="D55" s="145" t="s">
        <v>68</v>
      </c>
      <c r="F55" s="145" t="s">
        <v>65</v>
      </c>
      <c r="H55" s="148"/>
    </row>
    <row r="56" spans="1:8">
      <c r="A56" s="51"/>
      <c r="B56" s="48" t="s">
        <v>69</v>
      </c>
      <c r="D56" s="145" t="s">
        <v>69</v>
      </c>
      <c r="F56" s="145" t="s">
        <v>65</v>
      </c>
      <c r="H56" s="148"/>
    </row>
    <row r="57" spans="1:8">
      <c r="A57" s="51"/>
      <c r="B57" s="48" t="s">
        <v>70</v>
      </c>
      <c r="D57" s="145" t="s">
        <v>70</v>
      </c>
      <c r="F57" s="145" t="s">
        <v>65</v>
      </c>
      <c r="H57" s="148"/>
    </row>
    <row r="58" spans="1:8">
      <c r="A58" s="51"/>
      <c r="B58" s="48"/>
      <c r="D58" s="28"/>
      <c r="F58" s="28"/>
      <c r="H58" s="98"/>
    </row>
    <row r="59" spans="1:8">
      <c r="A59" s="51"/>
      <c r="B59" s="102" t="s">
        <v>71</v>
      </c>
      <c r="C59" s="105"/>
      <c r="H59" s="100"/>
    </row>
    <row r="60" spans="1:8" ht="5.0999999999999996" customHeight="1">
      <c r="A60" s="51"/>
      <c r="B60" s="101"/>
      <c r="C60" s="106"/>
      <c r="H60" s="100"/>
    </row>
    <row r="61" spans="1:8">
      <c r="A61" s="51"/>
      <c r="B61" s="99" t="s">
        <v>28</v>
      </c>
      <c r="C61" s="1"/>
      <c r="H61" s="100"/>
    </row>
    <row r="62" spans="1:8">
      <c r="A62" s="51"/>
      <c r="B62" s="48" t="s">
        <v>72</v>
      </c>
      <c r="D62" s="109" t="s">
        <v>72</v>
      </c>
      <c r="F62" s="109" t="s">
        <v>65</v>
      </c>
      <c r="H62" s="146"/>
    </row>
    <row r="63" spans="1:8">
      <c r="A63" s="51"/>
      <c r="B63" s="48" t="s">
        <v>73</v>
      </c>
      <c r="D63" s="144" t="s">
        <v>73</v>
      </c>
      <c r="F63" s="144" t="s">
        <v>65</v>
      </c>
      <c r="H63" s="147"/>
    </row>
    <row r="64" spans="1:8">
      <c r="A64" s="51"/>
      <c r="B64" s="48" t="s">
        <v>74</v>
      </c>
      <c r="D64" s="144" t="s">
        <v>74</v>
      </c>
      <c r="F64" s="144" t="s">
        <v>65</v>
      </c>
      <c r="H64" s="147"/>
    </row>
    <row r="65" spans="1:10">
      <c r="A65" s="51"/>
      <c r="B65" s="48" t="s">
        <v>75</v>
      </c>
      <c r="D65" s="144" t="s">
        <v>75</v>
      </c>
      <c r="F65" s="144" t="s">
        <v>65</v>
      </c>
      <c r="H65" s="147"/>
    </row>
    <row r="66" spans="1:10" ht="12.6" customHeight="1">
      <c r="A66" s="51"/>
      <c r="B66" s="48" t="s">
        <v>345</v>
      </c>
      <c r="D66" s="145" t="s">
        <v>345</v>
      </c>
      <c r="F66" s="145" t="s">
        <v>65</v>
      </c>
      <c r="H66" s="148"/>
      <c r="J66" s="19"/>
    </row>
    <row r="67" spans="1:10">
      <c r="A67" s="51"/>
      <c r="B67" s="48" t="s">
        <v>77</v>
      </c>
      <c r="D67" s="145"/>
      <c r="F67" s="145"/>
      <c r="H67" s="148"/>
    </row>
    <row r="68" spans="1:10">
      <c r="A68" s="51"/>
      <c r="B68" s="48" t="s">
        <v>77</v>
      </c>
      <c r="D68" s="145"/>
      <c r="F68" s="145"/>
      <c r="H68" s="148"/>
    </row>
    <row r="69" spans="1:10">
      <c r="A69" s="51"/>
      <c r="B69" s="161"/>
      <c r="D69" s="145"/>
      <c r="F69" s="145"/>
      <c r="H69" s="148"/>
    </row>
    <row r="70" spans="1:10" ht="13.35" customHeight="1">
      <c r="A70" s="51"/>
      <c r="B70" s="99" t="s">
        <v>66</v>
      </c>
      <c r="C70" s="1"/>
      <c r="H70" s="100"/>
    </row>
    <row r="71" spans="1:10">
      <c r="A71" s="51"/>
      <c r="B71" s="48" t="s">
        <v>78</v>
      </c>
      <c r="D71" s="109"/>
      <c r="F71" s="109"/>
      <c r="H71" s="146"/>
    </row>
    <row r="72" spans="1:10">
      <c r="A72" s="51"/>
      <c r="B72" s="48" t="s">
        <v>69</v>
      </c>
      <c r="D72" s="144"/>
      <c r="F72" s="144"/>
      <c r="H72" s="147"/>
    </row>
    <row r="73" spans="1:10">
      <c r="A73" s="51"/>
      <c r="B73" s="48" t="s">
        <v>77</v>
      </c>
      <c r="D73" s="144"/>
      <c r="F73" s="144"/>
      <c r="H73" s="147"/>
    </row>
    <row r="74" spans="1:10">
      <c r="A74" s="51"/>
      <c r="B74" s="48" t="s">
        <v>77</v>
      </c>
      <c r="D74" s="144"/>
      <c r="F74" s="144"/>
      <c r="H74" s="147"/>
    </row>
    <row r="75" spans="1:10">
      <c r="A75" s="51"/>
      <c r="B75" s="49"/>
      <c r="C75" s="6"/>
      <c r="D75" s="29"/>
      <c r="E75" s="6"/>
      <c r="F75" s="29"/>
      <c r="G75" s="6"/>
      <c r="H75" s="97"/>
    </row>
    <row r="76" spans="1:10">
      <c r="A76" s="51"/>
    </row>
    <row r="77" spans="1:10">
      <c r="A77" s="50"/>
      <c r="B77" s="1" t="s">
        <v>331</v>
      </c>
      <c r="C77" s="1"/>
      <c r="D77" s="3"/>
      <c r="E77" s="3"/>
      <c r="G77" s="3"/>
    </row>
    <row r="78" spans="1:10">
      <c r="A78" s="3"/>
      <c r="D78" s="3"/>
      <c r="E78" s="3"/>
      <c r="G78" s="3"/>
    </row>
    <row r="79" spans="1:10">
      <c r="A79" s="3"/>
      <c r="B79" s="2" t="s">
        <v>84</v>
      </c>
      <c r="C79" s="151"/>
      <c r="D79" s="3"/>
      <c r="E79" s="45"/>
      <c r="G79" s="3"/>
    </row>
    <row r="80" spans="1:10">
      <c r="A80" s="3"/>
      <c r="B80" s="2" t="s">
        <v>86</v>
      </c>
      <c r="C80" s="151"/>
      <c r="D80" s="3"/>
      <c r="E80" s="45"/>
      <c r="G80" s="3"/>
    </row>
    <row r="81" spans="1:7">
      <c r="A81" s="3"/>
      <c r="B81" s="2" t="s">
        <v>87</v>
      </c>
      <c r="C81" s="151"/>
      <c r="D81" s="3"/>
      <c r="E81" s="45"/>
      <c r="G81" s="3"/>
    </row>
    <row r="82" spans="1:7">
      <c r="A82" s="3"/>
      <c r="B82" s="2" t="s">
        <v>88</v>
      </c>
      <c r="C82" s="151"/>
      <c r="D82" s="3"/>
      <c r="E82" s="45"/>
      <c r="G82" s="3"/>
    </row>
    <row r="83" spans="1:7">
      <c r="A83" s="3"/>
      <c r="B83" s="2" t="s">
        <v>89</v>
      </c>
      <c r="C83" s="151"/>
      <c r="D83" s="3"/>
      <c r="E83" s="45"/>
      <c r="G83" s="3"/>
    </row>
    <row r="84" spans="1:7">
      <c r="A84" s="3"/>
      <c r="B84" s="2" t="s">
        <v>90</v>
      </c>
      <c r="C84" s="151"/>
      <c r="D84" s="3"/>
      <c r="E84" s="45"/>
      <c r="G84" s="3"/>
    </row>
    <row r="85" spans="1:7">
      <c r="A85" s="3"/>
      <c r="B85" s="2" t="s">
        <v>91</v>
      </c>
      <c r="C85" s="151"/>
      <c r="D85" s="3"/>
      <c r="E85" s="45"/>
      <c r="G85" s="3"/>
    </row>
    <row r="86" spans="1:7">
      <c r="A86" s="3"/>
      <c r="B86" s="2" t="s">
        <v>92</v>
      </c>
      <c r="C86" s="151"/>
      <c r="D86" s="3"/>
      <c r="E86" s="45"/>
      <c r="G86" s="3"/>
    </row>
    <row r="87" spans="1:7">
      <c r="A87" s="3"/>
      <c r="B87" s="2" t="s">
        <v>93</v>
      </c>
      <c r="C87" s="151"/>
      <c r="D87" s="3"/>
      <c r="E87" s="45"/>
      <c r="G87" s="3"/>
    </row>
    <row r="88" spans="1:7">
      <c r="A88" s="3"/>
      <c r="B88" s="2" t="s">
        <v>94</v>
      </c>
      <c r="C88" s="151"/>
      <c r="D88" s="3"/>
      <c r="E88" s="45"/>
      <c r="G88" s="3"/>
    </row>
    <row r="89" spans="1:7">
      <c r="A89" s="3"/>
      <c r="B89" s="2" t="s">
        <v>95</v>
      </c>
      <c r="C89" s="151"/>
      <c r="D89" s="3"/>
      <c r="E89" s="45"/>
      <c r="G89" s="3"/>
    </row>
    <row r="90" spans="1:7">
      <c r="A90" s="3"/>
      <c r="B90" s="2" t="s">
        <v>95</v>
      </c>
      <c r="C90" s="151"/>
      <c r="D90" s="3"/>
      <c r="E90" s="45"/>
      <c r="G90" s="3"/>
    </row>
    <row r="93" spans="1:7">
      <c r="B93" s="44" t="s">
        <v>349</v>
      </c>
      <c r="C93" s="186"/>
      <c r="D93" s="186"/>
      <c r="E93" s="186"/>
      <c r="F93" s="186"/>
      <c r="G93" s="186"/>
    </row>
    <row r="94" spans="1:7">
      <c r="B94" s="44" t="s">
        <v>350</v>
      </c>
      <c r="C94" s="186"/>
      <c r="D94" s="186"/>
      <c r="E94" s="186"/>
      <c r="F94" s="186"/>
      <c r="G94" s="186"/>
    </row>
    <row r="95" spans="1:7">
      <c r="B95" s="211" t="s">
        <v>351</v>
      </c>
      <c r="C95" s="186"/>
      <c r="D95" s="186"/>
      <c r="E95" s="186"/>
      <c r="F95" s="186"/>
      <c r="G95" s="186"/>
    </row>
    <row r="96" spans="1:7">
      <c r="B96" s="186" t="s">
        <v>352</v>
      </c>
      <c r="C96" s="186"/>
      <c r="D96" s="186"/>
      <c r="E96" s="186"/>
      <c r="F96" s="186"/>
      <c r="G96" s="186"/>
    </row>
    <row r="97" spans="2:7">
      <c r="B97" s="186"/>
      <c r="C97" s="186"/>
      <c r="D97" s="186"/>
      <c r="E97" s="186"/>
      <c r="F97" s="186"/>
      <c r="G97" s="186"/>
    </row>
    <row r="98" spans="2:7">
      <c r="B98" s="186" t="s">
        <v>353</v>
      </c>
      <c r="C98" s="186"/>
      <c r="D98" s="186"/>
      <c r="E98" s="186"/>
      <c r="F98" s="186"/>
      <c r="G98" s="186"/>
    </row>
    <row r="99" spans="2:7">
      <c r="B99" s="186"/>
      <c r="C99" s="186"/>
      <c r="D99" s="186"/>
      <c r="E99" s="186"/>
      <c r="F99" s="186"/>
      <c r="G99" s="186"/>
    </row>
    <row r="100" spans="2:7">
      <c r="B100" s="186" t="s">
        <v>354</v>
      </c>
      <c r="C100" s="186"/>
      <c r="D100" s="186"/>
      <c r="E100" s="186"/>
      <c r="F100" s="186"/>
      <c r="G100" s="186"/>
    </row>
  </sheetData>
  <mergeCells count="2">
    <mergeCell ref="B15:C15"/>
    <mergeCell ref="B14:C1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6" tint="0.39997558519241921"/>
  </sheetPr>
  <dimension ref="A1:X259"/>
  <sheetViews>
    <sheetView topLeftCell="B67" zoomScale="70" zoomScaleNormal="70" workbookViewId="0" xr3:uid="{65FA3815-DCC1-5481-872F-D2879ED395ED}">
      <selection activeCell="W59" sqref="W59"/>
    </sheetView>
  </sheetViews>
  <sheetFormatPr defaultColWidth="9.140625" defaultRowHeight="12.75"/>
  <cols>
    <col min="1" max="1" width="9.5703125" style="2" customWidth="1"/>
    <col min="2" max="2" width="39.85546875" style="2" customWidth="1"/>
    <col min="3" max="3" width="27.42578125" style="2" customWidth="1"/>
    <col min="4" max="4" width="8.7109375" style="2" customWidth="1"/>
    <col min="5" max="5" width="14" style="2" bestFit="1" customWidth="1"/>
    <col min="6" max="6" width="8.7109375" style="2" customWidth="1"/>
    <col min="7" max="7" width="13.85546875" style="2" customWidth="1"/>
    <col min="8" max="8" width="8.7109375" style="2" customWidth="1"/>
    <col min="9" max="9" width="13.85546875" style="2" customWidth="1"/>
    <col min="10" max="10" width="8.7109375" style="2" customWidth="1"/>
    <col min="11" max="11" width="14" style="2" customWidth="1"/>
    <col min="12" max="12" width="8.7109375" style="2" customWidth="1"/>
    <col min="13" max="13" width="13.85546875" style="2" customWidth="1"/>
    <col min="14" max="14" width="8.7109375" style="2" customWidth="1"/>
    <col min="15" max="15" width="13.85546875" style="2" customWidth="1"/>
    <col min="16" max="16" width="8.7109375" style="2" customWidth="1"/>
    <col min="17" max="17" width="13.85546875" style="2" customWidth="1"/>
    <col min="18" max="18" width="8.7109375" style="2" customWidth="1"/>
    <col min="19" max="19" width="14.5703125" style="2" customWidth="1"/>
    <col min="20" max="20" width="8.7109375" style="2" customWidth="1"/>
    <col min="21" max="21" width="13.8554687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355</v>
      </c>
      <c r="G2" s="33" t="s">
        <v>356</v>
      </c>
      <c r="H2" s="34"/>
      <c r="I2" s="34"/>
      <c r="V2" s="32"/>
    </row>
    <row r="3" spans="1:22" ht="12.75" customHeight="1">
      <c r="A3" s="1" t="s">
        <v>357</v>
      </c>
      <c r="D3" s="118" t="s">
        <v>358</v>
      </c>
      <c r="G3" s="115" t="s">
        <v>356</v>
      </c>
      <c r="H3" s="116"/>
      <c r="I3" s="116"/>
      <c r="V3" s="32"/>
    </row>
    <row r="4" spans="1:22" ht="12.75" customHeight="1">
      <c r="A4" s="1" t="s">
        <v>359</v>
      </c>
      <c r="B4" s="109" t="s">
        <v>221</v>
      </c>
      <c r="D4" s="118" t="s">
        <v>360</v>
      </c>
      <c r="G4" s="115" t="s">
        <v>65</v>
      </c>
      <c r="H4" s="116"/>
      <c r="I4" s="116"/>
      <c r="V4" s="32"/>
    </row>
    <row r="5" spans="1:22" ht="12.75" customHeight="1">
      <c r="A5" s="1"/>
      <c r="B5" s="28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361</v>
      </c>
      <c r="B7" s="1"/>
    </row>
    <row r="8" spans="1:22" ht="12.75" customHeight="1">
      <c r="A8" s="2" t="s">
        <v>362</v>
      </c>
      <c r="C8" s="109">
        <f>114+114</f>
        <v>228</v>
      </c>
      <c r="E8" s="109">
        <f>+C8</f>
        <v>228</v>
      </c>
      <c r="G8" s="109">
        <f>+E8</f>
        <v>228</v>
      </c>
      <c r="I8" s="109">
        <f>+G8</f>
        <v>228</v>
      </c>
      <c r="K8" s="109">
        <f>+I8</f>
        <v>228</v>
      </c>
      <c r="M8" s="109">
        <f>+K8</f>
        <v>228</v>
      </c>
      <c r="O8" s="109">
        <f>+M8</f>
        <v>228</v>
      </c>
      <c r="Q8" s="109">
        <f>+O8</f>
        <v>228</v>
      </c>
      <c r="S8" s="109">
        <f>+Q8</f>
        <v>228</v>
      </c>
      <c r="U8" s="109">
        <f>+S8</f>
        <v>228</v>
      </c>
    </row>
    <row r="9" spans="1:22" ht="12.75" customHeight="1"/>
    <row r="10" spans="1:22" ht="12.75" customHeight="1">
      <c r="A10" s="2" t="s">
        <v>363</v>
      </c>
      <c r="C10" s="201">
        <f>(168394*2)+((C19+C20)/6)</f>
        <v>436788</v>
      </c>
      <c r="E10" s="201">
        <f>145983*2+((E19+E20)/6)</f>
        <v>393966</v>
      </c>
      <c r="G10" s="109">
        <f>170931*2+((G19+G20)/6)</f>
        <v>445902</v>
      </c>
      <c r="I10" s="201">
        <f>+G10*1.03</f>
        <v>459279.06</v>
      </c>
      <c r="J10" s="202"/>
      <c r="K10" s="201">
        <f>+I10*1.03</f>
        <v>473057.43180000002</v>
      </c>
      <c r="L10" s="202"/>
      <c r="M10" s="201">
        <f>+K10*1.03</f>
        <v>487249.15475400002</v>
      </c>
      <c r="N10" s="202"/>
      <c r="O10" s="201">
        <f>+M10*1.03</f>
        <v>501866.62939662003</v>
      </c>
      <c r="P10" s="202"/>
      <c r="Q10" s="201">
        <f>+O10*1.03</f>
        <v>516922.62827851862</v>
      </c>
      <c r="R10" s="202"/>
      <c r="S10" s="201">
        <f>+Q10*1.03</f>
        <v>532430.30712687422</v>
      </c>
      <c r="T10" s="202"/>
      <c r="U10" s="201">
        <f>+S10*1.03</f>
        <v>548403.21634068049</v>
      </c>
    </row>
    <row r="11" spans="1:22" ht="12.75" customHeight="1"/>
    <row r="12" spans="1:22" ht="12.75" customHeight="1">
      <c r="A12" s="2" t="s">
        <v>364</v>
      </c>
      <c r="C12" s="110">
        <f>+C33/C10</f>
        <v>2.5505426472331658</v>
      </c>
      <c r="E12" s="110">
        <f>+E33/E10</f>
        <v>2.9644608377372665</v>
      </c>
      <c r="G12" s="110">
        <f>+G33/G10</f>
        <v>2.8129285861018785</v>
      </c>
      <c r="I12" s="110">
        <f>+I33/I10</f>
        <v>2.5857012281030189</v>
      </c>
      <c r="K12" s="110">
        <f>+K33/K10</f>
        <v>2.6404418470497935</v>
      </c>
      <c r="M12" s="110">
        <f>+M33/M10</f>
        <v>2.6428915905994836</v>
      </c>
      <c r="O12" s="110">
        <f>+O33/O10</f>
        <v>2.8353068005181927</v>
      </c>
      <c r="Q12" s="110">
        <f>+Q33/Q10</f>
        <v>2.8349507471849655</v>
      </c>
      <c r="S12" s="110">
        <f>+S33/S10</f>
        <v>2.8296965882374905</v>
      </c>
      <c r="U12" s="110">
        <f>+U33/U10</f>
        <v>2.8888358641103258</v>
      </c>
    </row>
    <row r="13" spans="1:22" ht="12.75" customHeight="1">
      <c r="A13" s="2" t="s">
        <v>365</v>
      </c>
      <c r="C13" s="119">
        <f>+C10/((C37+C38+C39)/10.5)</f>
        <v>8.7813393327270113</v>
      </c>
      <c r="D13" s="120"/>
      <c r="E13" s="119">
        <f>+E10/((E37+E38+E39)/9.5)</f>
        <v>8.358967504159823</v>
      </c>
      <c r="F13" s="120"/>
      <c r="G13" s="119">
        <f>+G10/((G37+G38+G39)/9.5)</f>
        <v>10.358719016713849</v>
      </c>
      <c r="H13" s="120"/>
      <c r="I13" s="119">
        <f>+I10/((I37+I38+I39)/9.5)</f>
        <v>10.460275085505161</v>
      </c>
      <c r="J13" s="120"/>
      <c r="K13" s="119">
        <f>+K10/((K37+K38+K39)/9.5)</f>
        <v>10.571415784610481</v>
      </c>
      <c r="L13" s="120"/>
      <c r="M13" s="119">
        <f>+M10/((M37+M38+M39)/9.5)</f>
        <v>10.622983666486631</v>
      </c>
      <c r="N13" s="120"/>
      <c r="O13" s="119">
        <f>+O10/((O37+O38+O39)/9.5)</f>
        <v>10.67480309900608</v>
      </c>
      <c r="P13" s="120"/>
      <c r="Q13" s="119">
        <f>+Q10/((Q37+Q38+Q39)/9.5)</f>
        <v>10.779458031349277</v>
      </c>
      <c r="R13" s="120"/>
      <c r="S13" s="119">
        <f>+S10/((S37+S38+S39)/9.5)</f>
        <v>10.885138992440936</v>
      </c>
      <c r="T13" s="120"/>
      <c r="U13" s="119">
        <f>+U10/((U37+U38+U39)/9.5)</f>
        <v>10.991856041386436</v>
      </c>
    </row>
    <row r="14" spans="1:22" ht="12.75" customHeight="1">
      <c r="C14" s="207"/>
    </row>
    <row r="15" spans="1:22" ht="12.75" customHeight="1">
      <c r="A15" s="39">
        <v>0.15</v>
      </c>
      <c r="G15" s="207"/>
      <c r="H15" s="207"/>
      <c r="I15" s="207"/>
      <c r="J15" s="207"/>
      <c r="K15" s="207"/>
      <c r="L15" s="207"/>
    </row>
    <row r="16" spans="1:22" ht="12.75" customHeight="1">
      <c r="B16" s="35"/>
      <c r="C16" s="86" t="str">
        <f>C6</f>
        <v>FY 2018-19</v>
      </c>
      <c r="D16" s="86" t="s">
        <v>366</v>
      </c>
      <c r="E16" s="86" t="str">
        <f>E6</f>
        <v>FY 2019-20</v>
      </c>
      <c r="F16" s="86" t="s">
        <v>366</v>
      </c>
      <c r="G16" s="86" t="str">
        <f>G6</f>
        <v>FY 2020-21</v>
      </c>
      <c r="H16" s="86" t="s">
        <v>366</v>
      </c>
      <c r="I16" s="86" t="str">
        <f>I6</f>
        <v>FY 2021-22</v>
      </c>
      <c r="J16" s="86" t="s">
        <v>366</v>
      </c>
      <c r="K16" s="86" t="str">
        <f>K6</f>
        <v>FY 2022-23</v>
      </c>
      <c r="L16" s="86" t="s">
        <v>366</v>
      </c>
      <c r="M16" s="86" t="str">
        <f>M6</f>
        <v>FY 2023-24</v>
      </c>
      <c r="N16" s="86" t="s">
        <v>366</v>
      </c>
      <c r="O16" s="86" t="str">
        <f>O6</f>
        <v>FY 2024-25</v>
      </c>
      <c r="P16" s="86" t="s">
        <v>366</v>
      </c>
      <c r="Q16" s="86" t="str">
        <f>Q6</f>
        <v>FY 2025-26</v>
      </c>
      <c r="R16" s="86" t="s">
        <v>366</v>
      </c>
      <c r="S16" s="86" t="str">
        <f>S6</f>
        <v>FY 2026-27</v>
      </c>
      <c r="T16" s="86" t="s">
        <v>366</v>
      </c>
      <c r="U16" s="86" t="str">
        <f>U6</f>
        <v>FY 2027-28</v>
      </c>
      <c r="V16" s="86" t="s">
        <v>366</v>
      </c>
    </row>
    <row r="17" spans="1:24" ht="12.75" customHeight="1">
      <c r="A17" s="1" t="s">
        <v>367</v>
      </c>
      <c r="B17" s="53"/>
      <c r="C17" s="224">
        <v>600000</v>
      </c>
      <c r="D17" s="224"/>
      <c r="E17" s="224">
        <f>+C17*1.02</f>
        <v>612000</v>
      </c>
      <c r="F17" s="224"/>
      <c r="G17" s="224">
        <f>+E17*1.02</f>
        <v>624240</v>
      </c>
      <c r="H17" s="224"/>
      <c r="I17" s="224">
        <f>+G17*1.02</f>
        <v>636724.80000000005</v>
      </c>
      <c r="J17" s="224"/>
      <c r="K17" s="224">
        <f>+I17*1.02</f>
        <v>649459.29600000009</v>
      </c>
      <c r="L17" s="224"/>
      <c r="M17" s="224">
        <f>+K17*1.02</f>
        <v>662448.48192000005</v>
      </c>
      <c r="N17" s="224"/>
      <c r="O17" s="224">
        <f>+M17*1.02</f>
        <v>675697.45155840006</v>
      </c>
      <c r="P17" s="224"/>
      <c r="Q17" s="224">
        <f>+O17*1.02</f>
        <v>689211.40058956807</v>
      </c>
      <c r="R17" s="224"/>
      <c r="S17" s="224">
        <f>+Q17*1.02</f>
        <v>702995.62860135944</v>
      </c>
      <c r="T17" s="224"/>
      <c r="U17" s="224">
        <f>+S17*1.02</f>
        <v>717055.54117338662</v>
      </c>
      <c r="V17" s="78"/>
    </row>
    <row r="18" spans="1:24" ht="12.75" customHeight="1">
      <c r="A18" s="2" t="s">
        <v>368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369</v>
      </c>
      <c r="B19" s="35"/>
      <c r="C19" s="111">
        <f>+C17-C20</f>
        <v>525720</v>
      </c>
      <c r="D19" s="80">
        <f>IFERROR(C19/C$28,0)</f>
        <v>8.8717452043279299E-2</v>
      </c>
      <c r="E19" s="111">
        <f>+E17-E20</f>
        <v>514080</v>
      </c>
      <c r="F19" s="80">
        <f>IFERROR(E19/E$28,0)</f>
        <v>0.10124045393976061</v>
      </c>
      <c r="G19" s="111">
        <f>+G17-G20</f>
        <v>524361.6</v>
      </c>
      <c r="H19" s="80">
        <f>IFERROR(G19/G$28,0)</f>
        <v>9.6152501906284091E-2</v>
      </c>
      <c r="I19" s="111">
        <f>+I17-I20</f>
        <v>534848.83200000005</v>
      </c>
      <c r="J19" s="80">
        <f>IFERROR(I19/I$28,0)</f>
        <v>9.4579139797612177E-2</v>
      </c>
      <c r="K19" s="111">
        <f>+K17-K20</f>
        <v>545545.80864000006</v>
      </c>
      <c r="L19" s="80">
        <f>IFERROR(K19/K$28,0)</f>
        <v>9.171915426350126E-2</v>
      </c>
      <c r="M19" s="111">
        <f>+M17-M20</f>
        <v>556456.72481280006</v>
      </c>
      <c r="N19" s="80">
        <f>IFERROR(M19/M$28,0)</f>
        <v>9.0744486310148212E-2</v>
      </c>
      <c r="O19" s="111">
        <f>+O17-O20</f>
        <v>567585.85930905608</v>
      </c>
      <c r="P19" s="80">
        <f>IFERROR(O19/O$28,0)</f>
        <v>8.9748191607969471E-2</v>
      </c>
      <c r="Q19" s="111">
        <f>+Q17-Q20</f>
        <v>578937.57649523718</v>
      </c>
      <c r="R19" s="80">
        <f>IFERROR(Q19/Q$28,0)</f>
        <v>8.888801235755131E-2</v>
      </c>
      <c r="S19" s="111">
        <f>+S17-S20</f>
        <v>590516.32802514196</v>
      </c>
      <c r="T19" s="80">
        <f>IFERROR(S19/S$28,0)</f>
        <v>8.8188466132726226E-2</v>
      </c>
      <c r="U19" s="111">
        <f>+U17-U20</f>
        <v>602326.65458564472</v>
      </c>
      <c r="V19" s="80">
        <f>IFERROR(U19/U$28,0)</f>
        <v>8.7445417983592469E-2</v>
      </c>
    </row>
    <row r="20" spans="1:24" ht="12.75" customHeight="1">
      <c r="A20" s="2" t="s">
        <v>370</v>
      </c>
      <c r="B20" s="35"/>
      <c r="C20" s="111">
        <f>+C17*12.38%</f>
        <v>74280</v>
      </c>
      <c r="D20" s="80">
        <f>IFERROR(C20/C$28,0)</f>
        <v>1.2535061130972355E-2</v>
      </c>
      <c r="E20" s="111">
        <f>+E17*16%</f>
        <v>97920</v>
      </c>
      <c r="F20" s="80">
        <f>IFERROR(E20/E$28,0)</f>
        <v>1.9283895988525829E-2</v>
      </c>
      <c r="G20" s="111">
        <f>+G17*16%</f>
        <v>99878.400000000009</v>
      </c>
      <c r="H20" s="80">
        <f>IFERROR(G20/G$28,0)</f>
        <v>1.8314762267863639E-2</v>
      </c>
      <c r="I20" s="111">
        <f>+I17*16%</f>
        <v>101875.96800000001</v>
      </c>
      <c r="J20" s="80">
        <f>IFERROR(I20/I$28,0)</f>
        <v>1.8015074247164222E-2</v>
      </c>
      <c r="K20" s="111">
        <f>+K17*16%</f>
        <v>103913.48736000001</v>
      </c>
      <c r="L20" s="80">
        <f>IFERROR(K20/K$28,0)</f>
        <v>1.7470315097809764E-2</v>
      </c>
      <c r="M20" s="111">
        <f>+M17*16%</f>
        <v>105991.75710720001</v>
      </c>
      <c r="N20" s="80">
        <f>IFERROR(M20/M$28,0)</f>
        <v>1.728466405907585E-2</v>
      </c>
      <c r="O20" s="111">
        <f>+O17*16%</f>
        <v>108111.59224934402</v>
      </c>
      <c r="P20" s="80">
        <f>IFERROR(O20/O$28,0)</f>
        <v>1.7094893639613234E-2</v>
      </c>
      <c r="Q20" s="111">
        <f>+Q17*16%</f>
        <v>110273.82409433089</v>
      </c>
      <c r="R20" s="80">
        <f>IFERROR(Q20/Q$28,0)</f>
        <v>1.6931049972866916E-2</v>
      </c>
      <c r="S20" s="111">
        <f>+S17*16%</f>
        <v>112479.30057621752</v>
      </c>
      <c r="T20" s="80">
        <f>IFERROR(S20/S$28,0)</f>
        <v>1.6797803072900235E-2</v>
      </c>
      <c r="U20" s="111">
        <f>+U17*16%</f>
        <v>114728.88658774186</v>
      </c>
      <c r="V20" s="80">
        <f>IFERROR(U20/U$28,0)</f>
        <v>1.6656270092112853E-2</v>
      </c>
    </row>
    <row r="21" spans="1:24" ht="12.75" customHeight="1">
      <c r="A21" s="122" t="s">
        <v>371</v>
      </c>
      <c r="B21" s="35"/>
      <c r="C21" s="220"/>
      <c r="D21" s="80">
        <f>IFERROR(C21/C$28,0)</f>
        <v>0</v>
      </c>
      <c r="E21" s="111">
        <f>+C21*1.02</f>
        <v>0</v>
      </c>
      <c r="F21" s="80">
        <f>IFERROR(E21/E$28,0)</f>
        <v>0</v>
      </c>
      <c r="G21" s="111">
        <f t="shared" ref="E21:U27" si="0">+E21*1.02</f>
        <v>0</v>
      </c>
      <c r="H21" s="80">
        <f>IFERROR(G21/G$28,0)</f>
        <v>0</v>
      </c>
      <c r="I21" s="111">
        <f t="shared" si="0"/>
        <v>0</v>
      </c>
      <c r="J21" s="80">
        <f>IFERROR(I21/I$28,0)</f>
        <v>0</v>
      </c>
      <c r="K21" s="111">
        <f t="shared" si="0"/>
        <v>0</v>
      </c>
      <c r="L21" s="80">
        <f>IFERROR(K21/K$28,0)</f>
        <v>0</v>
      </c>
      <c r="M21" s="111">
        <f t="shared" si="0"/>
        <v>0</v>
      </c>
      <c r="N21" s="80">
        <f>IFERROR(M21/M$28,0)</f>
        <v>0</v>
      </c>
      <c r="O21" s="111">
        <f t="shared" si="0"/>
        <v>0</v>
      </c>
      <c r="P21" s="80">
        <f>IFERROR(O21/O$28,0)</f>
        <v>0</v>
      </c>
      <c r="Q21" s="111">
        <f t="shared" si="0"/>
        <v>0</v>
      </c>
      <c r="R21" s="80">
        <f>IFERROR(Q21/Q$28,0)</f>
        <v>0</v>
      </c>
      <c r="S21" s="111">
        <f t="shared" si="0"/>
        <v>0</v>
      </c>
      <c r="T21" s="80">
        <f>IFERROR(S21/S$28,0)</f>
        <v>0</v>
      </c>
      <c r="U21" s="111">
        <f t="shared" si="0"/>
        <v>0</v>
      </c>
      <c r="V21" s="80">
        <f>IFERROR(U21/U$28,0)</f>
        <v>0</v>
      </c>
    </row>
    <row r="22" spans="1:24" ht="12.75" customHeight="1">
      <c r="A22" s="2" t="s">
        <v>372</v>
      </c>
      <c r="B22" s="35"/>
      <c r="C22" s="111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2" t="s">
        <v>373</v>
      </c>
      <c r="B23" s="35"/>
      <c r="C23" s="111">
        <f>+'Yr 1-10 REVISED - FTIC'!K46-'Total Roll Up'!C21</f>
        <v>4445490.8393599996</v>
      </c>
      <c r="D23" s="80">
        <f t="shared" ref="D23:D28" si="1">IFERROR(C23/C$28,0)</f>
        <v>0.75019519963052228</v>
      </c>
      <c r="E23" s="111">
        <f>+'Yr 1-10 REVISED - FTIC'!K72-'Total Roll Up'!E21</f>
        <v>3368045</v>
      </c>
      <c r="F23" s="80">
        <f t="shared" ref="F23:F28" si="2">IFERROR(E23/E$28,0)</f>
        <v>0.66328665711473123</v>
      </c>
      <c r="G23" s="111">
        <f>+'Yr 1-10 REVISED - FTIC'!K98-'Total Roll Up'!G21</f>
        <v>3429910.48</v>
      </c>
      <c r="H23" s="80">
        <f t="shared" ref="H23:H28" si="3">IFERROR(G23/G$28,0)</f>
        <v>0.62894474722516636</v>
      </c>
      <c r="I23" s="111">
        <f>+'Yr 1-10 REVISED - FTIC'!K123-'Total Roll Up'!I21</f>
        <v>3484953.7864000006</v>
      </c>
      <c r="J23" s="80">
        <f t="shared" ref="J23:J28" si="4">IFERROR(I23/I$28,0)</f>
        <v>0.61625624219768982</v>
      </c>
      <c r="K23" s="111">
        <f>+'Yr 1-10 REVISED - FTIC'!K148-'Total Roll Up'!K21</f>
        <v>3541730.8226159997</v>
      </c>
      <c r="L23" s="80">
        <f t="shared" ref="L23:L28" si="5">IFERROR(K23/K$28,0)</f>
        <v>0.59544872407529692</v>
      </c>
      <c r="M23" s="111">
        <f>+'Yr 1-10 REVISED - FTIC'!K173-'Total Roll Up'!M21</f>
        <v>3626274.8771710806</v>
      </c>
      <c r="N23" s="80">
        <f t="shared" ref="N23:N28" si="6">IFERROR(M23/M$28,0)</f>
        <v>0.591356769134181</v>
      </c>
      <c r="O23" s="111">
        <f>+'Yr 1-10 REVISED - FTIC'!K198-'Total Roll Up'!O21</f>
        <v>3714701.2391117266</v>
      </c>
      <c r="P23" s="80">
        <f t="shared" ref="P23:P28" si="7">IFERROR(O23/O$28,0)</f>
        <v>0.58737847870277538</v>
      </c>
      <c r="Q23" s="111">
        <f>+'Yr 1-10 REVISED - FTIC'!K223-'Total Roll Up'!Q21</f>
        <v>3812796.5422231019</v>
      </c>
      <c r="R23" s="80">
        <f t="shared" ref="R23:R28" si="8">IFERROR(Q23/Q$28,0)</f>
        <v>0.58540319357685389</v>
      </c>
      <c r="S23" s="111">
        <f>+'Yr 1-10 REVISED - FTIC'!K248-'Total Roll Up'!S21</f>
        <v>3902178.8681329596</v>
      </c>
      <c r="T23" s="80">
        <f t="shared" ref="T23:T28" si="9">IFERROR(S23/S$28,0)</f>
        <v>0.58275639914487143</v>
      </c>
      <c r="U23" s="111">
        <f>+'Yr 1-10 REVISED - FTIC'!K273-'Total Roll Up'!U21</f>
        <v>3997712.0658839843</v>
      </c>
      <c r="V23" s="80">
        <f t="shared" ref="V23:V28" si="10">IFERROR(U23/U$28,0)</f>
        <v>0.58038541033811919</v>
      </c>
    </row>
    <row r="24" spans="1:24" ht="12.75" customHeight="1">
      <c r="A24" s="2" t="s">
        <v>374</v>
      </c>
      <c r="B24" s="35"/>
      <c r="C24" s="111">
        <f>+'Yr 1-10 REVISED - FTIC'!K47</f>
        <v>631288</v>
      </c>
      <c r="D24" s="80">
        <f t="shared" si="1"/>
        <v>0.10653249422791163</v>
      </c>
      <c r="E24" s="111">
        <f>+'Yr 1-10 REVISED - FTIC'!K73</f>
        <v>843702.08000000007</v>
      </c>
      <c r="F24" s="80">
        <f t="shared" si="2"/>
        <v>0.16615464824369791</v>
      </c>
      <c r="G24" s="111">
        <f>+'Yr 1-10 REVISED - FTIC'!K99</f>
        <v>1139105.4000000001</v>
      </c>
      <c r="H24" s="80">
        <f t="shared" si="3"/>
        <v>0.20887844217608331</v>
      </c>
      <c r="I24" s="111">
        <f>+'Yr 1-10 REVISED - FTIC'!K124</f>
        <v>1268497.2960000001</v>
      </c>
      <c r="J24" s="80">
        <f t="shared" si="4"/>
        <v>0.22431269531364897</v>
      </c>
      <c r="K24" s="111">
        <f>+'Yr 1-10 REVISED - FTIC'!K149</f>
        <v>1486651.3809984</v>
      </c>
      <c r="L24" s="80">
        <f t="shared" si="5"/>
        <v>0.24994126100933584</v>
      </c>
      <c r="M24" s="111">
        <f>+'Yr 1-10 REVISED - FTIC'!K174</f>
        <v>1567838.9793907353</v>
      </c>
      <c r="N24" s="80">
        <f t="shared" si="6"/>
        <v>0.25567620348141518</v>
      </c>
      <c r="O24" s="111">
        <f>+'Yr 1-10 REVISED - FTIC'!K199</f>
        <v>1652729.0944101212</v>
      </c>
      <c r="P24" s="80">
        <f t="shared" si="7"/>
        <v>0.2613339374271102</v>
      </c>
      <c r="Q24" s="111">
        <f>+'Yr 1-10 REVISED - FTIC'!K224</f>
        <v>1724406.4275158271</v>
      </c>
      <c r="R24" s="80">
        <f t="shared" si="8"/>
        <v>0.264759217680058</v>
      </c>
      <c r="S24" s="111">
        <f>+'Yr 1-10 REVISED - FTIC'!K249</f>
        <v>1798466.0652258703</v>
      </c>
      <c r="T24" s="80">
        <f t="shared" si="9"/>
        <v>0.26858522983512878</v>
      </c>
      <c r="U24" s="111">
        <f>+'Yr 1-10 REVISED - FTIC'!K274</f>
        <v>1874982.1296307477</v>
      </c>
      <c r="V24" s="80">
        <f t="shared" si="10"/>
        <v>0.27220876710182823</v>
      </c>
    </row>
    <row r="25" spans="1:24" ht="12.75" customHeight="1">
      <c r="A25" s="2" t="s">
        <v>375</v>
      </c>
      <c r="B25" s="35"/>
      <c r="C25" s="111">
        <v>0</v>
      </c>
      <c r="D25" s="80">
        <f t="shared" si="1"/>
        <v>0</v>
      </c>
      <c r="E25" s="111">
        <f t="shared" si="0"/>
        <v>0</v>
      </c>
      <c r="F25" s="80">
        <f t="shared" si="2"/>
        <v>0</v>
      </c>
      <c r="G25" s="111">
        <f t="shared" si="0"/>
        <v>0</v>
      </c>
      <c r="H25" s="80">
        <f t="shared" si="3"/>
        <v>0</v>
      </c>
      <c r="I25" s="111">
        <f t="shared" si="0"/>
        <v>0</v>
      </c>
      <c r="J25" s="80">
        <f t="shared" si="4"/>
        <v>0</v>
      </c>
      <c r="K25" s="111">
        <f t="shared" si="0"/>
        <v>0</v>
      </c>
      <c r="L25" s="80">
        <f t="shared" si="5"/>
        <v>0</v>
      </c>
      <c r="M25" s="111">
        <f t="shared" si="0"/>
        <v>0</v>
      </c>
      <c r="N25" s="80">
        <f t="shared" si="6"/>
        <v>0</v>
      </c>
      <c r="O25" s="111">
        <f t="shared" si="0"/>
        <v>0</v>
      </c>
      <c r="P25" s="80">
        <f t="shared" si="7"/>
        <v>0</v>
      </c>
      <c r="Q25" s="111">
        <f t="shared" si="0"/>
        <v>0</v>
      </c>
      <c r="R25" s="80">
        <f t="shared" si="8"/>
        <v>0</v>
      </c>
      <c r="S25" s="111">
        <f t="shared" si="0"/>
        <v>0</v>
      </c>
      <c r="T25" s="80">
        <f t="shared" si="9"/>
        <v>0</v>
      </c>
      <c r="U25" s="111">
        <f t="shared" si="0"/>
        <v>0</v>
      </c>
      <c r="V25" s="80">
        <f t="shared" si="10"/>
        <v>0</v>
      </c>
    </row>
    <row r="26" spans="1:24" ht="12.75" customHeight="1">
      <c r="A26" s="2" t="s">
        <v>376</v>
      </c>
      <c r="B26" s="35"/>
      <c r="C26" s="111">
        <v>249000</v>
      </c>
      <c r="D26" s="80">
        <f t="shared" si="1"/>
        <v>4.2019792967314437E-2</v>
      </c>
      <c r="E26" s="111">
        <v>254065</v>
      </c>
      <c r="F26" s="80">
        <f t="shared" si="2"/>
        <v>5.0034344713284468E-2</v>
      </c>
      <c r="G26" s="111">
        <v>260181</v>
      </c>
      <c r="H26" s="80">
        <f t="shared" si="3"/>
        <v>4.7709546424602609E-2</v>
      </c>
      <c r="I26" s="111">
        <f>+G26*1.018</f>
        <v>264864.25800000003</v>
      </c>
      <c r="J26" s="80">
        <f t="shared" si="4"/>
        <v>4.6836848443884832E-2</v>
      </c>
      <c r="K26" s="111">
        <f>+I26*1.02</f>
        <v>270161.54316000006</v>
      </c>
      <c r="L26" s="80">
        <f t="shared" si="5"/>
        <v>4.5420545554056294E-2</v>
      </c>
      <c r="M26" s="111">
        <f>+K26*1.02</f>
        <v>275564.77402320009</v>
      </c>
      <c r="N26" s="80">
        <f t="shared" si="6"/>
        <v>4.493787701517981E-2</v>
      </c>
      <c r="O26" s="111">
        <f>+M26*1.02</f>
        <v>281076.0695036641</v>
      </c>
      <c r="P26" s="80">
        <f t="shared" si="7"/>
        <v>4.4444498622531657E-2</v>
      </c>
      <c r="Q26" s="111">
        <f>+O26*1.02</f>
        <v>286697.59089373739</v>
      </c>
      <c r="R26" s="80">
        <f t="shared" si="8"/>
        <v>4.4018526412669935E-2</v>
      </c>
      <c r="S26" s="111">
        <f>+Q26*1.02</f>
        <v>292431.54271161213</v>
      </c>
      <c r="T26" s="80">
        <f t="shared" si="9"/>
        <v>4.3672101814373344E-2</v>
      </c>
      <c r="U26" s="111">
        <f>+S26*1.02</f>
        <v>298280.17356584436</v>
      </c>
      <c r="V26" s="80">
        <f t="shared" si="10"/>
        <v>4.3304134484347313E-2</v>
      </c>
    </row>
    <row r="27" spans="1:24" ht="12.75" customHeight="1">
      <c r="A27" s="2" t="s">
        <v>377</v>
      </c>
      <c r="B27" s="35"/>
      <c r="C27" s="112">
        <v>0</v>
      </c>
      <c r="D27" s="80">
        <f t="shared" si="1"/>
        <v>0</v>
      </c>
      <c r="E27" s="111">
        <f t="shared" si="0"/>
        <v>0</v>
      </c>
      <c r="F27" s="80">
        <f t="shared" si="2"/>
        <v>0</v>
      </c>
      <c r="G27" s="111">
        <f t="shared" si="0"/>
        <v>0</v>
      </c>
      <c r="H27" s="80">
        <f t="shared" si="3"/>
        <v>0</v>
      </c>
      <c r="I27" s="111">
        <f t="shared" si="0"/>
        <v>0</v>
      </c>
      <c r="J27" s="80">
        <f t="shared" si="4"/>
        <v>0</v>
      </c>
      <c r="K27" s="111">
        <f t="shared" si="0"/>
        <v>0</v>
      </c>
      <c r="L27" s="80">
        <f t="shared" si="5"/>
        <v>0</v>
      </c>
      <c r="M27" s="111">
        <f t="shared" si="0"/>
        <v>0</v>
      </c>
      <c r="N27" s="80">
        <f t="shared" si="6"/>
        <v>0</v>
      </c>
      <c r="O27" s="111">
        <f t="shared" si="0"/>
        <v>0</v>
      </c>
      <c r="P27" s="80">
        <f t="shared" si="7"/>
        <v>0</v>
      </c>
      <c r="Q27" s="111">
        <f t="shared" si="0"/>
        <v>0</v>
      </c>
      <c r="R27" s="80">
        <f t="shared" si="8"/>
        <v>0</v>
      </c>
      <c r="S27" s="111">
        <f t="shared" si="0"/>
        <v>0</v>
      </c>
      <c r="T27" s="80">
        <f t="shared" si="9"/>
        <v>0</v>
      </c>
      <c r="U27" s="111">
        <f t="shared" si="0"/>
        <v>0</v>
      </c>
      <c r="V27" s="80">
        <f t="shared" si="10"/>
        <v>0</v>
      </c>
    </row>
    <row r="28" spans="1:24" ht="12.75" customHeight="1">
      <c r="A28" s="1" t="s">
        <v>378</v>
      </c>
      <c r="B28" s="53"/>
      <c r="C28" s="82">
        <f>SUM(C19:C27)</f>
        <v>5925778.8393599996</v>
      </c>
      <c r="D28" s="83">
        <f t="shared" si="1"/>
        <v>1</v>
      </c>
      <c r="E28" s="82">
        <f>SUM(E19:E27)</f>
        <v>5077812.08</v>
      </c>
      <c r="F28" s="83">
        <f t="shared" si="2"/>
        <v>1</v>
      </c>
      <c r="G28" s="82">
        <f>SUM(G19:G27)</f>
        <v>5453436.8799999999</v>
      </c>
      <c r="H28" s="83">
        <f t="shared" si="3"/>
        <v>1</v>
      </c>
      <c r="I28" s="82">
        <f>SUM(I19:I27)</f>
        <v>5655040.1404000008</v>
      </c>
      <c r="J28" s="83">
        <f t="shared" si="4"/>
        <v>1</v>
      </c>
      <c r="K28" s="82">
        <f>SUM(K19:K27)</f>
        <v>5948003.0427743997</v>
      </c>
      <c r="L28" s="83">
        <f t="shared" si="5"/>
        <v>1</v>
      </c>
      <c r="M28" s="82">
        <f>SUM(M19:M27)</f>
        <v>6132127.1125050159</v>
      </c>
      <c r="N28" s="83">
        <f t="shared" si="6"/>
        <v>1</v>
      </c>
      <c r="O28" s="82">
        <f>SUM(O19:O27)</f>
        <v>6324203.8545839125</v>
      </c>
      <c r="P28" s="83">
        <f t="shared" si="7"/>
        <v>1</v>
      </c>
      <c r="Q28" s="82">
        <f>SUM(Q19:Q27)</f>
        <v>6513111.9612222342</v>
      </c>
      <c r="R28" s="83">
        <f t="shared" si="8"/>
        <v>1</v>
      </c>
      <c r="S28" s="82">
        <f>SUM(S19:S27)</f>
        <v>6696072.1046718014</v>
      </c>
      <c r="T28" s="83">
        <f t="shared" si="9"/>
        <v>1</v>
      </c>
      <c r="U28" s="82">
        <f>SUM(U19:U27)</f>
        <v>6888029.9102539625</v>
      </c>
      <c r="V28" s="83">
        <f t="shared" si="10"/>
        <v>1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379</v>
      </c>
      <c r="B30" s="53"/>
      <c r="C30" s="197">
        <v>0.188</v>
      </c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380</v>
      </c>
      <c r="B31" s="35"/>
      <c r="C31" s="178">
        <f>C28*C30</f>
        <v>1114046.42179968</v>
      </c>
      <c r="D31" s="80">
        <f>IFERROR(C31/C$28,0)</f>
        <v>0.188</v>
      </c>
      <c r="E31" s="178">
        <f>+E28*0.23</f>
        <v>1167896.7784</v>
      </c>
      <c r="F31" s="80">
        <f>IFERROR(E31/E$28,0)</f>
        <v>0.22999999999999998</v>
      </c>
      <c r="G31" s="178">
        <f>+G28*F31</f>
        <v>1254290.4823999999</v>
      </c>
      <c r="H31" s="80">
        <f>IFERROR(G31/G$28,0)</f>
        <v>0.22999999999999998</v>
      </c>
      <c r="I31" s="178">
        <f>+I28*0.21</f>
        <v>1187558.4294840002</v>
      </c>
      <c r="J31" s="80">
        <f>IFERROR(I31/I$28,0)</f>
        <v>0.21</v>
      </c>
      <c r="K31" s="178">
        <f>+K28*J31</f>
        <v>1249080.6389826238</v>
      </c>
      <c r="L31" s="80">
        <f>IFERROR(K31/K$28,0)</f>
        <v>0.20999999999999996</v>
      </c>
      <c r="M31" s="178">
        <f>+M28*L31</f>
        <v>1287746.6936260532</v>
      </c>
      <c r="N31" s="80">
        <f>IFERROR(M31/M$28,0)</f>
        <v>0.20999999999999996</v>
      </c>
      <c r="O31" s="178">
        <f>+O28*0.225</f>
        <v>1422945.8672813803</v>
      </c>
      <c r="P31" s="80">
        <f>IFERROR(O31/O$28,0)</f>
        <v>0.22500000000000001</v>
      </c>
      <c r="Q31" s="178">
        <f>+Q28*P31</f>
        <v>1465450.1912750027</v>
      </c>
      <c r="R31" s="80">
        <f>IFERROR(Q31/Q$28,0)</f>
        <v>0.22500000000000001</v>
      </c>
      <c r="S31" s="178">
        <f>+S28*R31</f>
        <v>1506616.2235511553</v>
      </c>
      <c r="T31" s="80">
        <f>IFERROR(S31/S$28,0)</f>
        <v>0.22500000000000001</v>
      </c>
      <c r="U31" s="178">
        <f>+U28*0.23</f>
        <v>1584246.8793584115</v>
      </c>
      <c r="V31" s="80">
        <f>IFERROR(U31/U$28,0)</f>
        <v>0.23</v>
      </c>
    </row>
    <row r="32" spans="1:24" ht="12.75" customHeight="1">
      <c r="A32" s="8" t="s">
        <v>381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382</v>
      </c>
      <c r="B33" s="53"/>
      <c r="C33" s="82">
        <f>SUM(C31:C32)</f>
        <v>1114046.42179968</v>
      </c>
      <c r="D33" s="83">
        <f>IFERROR(C33/C$28,0)</f>
        <v>0.188</v>
      </c>
      <c r="E33" s="82">
        <f>SUM(E31:E32)</f>
        <v>1167896.7784</v>
      </c>
      <c r="F33" s="83">
        <f>IFERROR(E33/E$28,0)</f>
        <v>0.22999999999999998</v>
      </c>
      <c r="G33" s="82">
        <f>SUM(G31:G32)</f>
        <v>1254290.4823999999</v>
      </c>
      <c r="H33" s="83">
        <f>IFERROR(G33/G$28,0)</f>
        <v>0.22999999999999998</v>
      </c>
      <c r="I33" s="82">
        <f>SUM(I31:I32)</f>
        <v>1187558.4294840002</v>
      </c>
      <c r="J33" s="83">
        <f>IFERROR(I33/I$28,0)</f>
        <v>0.21</v>
      </c>
      <c r="K33" s="82">
        <f>SUM(K31:K32)</f>
        <v>1249080.6389826238</v>
      </c>
      <c r="L33" s="83">
        <f>IFERROR(K33/K$28,0)</f>
        <v>0.20999999999999996</v>
      </c>
      <c r="M33" s="82">
        <f>SUM(M31:M32)</f>
        <v>1287746.6936260532</v>
      </c>
      <c r="N33" s="83">
        <f>IFERROR(M33/M$28,0)</f>
        <v>0.20999999999999996</v>
      </c>
      <c r="O33" s="82">
        <f>SUM(O31:O32)</f>
        <v>1422945.8672813803</v>
      </c>
      <c r="P33" s="83">
        <f>IFERROR(O33/O$28,0)</f>
        <v>0.22500000000000001</v>
      </c>
      <c r="Q33" s="82">
        <f>SUM(Q31:Q32)</f>
        <v>1465450.1912750027</v>
      </c>
      <c r="R33" s="83">
        <f>IFERROR(Q33/Q$28,0)</f>
        <v>0.22500000000000001</v>
      </c>
      <c r="S33" s="82">
        <f>SUM(S31:S32)</f>
        <v>1506616.2235511553</v>
      </c>
      <c r="T33" s="83">
        <f>IFERROR(S33/S$28,0)</f>
        <v>0.22500000000000001</v>
      </c>
      <c r="U33" s="82">
        <f>SUM(U31:U32)</f>
        <v>1584246.8793584115</v>
      </c>
      <c r="V33" s="83">
        <f>IFERROR(U33/U$28,0)</f>
        <v>0.23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383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384</v>
      </c>
      <c r="B36" s="35"/>
      <c r="C36" s="178">
        <v>199534</v>
      </c>
      <c r="D36" s="80">
        <f t="shared" ref="D36:D46" si="11">IFERROR(C36/C$28,0)</f>
        <v>3.367219827285188E-2</v>
      </c>
      <c r="E36" s="196">
        <f>+C36*1.02-50000</f>
        <v>153524.68</v>
      </c>
      <c r="F36" s="80">
        <f t="shared" ref="F36:F46" si="12">IFERROR(E36/E$28,0)</f>
        <v>3.023441544926176E-2</v>
      </c>
      <c r="G36" s="193">
        <f>+E36*1.025</f>
        <v>157362.79699999999</v>
      </c>
      <c r="H36" s="80">
        <f t="shared" ref="H36:H46" si="13">IFERROR(G36/G$28,0)</f>
        <v>2.8855710712837664E-2</v>
      </c>
      <c r="I36" s="193">
        <f>+G36*1.025</f>
        <v>161296.86692499998</v>
      </c>
      <c r="J36" s="80">
        <f t="shared" ref="J36:J46" si="14">IFERROR(I36/I$28,0)</f>
        <v>2.8522674096101267E-2</v>
      </c>
      <c r="K36" s="193">
        <f>+I36*1.02</f>
        <v>164522.80426349997</v>
      </c>
      <c r="L36" s="80">
        <f t="shared" ref="L36:L46" si="15">IFERROR(K36/K$28,0)</f>
        <v>2.7660174865472092E-2</v>
      </c>
      <c r="M36" s="193">
        <f>+K36*1.025</f>
        <v>168635.87437008746</v>
      </c>
      <c r="N36" s="80">
        <f t="shared" ref="N36:N46" si="16">IFERROR(M36/M$28,0)</f>
        <v>2.7500387920236465E-2</v>
      </c>
      <c r="O36" s="193">
        <f>+M36*1.025</f>
        <v>172851.77122933965</v>
      </c>
      <c r="P36" s="80">
        <f t="shared" ref="P36:P46" si="17">IFERROR(O36/O$28,0)</f>
        <v>2.7331783605307591E-2</v>
      </c>
      <c r="Q36" s="193">
        <f>+O36*1.02</f>
        <v>176308.80665392644</v>
      </c>
      <c r="R36" s="80">
        <f t="shared" ref="R36:R46" si="18">IFERROR(Q36/Q$28,0)</f>
        <v>2.706982586874505E-2</v>
      </c>
      <c r="S36" s="193">
        <f>+Q36*1.025-50000</f>
        <v>130716.52682027459</v>
      </c>
      <c r="T36" s="80">
        <f t="shared" ref="T36:T46" si="19">IFERROR(S36/S$28,0)</f>
        <v>1.9521373840803567E-2</v>
      </c>
      <c r="U36" s="193">
        <f>+S36*1.025</f>
        <v>133984.43999078145</v>
      </c>
      <c r="V36" s="80">
        <f t="shared" ref="V36:V46" si="20">IFERROR(U36/U$28,0)</f>
        <v>1.9451779643308985E-2</v>
      </c>
    </row>
    <row r="37" spans="1:22" ht="12.75" customHeight="1">
      <c r="A37" s="2" t="s">
        <v>385</v>
      </c>
      <c r="B37" s="35"/>
      <c r="C37" s="178">
        <f>510672-150000-50000</f>
        <v>310672</v>
      </c>
      <c r="D37" s="80">
        <f t="shared" si="11"/>
        <v>5.2427201288118515E-2</v>
      </c>
      <c r="E37" s="196">
        <f>+C37/1.1</f>
        <v>282429.09090909088</v>
      </c>
      <c r="F37" s="80">
        <f t="shared" si="12"/>
        <v>5.5620232978194593E-2</v>
      </c>
      <c r="G37" s="193">
        <f>+E37*1.025-50000</f>
        <v>239489.81818181812</v>
      </c>
      <c r="H37" s="80">
        <f t="shared" si="13"/>
        <v>4.3915391972377267E-2</v>
      </c>
      <c r="I37" s="193">
        <f>+G37*1.02</f>
        <v>244279.61454545447</v>
      </c>
      <c r="J37" s="80">
        <f t="shared" si="14"/>
        <v>4.3196795863623301E-2</v>
      </c>
      <c r="K37" s="193">
        <f>+I37*1.02</f>
        <v>249165.20683636356</v>
      </c>
      <c r="L37" s="80">
        <f t="shared" si="15"/>
        <v>4.1890564790320349E-2</v>
      </c>
      <c r="M37" s="193">
        <f t="shared" ref="G37:U39" si="21">+K37*1.025</f>
        <v>255394.33700727264</v>
      </c>
      <c r="N37" s="80">
        <f t="shared" si="16"/>
        <v>4.1648571910138099E-2</v>
      </c>
      <c r="O37" s="193">
        <f t="shared" si="21"/>
        <v>261779.19543245443</v>
      </c>
      <c r="P37" s="80">
        <f t="shared" si="17"/>
        <v>4.1393225369025941E-2</v>
      </c>
      <c r="Q37" s="193">
        <f>+O37*1.02</f>
        <v>267014.77934110351</v>
      </c>
      <c r="R37" s="80">
        <f t="shared" si="18"/>
        <v>4.0996497669755425E-2</v>
      </c>
      <c r="S37" s="193">
        <f>+Q37*1.02</f>
        <v>272355.0749279256</v>
      </c>
      <c r="T37" s="80">
        <f t="shared" si="19"/>
        <v>4.0673856354967473E-2</v>
      </c>
      <c r="U37" s="193">
        <f>+S37*1.02</f>
        <v>277802.17642648413</v>
      </c>
      <c r="V37" s="80">
        <f t="shared" si="20"/>
        <v>4.0331151293772696E-2</v>
      </c>
    </row>
    <row r="38" spans="1:22" ht="12.75" customHeight="1">
      <c r="A38" s="2" t="s">
        <v>386</v>
      </c>
      <c r="B38" s="35"/>
      <c r="C38" s="178">
        <f>341603-130000</f>
        <v>211603</v>
      </c>
      <c r="D38" s="80">
        <f t="shared" si="11"/>
        <v>3.5708892575351953E-2</v>
      </c>
      <c r="E38" s="196">
        <f>+C38/1.28</f>
        <v>165314.84375</v>
      </c>
      <c r="F38" s="80">
        <f t="shared" si="12"/>
        <v>3.2556313850432998E-2</v>
      </c>
      <c r="G38" s="193">
        <f t="shared" si="21"/>
        <v>169447.71484374997</v>
      </c>
      <c r="H38" s="80">
        <f t="shared" si="13"/>
        <v>3.1071729364867972E-2</v>
      </c>
      <c r="I38" s="193">
        <f>+G38*1.02</f>
        <v>172836.66914062496</v>
      </c>
      <c r="J38" s="80">
        <f t="shared" si="14"/>
        <v>3.0563296607899873E-2</v>
      </c>
      <c r="K38" s="193">
        <f>+I38*1.018</f>
        <v>175947.7291851562</v>
      </c>
      <c r="L38" s="80">
        <f t="shared" si="15"/>
        <v>2.9580974979307804E-2</v>
      </c>
      <c r="M38" s="193">
        <f t="shared" si="21"/>
        <v>180346.42241478511</v>
      </c>
      <c r="N38" s="80">
        <f t="shared" si="16"/>
        <v>2.941009198048283E-2</v>
      </c>
      <c r="O38" s="193">
        <f t="shared" si="21"/>
        <v>184855.08297515471</v>
      </c>
      <c r="P38" s="80">
        <f t="shared" si="17"/>
        <v>2.9229779309085359E-2</v>
      </c>
      <c r="Q38" s="193">
        <f>+O38*1.02</f>
        <v>188552.18463465781</v>
      </c>
      <c r="R38" s="80">
        <f t="shared" si="18"/>
        <v>2.8949630492652329E-2</v>
      </c>
      <c r="S38" s="193">
        <f>+Q38*1.02</f>
        <v>192323.22832735098</v>
      </c>
      <c r="T38" s="80">
        <f t="shared" si="19"/>
        <v>2.8721797692884528E-2</v>
      </c>
      <c r="U38" s="193">
        <f>+S38*1.02</f>
        <v>196169.692893898</v>
      </c>
      <c r="V38" s="80">
        <f t="shared" si="20"/>
        <v>2.8479796901268856E-2</v>
      </c>
    </row>
    <row r="39" spans="1:22" ht="12.75" customHeight="1">
      <c r="A39" s="2" t="s">
        <v>387</v>
      </c>
      <c r="B39" s="35"/>
      <c r="C39" s="178">
        <v>0</v>
      </c>
      <c r="D39" s="80">
        <f t="shared" si="11"/>
        <v>0</v>
      </c>
      <c r="E39" s="196">
        <f t="shared" ref="E39" si="22">C39*1.025</f>
        <v>0</v>
      </c>
      <c r="F39" s="80">
        <f t="shared" si="12"/>
        <v>0</v>
      </c>
      <c r="G39" s="193">
        <f t="shared" si="21"/>
        <v>0</v>
      </c>
      <c r="H39" s="80">
        <f t="shared" si="13"/>
        <v>0</v>
      </c>
      <c r="I39" s="193">
        <f t="shared" si="21"/>
        <v>0</v>
      </c>
      <c r="J39" s="80">
        <f t="shared" si="14"/>
        <v>0</v>
      </c>
      <c r="K39" s="193">
        <f t="shared" si="21"/>
        <v>0</v>
      </c>
      <c r="L39" s="80">
        <f t="shared" si="15"/>
        <v>0</v>
      </c>
      <c r="M39" s="193">
        <f t="shared" si="21"/>
        <v>0</v>
      </c>
      <c r="N39" s="80">
        <f t="shared" si="16"/>
        <v>0</v>
      </c>
      <c r="O39" s="193">
        <f t="shared" si="21"/>
        <v>0</v>
      </c>
      <c r="P39" s="80">
        <f t="shared" si="17"/>
        <v>0</v>
      </c>
      <c r="Q39" s="193">
        <f t="shared" si="21"/>
        <v>0</v>
      </c>
      <c r="R39" s="80">
        <f t="shared" si="18"/>
        <v>0</v>
      </c>
      <c r="S39" s="193">
        <f t="shared" si="21"/>
        <v>0</v>
      </c>
      <c r="T39" s="80">
        <f t="shared" si="19"/>
        <v>0</v>
      </c>
      <c r="U39" s="193">
        <f t="shared" si="21"/>
        <v>0</v>
      </c>
      <c r="V39" s="80">
        <f t="shared" si="20"/>
        <v>0</v>
      </c>
    </row>
    <row r="40" spans="1:22" ht="12.75" customHeight="1">
      <c r="A40" s="2" t="s">
        <v>388</v>
      </c>
      <c r="B40" s="35"/>
      <c r="C40" s="178">
        <f>C36*0.124</f>
        <v>24742.216</v>
      </c>
      <c r="D40" s="80">
        <f t="shared" si="11"/>
        <v>4.1753525858336336E-3</v>
      </c>
      <c r="E40" s="178">
        <f>E36*0.124</f>
        <v>19037.060320000001</v>
      </c>
      <c r="F40" s="80">
        <f t="shared" si="12"/>
        <v>3.7490675157084586E-3</v>
      </c>
      <c r="G40" s="178">
        <f>G36*0.124</f>
        <v>19512.986827999997</v>
      </c>
      <c r="H40" s="80">
        <f t="shared" si="13"/>
        <v>3.5781081283918696E-3</v>
      </c>
      <c r="I40" s="178">
        <f>I36*0.124</f>
        <v>20000.811498699997</v>
      </c>
      <c r="J40" s="80">
        <f t="shared" si="14"/>
        <v>3.536811587916557E-3</v>
      </c>
      <c r="K40" s="178">
        <f>K36*0.124</f>
        <v>20400.827728673998</v>
      </c>
      <c r="L40" s="80">
        <f t="shared" si="15"/>
        <v>3.4298616833185395E-3</v>
      </c>
      <c r="M40" s="178">
        <f>M36*0.124</f>
        <v>20910.848421890845</v>
      </c>
      <c r="N40" s="80">
        <f t="shared" si="16"/>
        <v>3.4100481021093216E-3</v>
      </c>
      <c r="O40" s="178">
        <f>O36*0.124</f>
        <v>21433.619632438116</v>
      </c>
      <c r="P40" s="80">
        <f t="shared" si="17"/>
        <v>3.3891411670581412E-3</v>
      </c>
      <c r="Q40" s="178">
        <f>Q36*0.124</f>
        <v>21862.292025086877</v>
      </c>
      <c r="R40" s="80">
        <f t="shared" si="18"/>
        <v>3.3566584077243861E-3</v>
      </c>
      <c r="S40" s="178">
        <f>S36*0.124</f>
        <v>16208.849325714049</v>
      </c>
      <c r="T40" s="80">
        <f t="shared" si="19"/>
        <v>2.4206503562596423E-3</v>
      </c>
      <c r="U40" s="178">
        <f>U36*0.124</f>
        <v>16614.0705588569</v>
      </c>
      <c r="V40" s="80">
        <f t="shared" si="20"/>
        <v>2.4120206757703142E-3</v>
      </c>
    </row>
    <row r="41" spans="1:22" ht="12.75" customHeight="1">
      <c r="A41" s="2" t="s">
        <v>389</v>
      </c>
      <c r="B41" s="35"/>
      <c r="C41" s="178">
        <f>C37*0.124</f>
        <v>38523.328000000001</v>
      </c>
      <c r="D41" s="80">
        <f t="shared" si="11"/>
        <v>6.5009729597266955E-3</v>
      </c>
      <c r="E41" s="178">
        <f>E37*0.124</f>
        <v>35021.207272727268</v>
      </c>
      <c r="F41" s="80">
        <f t="shared" si="12"/>
        <v>6.8969088892961291E-3</v>
      </c>
      <c r="G41" s="178">
        <f>G37*0.124</f>
        <v>29696.737454545448</v>
      </c>
      <c r="H41" s="80">
        <f t="shared" si="13"/>
        <v>5.4455086045747808E-3</v>
      </c>
      <c r="I41" s="178">
        <f>I37*0.124</f>
        <v>30290.672203636354</v>
      </c>
      <c r="J41" s="80">
        <f t="shared" si="14"/>
        <v>5.3564026870892888E-3</v>
      </c>
      <c r="K41" s="178">
        <f>K37*0.124</f>
        <v>30896.48564770908</v>
      </c>
      <c r="L41" s="80">
        <f t="shared" si="15"/>
        <v>5.1944300339997231E-3</v>
      </c>
      <c r="M41" s="178">
        <f>M37*0.124</f>
        <v>31668.897788901806</v>
      </c>
      <c r="N41" s="80">
        <f t="shared" si="16"/>
        <v>5.1644229168571233E-3</v>
      </c>
      <c r="O41" s="178">
        <f>O37*0.124</f>
        <v>32460.620233624351</v>
      </c>
      <c r="P41" s="80">
        <f t="shared" si="17"/>
        <v>5.1327599457592164E-3</v>
      </c>
      <c r="Q41" s="178">
        <f>Q37*0.124</f>
        <v>33109.832638296837</v>
      </c>
      <c r="R41" s="80">
        <f t="shared" si="18"/>
        <v>5.0835657110496731E-3</v>
      </c>
      <c r="S41" s="178">
        <f>S37*0.124</f>
        <v>33772.029291062776</v>
      </c>
      <c r="T41" s="80">
        <f t="shared" si="19"/>
        <v>5.0435581880159674E-3</v>
      </c>
      <c r="U41" s="178">
        <f>U37*0.124</f>
        <v>34447.469876884032</v>
      </c>
      <c r="V41" s="80">
        <f t="shared" si="20"/>
        <v>5.0010627604278142E-3</v>
      </c>
    </row>
    <row r="42" spans="1:22" ht="12.75" customHeight="1">
      <c r="A42" s="2" t="s">
        <v>390</v>
      </c>
      <c r="B42" s="35"/>
      <c r="C42" s="178">
        <v>0</v>
      </c>
      <c r="D42" s="80">
        <f t="shared" si="11"/>
        <v>0</v>
      </c>
      <c r="E42" s="178">
        <v>0</v>
      </c>
      <c r="F42" s="80">
        <f t="shared" si="12"/>
        <v>0</v>
      </c>
      <c r="G42" s="178">
        <v>0</v>
      </c>
      <c r="H42" s="80">
        <f t="shared" si="13"/>
        <v>0</v>
      </c>
      <c r="I42" s="178">
        <v>0</v>
      </c>
      <c r="J42" s="80">
        <f t="shared" si="14"/>
        <v>0</v>
      </c>
      <c r="K42" s="178">
        <v>0</v>
      </c>
      <c r="L42" s="80">
        <f t="shared" si="15"/>
        <v>0</v>
      </c>
      <c r="M42" s="178">
        <v>0</v>
      </c>
      <c r="N42" s="80">
        <f t="shared" si="16"/>
        <v>0</v>
      </c>
      <c r="O42" s="178">
        <v>0</v>
      </c>
      <c r="P42" s="80">
        <f t="shared" si="17"/>
        <v>0</v>
      </c>
      <c r="Q42" s="178">
        <v>0</v>
      </c>
      <c r="R42" s="80">
        <f t="shared" si="18"/>
        <v>0</v>
      </c>
      <c r="S42" s="178">
        <v>0</v>
      </c>
      <c r="T42" s="80">
        <f t="shared" si="19"/>
        <v>0</v>
      </c>
      <c r="U42" s="178">
        <v>0</v>
      </c>
      <c r="V42" s="80">
        <f t="shared" si="20"/>
        <v>0</v>
      </c>
    </row>
    <row r="43" spans="1:22" ht="12.75" customHeight="1">
      <c r="A43" s="2" t="s">
        <v>391</v>
      </c>
      <c r="B43" s="35"/>
      <c r="C43" s="178">
        <v>0</v>
      </c>
      <c r="D43" s="80">
        <f t="shared" si="11"/>
        <v>0</v>
      </c>
      <c r="E43" s="178">
        <v>0</v>
      </c>
      <c r="F43" s="80">
        <f t="shared" si="12"/>
        <v>0</v>
      </c>
      <c r="G43" s="178">
        <v>0</v>
      </c>
      <c r="H43" s="80">
        <f t="shared" si="13"/>
        <v>0</v>
      </c>
      <c r="I43" s="178">
        <v>0</v>
      </c>
      <c r="J43" s="80">
        <f t="shared" si="14"/>
        <v>0</v>
      </c>
      <c r="K43" s="178">
        <v>0</v>
      </c>
      <c r="L43" s="80">
        <f t="shared" si="15"/>
        <v>0</v>
      </c>
      <c r="M43" s="178">
        <v>0</v>
      </c>
      <c r="N43" s="80">
        <f t="shared" si="16"/>
        <v>0</v>
      </c>
      <c r="O43" s="178">
        <v>0</v>
      </c>
      <c r="P43" s="80">
        <f t="shared" si="17"/>
        <v>0</v>
      </c>
      <c r="Q43" s="178">
        <v>0</v>
      </c>
      <c r="R43" s="80">
        <f t="shared" si="18"/>
        <v>0</v>
      </c>
      <c r="S43" s="178">
        <v>0</v>
      </c>
      <c r="T43" s="80">
        <f t="shared" si="19"/>
        <v>0</v>
      </c>
      <c r="U43" s="178">
        <v>0</v>
      </c>
      <c r="V43" s="80">
        <f t="shared" si="20"/>
        <v>0</v>
      </c>
    </row>
    <row r="44" spans="1:22" ht="12.75" customHeight="1">
      <c r="A44" s="2" t="s">
        <v>392</v>
      </c>
      <c r="B44" s="35"/>
      <c r="C44" s="178">
        <v>0</v>
      </c>
      <c r="D44" s="80">
        <f t="shared" si="11"/>
        <v>0</v>
      </c>
      <c r="E44" s="178">
        <v>0</v>
      </c>
      <c r="F44" s="80">
        <f t="shared" si="12"/>
        <v>0</v>
      </c>
      <c r="G44" s="178">
        <v>0</v>
      </c>
      <c r="H44" s="80">
        <f t="shared" si="13"/>
        <v>0</v>
      </c>
      <c r="I44" s="178">
        <v>0</v>
      </c>
      <c r="J44" s="80">
        <f t="shared" si="14"/>
        <v>0</v>
      </c>
      <c r="K44" s="178">
        <v>0</v>
      </c>
      <c r="L44" s="80">
        <f t="shared" si="15"/>
        <v>0</v>
      </c>
      <c r="M44" s="178">
        <v>0</v>
      </c>
      <c r="N44" s="80">
        <f t="shared" si="16"/>
        <v>0</v>
      </c>
      <c r="O44" s="178">
        <v>0</v>
      </c>
      <c r="P44" s="80">
        <f t="shared" si="17"/>
        <v>0</v>
      </c>
      <c r="Q44" s="178">
        <v>0</v>
      </c>
      <c r="R44" s="80">
        <f t="shared" si="18"/>
        <v>0</v>
      </c>
      <c r="S44" s="178">
        <v>0</v>
      </c>
      <c r="T44" s="80">
        <f t="shared" si="19"/>
        <v>0</v>
      </c>
      <c r="U44" s="178">
        <v>0</v>
      </c>
      <c r="V44" s="80">
        <f t="shared" si="20"/>
        <v>0</v>
      </c>
    </row>
    <row r="45" spans="1:22" ht="12.75" customHeight="1">
      <c r="A45" s="2" t="s">
        <v>393</v>
      </c>
      <c r="B45" s="35"/>
      <c r="C45" s="181">
        <f>SUM(C36:C39)*0.095</f>
        <v>68571.854999999996</v>
      </c>
      <c r="D45" s="80">
        <f t="shared" si="11"/>
        <v>1.1571787752950622E-2</v>
      </c>
      <c r="E45" s="181">
        <f>SUM(E36:E39)*0.095</f>
        <v>57120.518392613631</v>
      </c>
      <c r="F45" s="80">
        <f t="shared" si="12"/>
        <v>1.1249041416399487E-2</v>
      </c>
      <c r="G45" s="181">
        <f>SUM(G36:G39)*0.095</f>
        <v>53798.531352428974</v>
      </c>
      <c r="H45" s="80">
        <f t="shared" si="13"/>
        <v>9.8650690447578768E-3</v>
      </c>
      <c r="I45" s="181">
        <f>SUM(I36:I39)*0.095</f>
        <v>54949.249308052546</v>
      </c>
      <c r="J45" s="80">
        <f t="shared" si="14"/>
        <v>9.7168628239243226E-3</v>
      </c>
      <c r="K45" s="181">
        <f>SUM(K36:K39)*0.095</f>
        <v>56015.395327076876</v>
      </c>
      <c r="L45" s="80">
        <f t="shared" si="15"/>
        <v>9.4175128903345225E-3</v>
      </c>
      <c r="M45" s="181">
        <f>SUM(M36:M39)*0.095</f>
        <v>57415.78021025379</v>
      </c>
      <c r="N45" s="80">
        <f t="shared" si="16"/>
        <v>9.3631099220314509E-3</v>
      </c>
      <c r="O45" s="181">
        <f>SUM(O36:O39)*0.095</f>
        <v>58851.17471551014</v>
      </c>
      <c r="P45" s="80">
        <f t="shared" si="17"/>
        <v>9.3057048869247955E-3</v>
      </c>
      <c r="Q45" s="181">
        <f>SUM(Q36:Q39)*0.095</f>
        <v>60028.19820982033</v>
      </c>
      <c r="R45" s="80">
        <f t="shared" si="18"/>
        <v>9.2165156329595162E-3</v>
      </c>
      <c r="S45" s="181">
        <f>SUM(S36:S39)*0.095</f>
        <v>56562.508857177359</v>
      </c>
      <c r="T45" s="80">
        <f t="shared" si="19"/>
        <v>8.4471176494222786E-3</v>
      </c>
      <c r="U45" s="181">
        <f>SUM(U36:U39)*0.095</f>
        <v>57755.849384560541</v>
      </c>
      <c r="V45" s="80">
        <f t="shared" si="20"/>
        <v>8.3849591446433017E-3</v>
      </c>
    </row>
    <row r="46" spans="1:22" ht="12.75" customHeight="1">
      <c r="A46" s="1" t="s">
        <v>394</v>
      </c>
      <c r="B46" s="53"/>
      <c r="C46" s="82">
        <f>SUM(C36:C45)</f>
        <v>853646.39899999998</v>
      </c>
      <c r="D46" s="83">
        <f t="shared" si="11"/>
        <v>0.14405640543483331</v>
      </c>
      <c r="E46" s="82">
        <f>SUM(E36:E45)</f>
        <v>712447.40064443182</v>
      </c>
      <c r="F46" s="83">
        <f t="shared" si="12"/>
        <v>0.14030598009929343</v>
      </c>
      <c r="G46" s="82">
        <f>SUM(G36:G45)</f>
        <v>669308.58566054259</v>
      </c>
      <c r="H46" s="83">
        <f t="shared" si="13"/>
        <v>0.12273151782780745</v>
      </c>
      <c r="I46" s="82">
        <f>SUM(I36:I45)</f>
        <v>683653.88362146833</v>
      </c>
      <c r="J46" s="83">
        <f t="shared" si="14"/>
        <v>0.1208928436665546</v>
      </c>
      <c r="K46" s="82">
        <f>SUM(K36:K45)</f>
        <v>696948.44898847979</v>
      </c>
      <c r="L46" s="83">
        <f t="shared" si="15"/>
        <v>0.11717351924275304</v>
      </c>
      <c r="M46" s="82">
        <f>SUM(M36:M45)</f>
        <v>714372.16021319164</v>
      </c>
      <c r="N46" s="83">
        <f t="shared" si="16"/>
        <v>0.11649663275185529</v>
      </c>
      <c r="O46" s="82">
        <f>SUM(O36:O45)</f>
        <v>732231.46421852137</v>
      </c>
      <c r="P46" s="83">
        <f t="shared" si="17"/>
        <v>0.11578239428316103</v>
      </c>
      <c r="Q46" s="82">
        <f>SUM(Q36:Q45)</f>
        <v>746876.09350289183</v>
      </c>
      <c r="R46" s="83">
        <f t="shared" si="18"/>
        <v>0.11467269378288639</v>
      </c>
      <c r="S46" s="82">
        <f>SUM(S36:S45)</f>
        <v>701938.21754950529</v>
      </c>
      <c r="T46" s="83">
        <f t="shared" si="19"/>
        <v>0.10482835408235346</v>
      </c>
      <c r="U46" s="82">
        <f>SUM(U36:U45)</f>
        <v>716773.69913146505</v>
      </c>
      <c r="V46" s="83">
        <f t="shared" si="20"/>
        <v>0.10406077041919197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366</v>
      </c>
      <c r="E50" s="86" t="str">
        <f>E6</f>
        <v>FY 2019-20</v>
      </c>
      <c r="F50" s="86" t="s">
        <v>366</v>
      </c>
      <c r="G50" s="86" t="str">
        <f>G6</f>
        <v>FY 2020-21</v>
      </c>
      <c r="H50" s="86" t="s">
        <v>366</v>
      </c>
      <c r="I50" s="86" t="str">
        <f>I6</f>
        <v>FY 2021-22</v>
      </c>
      <c r="J50" s="86" t="s">
        <v>366</v>
      </c>
      <c r="K50" s="86" t="str">
        <f>K6</f>
        <v>FY 2022-23</v>
      </c>
      <c r="L50" s="86" t="s">
        <v>366</v>
      </c>
      <c r="M50" s="86" t="str">
        <f>M6</f>
        <v>FY 2023-24</v>
      </c>
      <c r="N50" s="86" t="s">
        <v>366</v>
      </c>
      <c r="O50" s="86" t="str">
        <f>O6</f>
        <v>FY 2024-25</v>
      </c>
      <c r="P50" s="86" t="s">
        <v>366</v>
      </c>
      <c r="Q50" s="86" t="str">
        <f>Q6</f>
        <v>FY 2025-26</v>
      </c>
      <c r="R50" s="86" t="s">
        <v>366</v>
      </c>
      <c r="S50" s="86" t="str">
        <f>S6</f>
        <v>FY 2026-27</v>
      </c>
      <c r="T50" s="86" t="s">
        <v>366</v>
      </c>
      <c r="U50" s="86" t="str">
        <f>U6</f>
        <v>FY 2027-28</v>
      </c>
      <c r="V50" s="86" t="s">
        <v>366</v>
      </c>
    </row>
    <row r="51" spans="1:24" ht="12.75" customHeight="1">
      <c r="A51" s="1" t="s">
        <v>395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396</v>
      </c>
      <c r="B52" s="35"/>
      <c r="C52" s="178">
        <v>0</v>
      </c>
      <c r="D52" s="80">
        <f t="shared" ref="D52:D83" si="23">IFERROR(C52/C$28,0)</f>
        <v>0</v>
      </c>
      <c r="E52" s="178">
        <v>0</v>
      </c>
      <c r="F52" s="80">
        <f t="shared" ref="F52:F83" si="24">IFERROR(E52/E$28,0)</f>
        <v>0</v>
      </c>
      <c r="G52" s="178">
        <v>0</v>
      </c>
      <c r="H52" s="80">
        <f t="shared" ref="H52:H83" si="25">IFERROR(G52/G$28,0)</f>
        <v>0</v>
      </c>
      <c r="I52" s="178">
        <v>0</v>
      </c>
      <c r="J52" s="80">
        <f t="shared" ref="J52:J83" si="26">IFERROR(I52/I$28,0)</f>
        <v>0</v>
      </c>
      <c r="K52" s="178">
        <v>0</v>
      </c>
      <c r="L52" s="80">
        <f t="shared" ref="L52:L83" si="27">IFERROR(K52/K$28,0)</f>
        <v>0</v>
      </c>
      <c r="M52" s="178">
        <v>0</v>
      </c>
      <c r="N52" s="80">
        <f t="shared" ref="N52:N83" si="28">IFERROR(M52/M$28,0)</f>
        <v>0</v>
      </c>
      <c r="O52" s="178">
        <v>0</v>
      </c>
      <c r="P52" s="80">
        <f t="shared" ref="P52:P83" si="29">IFERROR(O52/O$28,0)</f>
        <v>0</v>
      </c>
      <c r="Q52" s="178">
        <v>0</v>
      </c>
      <c r="R52" s="80">
        <f t="shared" ref="R52:R83" si="30">IFERROR(Q52/Q$28,0)</f>
        <v>0</v>
      </c>
      <c r="S52" s="178">
        <v>0</v>
      </c>
      <c r="T52" s="80">
        <f t="shared" ref="T52:T83" si="31">IFERROR(S52/S$28,0)</f>
        <v>0</v>
      </c>
      <c r="U52" s="178">
        <v>0</v>
      </c>
      <c r="V52" s="80">
        <f t="shared" ref="V52:V83" si="32">IFERROR(U52/U$28,0)</f>
        <v>0</v>
      </c>
      <c r="X52" s="192"/>
    </row>
    <row r="53" spans="1:24" ht="12.75" customHeight="1">
      <c r="A53" s="2" t="s">
        <v>397</v>
      </c>
      <c r="B53" s="35"/>
      <c r="C53" s="178">
        <v>0</v>
      </c>
      <c r="D53" s="80">
        <f t="shared" si="23"/>
        <v>0</v>
      </c>
      <c r="E53" s="178">
        <v>0</v>
      </c>
      <c r="F53" s="80">
        <f t="shared" si="24"/>
        <v>0</v>
      </c>
      <c r="G53" s="178">
        <v>0</v>
      </c>
      <c r="H53" s="80">
        <f t="shared" si="25"/>
        <v>0</v>
      </c>
      <c r="I53" s="178">
        <v>0</v>
      </c>
      <c r="J53" s="80">
        <f t="shared" si="26"/>
        <v>0</v>
      </c>
      <c r="K53" s="178">
        <v>0</v>
      </c>
      <c r="L53" s="80">
        <f t="shared" si="27"/>
        <v>0</v>
      </c>
      <c r="M53" s="178">
        <v>0</v>
      </c>
      <c r="N53" s="80">
        <f t="shared" si="28"/>
        <v>0</v>
      </c>
      <c r="O53" s="178">
        <v>0</v>
      </c>
      <c r="P53" s="80">
        <f t="shared" si="29"/>
        <v>0</v>
      </c>
      <c r="Q53" s="178">
        <v>0</v>
      </c>
      <c r="R53" s="80">
        <f t="shared" si="30"/>
        <v>0</v>
      </c>
      <c r="S53" s="178">
        <v>0</v>
      </c>
      <c r="T53" s="80">
        <f t="shared" si="31"/>
        <v>0</v>
      </c>
      <c r="U53" s="178">
        <v>0</v>
      </c>
      <c r="V53" s="80">
        <f t="shared" si="32"/>
        <v>0</v>
      </c>
      <c r="X53" s="192"/>
    </row>
    <row r="54" spans="1:24" ht="12.75" customHeight="1">
      <c r="A54" s="2" t="s">
        <v>398</v>
      </c>
      <c r="B54" s="35"/>
      <c r="C54" s="178">
        <v>4148.0451875519993</v>
      </c>
      <c r="D54" s="80">
        <f t="shared" si="23"/>
        <v>6.9999999999999988E-4</v>
      </c>
      <c r="E54" s="178">
        <v>3554.4684560000001</v>
      </c>
      <c r="F54" s="80">
        <f t="shared" si="24"/>
        <v>6.9999999999999999E-4</v>
      </c>
      <c r="G54" s="178">
        <v>3817.405816</v>
      </c>
      <c r="H54" s="80">
        <f t="shared" si="25"/>
        <v>6.9999999999999999E-4</v>
      </c>
      <c r="I54" s="178">
        <v>3958.5280982800009</v>
      </c>
      <c r="J54" s="80">
        <f t="shared" si="26"/>
        <v>7.000000000000001E-4</v>
      </c>
      <c r="K54" s="178">
        <v>4163.60212994208</v>
      </c>
      <c r="L54" s="80">
        <f t="shared" si="27"/>
        <v>6.9999999999999999E-4</v>
      </c>
      <c r="M54" s="178">
        <v>4292.4889787535112</v>
      </c>
      <c r="N54" s="80">
        <f t="shared" si="28"/>
        <v>6.9999999999999999E-4</v>
      </c>
      <c r="O54" s="178">
        <v>4426.9426982087389</v>
      </c>
      <c r="P54" s="80">
        <f t="shared" si="29"/>
        <v>6.9999999999999999E-4</v>
      </c>
      <c r="Q54" s="178">
        <v>4559.1783728555647</v>
      </c>
      <c r="R54" s="80">
        <f t="shared" si="30"/>
        <v>7.000000000000001E-4</v>
      </c>
      <c r="S54" s="178">
        <v>4687.250473270261</v>
      </c>
      <c r="T54" s="80">
        <f t="shared" si="31"/>
        <v>6.9999999999999999E-4</v>
      </c>
      <c r="U54" s="178">
        <v>4821.6209371777741</v>
      </c>
      <c r="V54" s="80">
        <f t="shared" si="32"/>
        <v>6.9999999999999999E-4</v>
      </c>
      <c r="X54" s="192"/>
    </row>
    <row r="55" spans="1:24" ht="12.75" customHeight="1">
      <c r="A55" s="2" t="s">
        <v>399</v>
      </c>
      <c r="B55" s="35"/>
      <c r="C55" s="178">
        <v>0</v>
      </c>
      <c r="D55" s="80">
        <f t="shared" si="23"/>
        <v>0</v>
      </c>
      <c r="E55" s="178">
        <v>0</v>
      </c>
      <c r="F55" s="80">
        <f t="shared" si="24"/>
        <v>0</v>
      </c>
      <c r="G55" s="178">
        <v>0</v>
      </c>
      <c r="H55" s="80">
        <f t="shared" si="25"/>
        <v>0</v>
      </c>
      <c r="I55" s="178">
        <v>0</v>
      </c>
      <c r="J55" s="80">
        <f t="shared" si="26"/>
        <v>0</v>
      </c>
      <c r="K55" s="178">
        <v>0</v>
      </c>
      <c r="L55" s="80">
        <f t="shared" si="27"/>
        <v>0</v>
      </c>
      <c r="M55" s="178">
        <v>0</v>
      </c>
      <c r="N55" s="80">
        <f t="shared" si="28"/>
        <v>0</v>
      </c>
      <c r="O55" s="178">
        <v>0</v>
      </c>
      <c r="P55" s="80">
        <f t="shared" si="29"/>
        <v>0</v>
      </c>
      <c r="Q55" s="178">
        <v>0</v>
      </c>
      <c r="R55" s="80">
        <f t="shared" si="30"/>
        <v>0</v>
      </c>
      <c r="S55" s="178">
        <v>0</v>
      </c>
      <c r="T55" s="80">
        <f t="shared" si="31"/>
        <v>0</v>
      </c>
      <c r="U55" s="178">
        <v>0</v>
      </c>
      <c r="V55" s="80">
        <f t="shared" si="32"/>
        <v>0</v>
      </c>
      <c r="X55" s="192"/>
    </row>
    <row r="56" spans="1:24" ht="12.75" customHeight="1">
      <c r="A56" s="2" t="s">
        <v>400</v>
      </c>
      <c r="B56" s="35"/>
      <c r="C56" s="178">
        <v>3022.1472080735998</v>
      </c>
      <c r="D56" s="80">
        <f t="shared" si="23"/>
        <v>5.1000000000000004E-4</v>
      </c>
      <c r="E56" s="178">
        <v>2589.6841608000004</v>
      </c>
      <c r="F56" s="80">
        <f t="shared" si="24"/>
        <v>5.1000000000000004E-4</v>
      </c>
      <c r="G56" s="178">
        <v>2781.2528088000004</v>
      </c>
      <c r="H56" s="80">
        <f t="shared" si="25"/>
        <v>5.1000000000000004E-4</v>
      </c>
      <c r="I56" s="178">
        <v>2884.0704716040009</v>
      </c>
      <c r="J56" s="80">
        <f t="shared" si="26"/>
        <v>5.1000000000000004E-4</v>
      </c>
      <c r="K56" s="178">
        <v>3033.4815518149439</v>
      </c>
      <c r="L56" s="80">
        <f t="shared" si="27"/>
        <v>5.1000000000000004E-4</v>
      </c>
      <c r="M56" s="178">
        <v>3127.3848273775584</v>
      </c>
      <c r="N56" s="80">
        <f t="shared" si="28"/>
        <v>5.1000000000000004E-4</v>
      </c>
      <c r="O56" s="178">
        <v>3225.3439658377956</v>
      </c>
      <c r="P56" s="80">
        <f t="shared" si="29"/>
        <v>5.1000000000000004E-4</v>
      </c>
      <c r="Q56" s="178">
        <v>3321.6871002233402</v>
      </c>
      <c r="R56" s="80">
        <f t="shared" si="30"/>
        <v>5.1000000000000015E-4</v>
      </c>
      <c r="S56" s="178">
        <v>3414.9967733826188</v>
      </c>
      <c r="T56" s="80">
        <f t="shared" si="31"/>
        <v>5.1000000000000004E-4</v>
      </c>
      <c r="U56" s="178">
        <v>3512.895254229521</v>
      </c>
      <c r="V56" s="80">
        <f t="shared" si="32"/>
        <v>5.1000000000000004E-4</v>
      </c>
      <c r="X56" s="192"/>
    </row>
    <row r="57" spans="1:24" ht="12.75" customHeight="1">
      <c r="A57" s="2" t="s">
        <v>401</v>
      </c>
      <c r="B57" s="35"/>
      <c r="C57" s="178">
        <v>0</v>
      </c>
      <c r="D57" s="80">
        <f t="shared" si="23"/>
        <v>0</v>
      </c>
      <c r="E57" s="178">
        <v>0</v>
      </c>
      <c r="F57" s="80">
        <f t="shared" si="24"/>
        <v>0</v>
      </c>
      <c r="G57" s="178">
        <v>0</v>
      </c>
      <c r="H57" s="80">
        <f t="shared" si="25"/>
        <v>0</v>
      </c>
      <c r="I57" s="178">
        <v>0</v>
      </c>
      <c r="J57" s="80">
        <f t="shared" si="26"/>
        <v>0</v>
      </c>
      <c r="K57" s="178">
        <v>0</v>
      </c>
      <c r="L57" s="80">
        <f t="shared" si="27"/>
        <v>0</v>
      </c>
      <c r="M57" s="178">
        <v>0</v>
      </c>
      <c r="N57" s="80">
        <f t="shared" si="28"/>
        <v>0</v>
      </c>
      <c r="O57" s="178">
        <v>0</v>
      </c>
      <c r="P57" s="80">
        <f t="shared" si="29"/>
        <v>0</v>
      </c>
      <c r="Q57" s="178">
        <v>0</v>
      </c>
      <c r="R57" s="80">
        <f t="shared" si="30"/>
        <v>0</v>
      </c>
      <c r="S57" s="178">
        <v>0</v>
      </c>
      <c r="T57" s="80">
        <f t="shared" si="31"/>
        <v>0</v>
      </c>
      <c r="U57" s="178">
        <v>0</v>
      </c>
      <c r="V57" s="80">
        <f t="shared" si="32"/>
        <v>0</v>
      </c>
      <c r="X57" s="192"/>
    </row>
    <row r="58" spans="1:24" ht="12.75" customHeight="1">
      <c r="A58" s="2" t="s">
        <v>402</v>
      </c>
      <c r="B58" s="35"/>
      <c r="C58" s="178">
        <v>0</v>
      </c>
      <c r="D58" s="80">
        <f t="shared" si="23"/>
        <v>0</v>
      </c>
      <c r="E58" s="178">
        <v>0</v>
      </c>
      <c r="F58" s="80">
        <f t="shared" si="24"/>
        <v>0</v>
      </c>
      <c r="G58" s="178">
        <v>0</v>
      </c>
      <c r="H58" s="80">
        <f t="shared" si="25"/>
        <v>0</v>
      </c>
      <c r="I58" s="178">
        <v>0</v>
      </c>
      <c r="J58" s="80">
        <f t="shared" si="26"/>
        <v>0</v>
      </c>
      <c r="K58" s="178">
        <v>0</v>
      </c>
      <c r="L58" s="80">
        <f t="shared" si="27"/>
        <v>0</v>
      </c>
      <c r="M58" s="178">
        <v>0</v>
      </c>
      <c r="N58" s="80">
        <f t="shared" si="28"/>
        <v>0</v>
      </c>
      <c r="O58" s="178">
        <v>0</v>
      </c>
      <c r="P58" s="80">
        <f t="shared" si="29"/>
        <v>0</v>
      </c>
      <c r="Q58" s="178">
        <v>0</v>
      </c>
      <c r="R58" s="80">
        <f t="shared" si="30"/>
        <v>0</v>
      </c>
      <c r="S58" s="178">
        <v>0</v>
      </c>
      <c r="T58" s="80">
        <f t="shared" si="31"/>
        <v>0</v>
      </c>
      <c r="U58" s="178">
        <v>0</v>
      </c>
      <c r="V58" s="80">
        <f t="shared" si="32"/>
        <v>0</v>
      </c>
      <c r="X58" s="192"/>
    </row>
    <row r="59" spans="1:24" ht="12.75" customHeight="1">
      <c r="A59" s="2" t="s">
        <v>403</v>
      </c>
      <c r="B59" s="35"/>
      <c r="C59" s="178"/>
      <c r="D59" s="80">
        <f>IFERROR(C59/C$28,0)</f>
        <v>0</v>
      </c>
      <c r="E59" s="178"/>
      <c r="F59" s="80">
        <f t="shared" si="24"/>
        <v>0</v>
      </c>
      <c r="G59" s="178"/>
      <c r="H59" s="80">
        <f t="shared" si="25"/>
        <v>0</v>
      </c>
      <c r="I59" s="178"/>
      <c r="J59" s="80">
        <f t="shared" si="26"/>
        <v>0</v>
      </c>
      <c r="K59" s="178"/>
      <c r="L59" s="80">
        <f t="shared" si="27"/>
        <v>0</v>
      </c>
      <c r="M59" s="178"/>
      <c r="N59" s="80">
        <f t="shared" si="28"/>
        <v>0</v>
      </c>
      <c r="O59" s="178"/>
      <c r="P59" s="80">
        <f t="shared" si="29"/>
        <v>0</v>
      </c>
      <c r="Q59" s="178"/>
      <c r="R59" s="80">
        <f t="shared" si="30"/>
        <v>0</v>
      </c>
      <c r="S59" s="178"/>
      <c r="T59" s="80">
        <f t="shared" si="31"/>
        <v>0</v>
      </c>
      <c r="U59" s="178"/>
      <c r="V59" s="80">
        <f t="shared" si="32"/>
        <v>0</v>
      </c>
      <c r="X59" s="192"/>
    </row>
    <row r="60" spans="1:24" ht="12.75" customHeight="1">
      <c r="A60" s="2" t="s">
        <v>404</v>
      </c>
      <c r="B60" s="35"/>
      <c r="C60" s="178">
        <v>0</v>
      </c>
      <c r="D60" s="80">
        <f t="shared" si="23"/>
        <v>0</v>
      </c>
      <c r="E60" s="178">
        <v>0</v>
      </c>
      <c r="F60" s="80">
        <f t="shared" si="24"/>
        <v>0</v>
      </c>
      <c r="G60" s="178">
        <v>0</v>
      </c>
      <c r="H60" s="80">
        <f t="shared" si="25"/>
        <v>0</v>
      </c>
      <c r="I60" s="178">
        <v>0</v>
      </c>
      <c r="J60" s="80">
        <f t="shared" si="26"/>
        <v>0</v>
      </c>
      <c r="K60" s="178">
        <v>0</v>
      </c>
      <c r="L60" s="80">
        <f t="shared" si="27"/>
        <v>0</v>
      </c>
      <c r="M60" s="178">
        <v>0</v>
      </c>
      <c r="N60" s="80">
        <f t="shared" si="28"/>
        <v>0</v>
      </c>
      <c r="O60" s="178">
        <v>0</v>
      </c>
      <c r="P60" s="80">
        <f t="shared" si="29"/>
        <v>0</v>
      </c>
      <c r="Q60" s="178">
        <v>0</v>
      </c>
      <c r="R60" s="80">
        <f t="shared" si="30"/>
        <v>0</v>
      </c>
      <c r="S60" s="178">
        <v>0</v>
      </c>
      <c r="T60" s="80">
        <f t="shared" si="31"/>
        <v>0</v>
      </c>
      <c r="U60" s="178">
        <v>0</v>
      </c>
      <c r="V60" s="80">
        <f t="shared" si="32"/>
        <v>0</v>
      </c>
      <c r="X60" s="192"/>
    </row>
    <row r="61" spans="1:24" ht="12.75" customHeight="1">
      <c r="A61" s="2" t="s">
        <v>405</v>
      </c>
      <c r="B61" s="35"/>
      <c r="C61" s="178">
        <v>0</v>
      </c>
      <c r="D61" s="80">
        <f t="shared" si="23"/>
        <v>0</v>
      </c>
      <c r="E61" s="178">
        <v>0</v>
      </c>
      <c r="F61" s="80">
        <f t="shared" si="24"/>
        <v>0</v>
      </c>
      <c r="G61" s="178">
        <v>0</v>
      </c>
      <c r="H61" s="80">
        <f t="shared" si="25"/>
        <v>0</v>
      </c>
      <c r="I61" s="178">
        <v>0</v>
      </c>
      <c r="J61" s="80">
        <f t="shared" si="26"/>
        <v>0</v>
      </c>
      <c r="K61" s="178">
        <v>0</v>
      </c>
      <c r="L61" s="80">
        <f t="shared" si="27"/>
        <v>0</v>
      </c>
      <c r="M61" s="178">
        <v>0</v>
      </c>
      <c r="N61" s="80">
        <f t="shared" si="28"/>
        <v>0</v>
      </c>
      <c r="O61" s="178">
        <v>0</v>
      </c>
      <c r="P61" s="80">
        <f t="shared" si="29"/>
        <v>0</v>
      </c>
      <c r="Q61" s="178">
        <v>0</v>
      </c>
      <c r="R61" s="80">
        <f t="shared" si="30"/>
        <v>0</v>
      </c>
      <c r="S61" s="178">
        <v>0</v>
      </c>
      <c r="T61" s="80">
        <f t="shared" si="31"/>
        <v>0</v>
      </c>
      <c r="U61" s="178">
        <v>0</v>
      </c>
      <c r="V61" s="80">
        <f t="shared" si="32"/>
        <v>0</v>
      </c>
      <c r="X61" s="192"/>
    </row>
    <row r="62" spans="1:24" ht="12.75" customHeight="1">
      <c r="A62" s="2" t="s">
        <v>406</v>
      </c>
      <c r="B62" s="35"/>
      <c r="C62" s="178">
        <v>0</v>
      </c>
      <c r="D62" s="80">
        <f t="shared" si="23"/>
        <v>0</v>
      </c>
      <c r="E62" s="178">
        <v>0</v>
      </c>
      <c r="F62" s="80">
        <f t="shared" si="24"/>
        <v>0</v>
      </c>
      <c r="G62" s="178">
        <v>0</v>
      </c>
      <c r="H62" s="80">
        <f t="shared" si="25"/>
        <v>0</v>
      </c>
      <c r="I62" s="178">
        <v>0</v>
      </c>
      <c r="J62" s="80">
        <f t="shared" si="26"/>
        <v>0</v>
      </c>
      <c r="K62" s="178">
        <v>0</v>
      </c>
      <c r="L62" s="80">
        <f t="shared" si="27"/>
        <v>0</v>
      </c>
      <c r="M62" s="178">
        <v>0</v>
      </c>
      <c r="N62" s="80">
        <f t="shared" si="28"/>
        <v>0</v>
      </c>
      <c r="O62" s="178">
        <v>0</v>
      </c>
      <c r="P62" s="80">
        <f t="shared" si="29"/>
        <v>0</v>
      </c>
      <c r="Q62" s="178">
        <v>0</v>
      </c>
      <c r="R62" s="80">
        <f t="shared" si="30"/>
        <v>0</v>
      </c>
      <c r="S62" s="178">
        <v>0</v>
      </c>
      <c r="T62" s="80">
        <f t="shared" si="31"/>
        <v>0</v>
      </c>
      <c r="U62" s="178">
        <v>0</v>
      </c>
      <c r="V62" s="80">
        <f t="shared" si="32"/>
        <v>0</v>
      </c>
      <c r="X62" s="192"/>
    </row>
    <row r="63" spans="1:24" ht="12.75" customHeight="1">
      <c r="A63" s="2" t="s">
        <v>407</v>
      </c>
      <c r="B63" s="35"/>
      <c r="C63" s="178">
        <v>72091.128183813984</v>
      </c>
      <c r="D63" s="80">
        <f t="shared" si="23"/>
        <v>1.2165679843630484E-2</v>
      </c>
      <c r="E63" s="178">
        <v>62687.067915924315</v>
      </c>
      <c r="F63" s="80">
        <f t="shared" si="24"/>
        <v>1.2345291028557385E-2</v>
      </c>
      <c r="G63" s="178">
        <v>66611.638792368976</v>
      </c>
      <c r="H63" s="80">
        <f t="shared" si="25"/>
        <v>1.2214616260923695E-2</v>
      </c>
      <c r="I63" s="178">
        <v>69251.512077867155</v>
      </c>
      <c r="J63" s="80">
        <f t="shared" si="26"/>
        <v>1.224598064001872E-2</v>
      </c>
      <c r="K63" s="178">
        <v>72614.642578193932</v>
      </c>
      <c r="L63" s="80">
        <f t="shared" si="27"/>
        <v>1.2208238976341108E-2</v>
      </c>
      <c r="M63" s="178">
        <v>74988.683901949611</v>
      </c>
      <c r="N63" s="80">
        <f t="shared" si="28"/>
        <v>1.2228820852233806E-2</v>
      </c>
      <c r="O63" s="178">
        <v>77496.995686510199</v>
      </c>
      <c r="P63" s="80">
        <f t="shared" si="29"/>
        <v>1.2254031885822084E-2</v>
      </c>
      <c r="Q63" s="178">
        <v>80046.27510463474</v>
      </c>
      <c r="R63" s="80">
        <f t="shared" si="30"/>
        <v>1.2290019821740245E-2</v>
      </c>
      <c r="S63" s="178">
        <v>82529.951335173071</v>
      </c>
      <c r="T63" s="80">
        <f t="shared" si="31"/>
        <v>1.2325128828525087E-2</v>
      </c>
      <c r="U63" s="178">
        <v>85154.273775959853</v>
      </c>
      <c r="V63" s="80">
        <f t="shared" si="32"/>
        <v>1.236264576162681E-2</v>
      </c>
      <c r="X63" s="192"/>
    </row>
    <row r="64" spans="1:24" ht="12.75" customHeight="1">
      <c r="A64" s="2" t="s">
        <v>408</v>
      </c>
      <c r="B64" s="35"/>
      <c r="C64" s="178">
        <v>28443.738428927994</v>
      </c>
      <c r="D64" s="80">
        <f t="shared" si="23"/>
        <v>4.7999999999999996E-3</v>
      </c>
      <c r="E64" s="178">
        <v>24373.497983999998</v>
      </c>
      <c r="F64" s="80">
        <f t="shared" si="24"/>
        <v>4.7999999999999996E-3</v>
      </c>
      <c r="G64" s="178">
        <v>26176.497024</v>
      </c>
      <c r="H64" s="80">
        <f t="shared" si="25"/>
        <v>4.8000000000000004E-3</v>
      </c>
      <c r="I64" s="178">
        <v>27144.192673919999</v>
      </c>
      <c r="J64" s="80">
        <f t="shared" si="26"/>
        <v>4.7999999999999987E-3</v>
      </c>
      <c r="K64" s="178">
        <v>28550.414605317117</v>
      </c>
      <c r="L64" s="80">
        <f t="shared" si="27"/>
        <v>4.7999999999999996E-3</v>
      </c>
      <c r="M64" s="178">
        <v>29434.210140024072</v>
      </c>
      <c r="N64" s="80">
        <f t="shared" si="28"/>
        <v>4.7999999999999996E-3</v>
      </c>
      <c r="O64" s="178">
        <v>30356.178502002778</v>
      </c>
      <c r="P64" s="80">
        <f t="shared" si="29"/>
        <v>4.7999999999999996E-3</v>
      </c>
      <c r="Q64" s="178">
        <v>31262.937413866719</v>
      </c>
      <c r="R64" s="80">
        <f t="shared" si="30"/>
        <v>4.7999999999999996E-3</v>
      </c>
      <c r="S64" s="178">
        <v>32141.146102424642</v>
      </c>
      <c r="T64" s="80">
        <f t="shared" si="31"/>
        <v>4.7999999999999996E-3</v>
      </c>
      <c r="U64" s="178">
        <v>33062.543569219015</v>
      </c>
      <c r="V64" s="80">
        <f t="shared" si="32"/>
        <v>4.7999999999999996E-3</v>
      </c>
      <c r="X64" s="192"/>
    </row>
    <row r="65" spans="1:24" ht="12.75" customHeight="1">
      <c r="A65" s="2" t="s">
        <v>409</v>
      </c>
      <c r="B65" s="35"/>
      <c r="C65" s="178">
        <v>2962.8894196800002</v>
      </c>
      <c r="D65" s="80">
        <f t="shared" si="23"/>
        <v>5.0000000000000001E-4</v>
      </c>
      <c r="E65" s="178">
        <v>2538.9060400000003</v>
      </c>
      <c r="F65" s="80">
        <f t="shared" si="24"/>
        <v>5.0000000000000001E-4</v>
      </c>
      <c r="G65" s="178">
        <v>2726.7184400000001</v>
      </c>
      <c r="H65" s="80">
        <f t="shared" si="25"/>
        <v>5.0000000000000001E-4</v>
      </c>
      <c r="I65" s="178">
        <v>2827.5200702000006</v>
      </c>
      <c r="J65" s="80">
        <f t="shared" si="26"/>
        <v>5.0000000000000001E-4</v>
      </c>
      <c r="K65" s="178">
        <v>2974.0015213871998</v>
      </c>
      <c r="L65" s="80">
        <f t="shared" si="27"/>
        <v>5.0000000000000001E-4</v>
      </c>
      <c r="M65" s="178">
        <v>3066.0635562525076</v>
      </c>
      <c r="N65" s="80">
        <f t="shared" si="28"/>
        <v>4.999999999999999E-4</v>
      </c>
      <c r="O65" s="178">
        <v>3162.1019272919566</v>
      </c>
      <c r="P65" s="80">
        <f t="shared" si="29"/>
        <v>5.0000000000000001E-4</v>
      </c>
      <c r="Q65" s="178">
        <v>3256.5559806111173</v>
      </c>
      <c r="R65" s="80">
        <f t="shared" si="30"/>
        <v>5.0000000000000001E-4</v>
      </c>
      <c r="S65" s="178">
        <v>3348.0360523359004</v>
      </c>
      <c r="T65" s="80">
        <f t="shared" si="31"/>
        <v>4.999999999999999E-4</v>
      </c>
      <c r="U65" s="178">
        <v>3444.014955126981</v>
      </c>
      <c r="V65" s="80">
        <f t="shared" si="32"/>
        <v>5.0000000000000001E-4</v>
      </c>
      <c r="X65" s="192"/>
    </row>
    <row r="66" spans="1:24" ht="12.75" customHeight="1">
      <c r="A66" s="2" t="s">
        <v>410</v>
      </c>
      <c r="B66" s="35"/>
      <c r="C66" s="178">
        <v>16592.180750207997</v>
      </c>
      <c r="D66" s="80">
        <f t="shared" si="23"/>
        <v>2.7999999999999995E-3</v>
      </c>
      <c r="E66" s="178">
        <v>14217.873824</v>
      </c>
      <c r="F66" s="80">
        <f t="shared" si="24"/>
        <v>2.8E-3</v>
      </c>
      <c r="G66" s="178">
        <v>15269.623264</v>
      </c>
      <c r="H66" s="80">
        <f t="shared" si="25"/>
        <v>2.8E-3</v>
      </c>
      <c r="I66" s="178">
        <v>15834.112393120004</v>
      </c>
      <c r="J66" s="80">
        <f t="shared" si="26"/>
        <v>2.8000000000000004E-3</v>
      </c>
      <c r="K66" s="178">
        <v>16654.40851976832</v>
      </c>
      <c r="L66" s="80">
        <f t="shared" si="27"/>
        <v>2.8E-3</v>
      </c>
      <c r="M66" s="178">
        <v>17169.955915014045</v>
      </c>
      <c r="N66" s="80">
        <f t="shared" si="28"/>
        <v>2.8E-3</v>
      </c>
      <c r="O66" s="178">
        <v>17707.770792834956</v>
      </c>
      <c r="P66" s="80">
        <f t="shared" si="29"/>
        <v>2.8E-3</v>
      </c>
      <c r="Q66" s="178">
        <v>18236.713491422259</v>
      </c>
      <c r="R66" s="80">
        <f t="shared" si="30"/>
        <v>2.8000000000000004E-3</v>
      </c>
      <c r="S66" s="178">
        <v>18749.001893081044</v>
      </c>
      <c r="T66" s="80">
        <f t="shared" si="31"/>
        <v>2.8E-3</v>
      </c>
      <c r="U66" s="178">
        <v>19286.483748711096</v>
      </c>
      <c r="V66" s="80">
        <f t="shared" si="32"/>
        <v>2.8E-3</v>
      </c>
      <c r="X66" s="192"/>
    </row>
    <row r="67" spans="1:24" ht="12.75" customHeight="1">
      <c r="A67" s="2" t="s">
        <v>411</v>
      </c>
      <c r="B67" s="35"/>
      <c r="C67" s="178">
        <v>88886.682590399985</v>
      </c>
      <c r="D67" s="80">
        <f t="shared" si="23"/>
        <v>1.4999999999999998E-2</v>
      </c>
      <c r="E67" s="178">
        <v>76167.181200000006</v>
      </c>
      <c r="F67" s="80">
        <f t="shared" si="24"/>
        <v>1.5000000000000001E-2</v>
      </c>
      <c r="G67" s="178">
        <v>81801.553199999995</v>
      </c>
      <c r="H67" s="80">
        <f t="shared" si="25"/>
        <v>1.4999999999999999E-2</v>
      </c>
      <c r="I67" s="178">
        <v>84825.602106000006</v>
      </c>
      <c r="J67" s="80">
        <f t="shared" si="26"/>
        <v>1.4999999999999999E-2</v>
      </c>
      <c r="K67" s="178">
        <v>89220.045641615987</v>
      </c>
      <c r="L67" s="80">
        <f t="shared" si="27"/>
        <v>1.4999999999999998E-2</v>
      </c>
      <c r="M67" s="178">
        <v>91981.906687575232</v>
      </c>
      <c r="N67" s="80">
        <f t="shared" si="28"/>
        <v>1.4999999999999999E-2</v>
      </c>
      <c r="O67" s="178">
        <v>94863.05781875868</v>
      </c>
      <c r="P67" s="80">
        <f t="shared" si="29"/>
        <v>1.4999999999999999E-2</v>
      </c>
      <c r="Q67" s="178">
        <v>97696.679418333501</v>
      </c>
      <c r="R67" s="80">
        <f t="shared" si="30"/>
        <v>1.4999999999999998E-2</v>
      </c>
      <c r="S67" s="178">
        <v>100441.08157007702</v>
      </c>
      <c r="T67" s="80">
        <f t="shared" si="31"/>
        <v>1.4999999999999999E-2</v>
      </c>
      <c r="U67" s="178">
        <v>103320.44865380944</v>
      </c>
      <c r="V67" s="80">
        <f t="shared" si="32"/>
        <v>1.4999999999999999E-2</v>
      </c>
      <c r="X67" s="192"/>
    </row>
    <row r="68" spans="1:24" ht="12.75" customHeight="1">
      <c r="A68" s="2" t="s">
        <v>412</v>
      </c>
      <c r="B68" s="35"/>
      <c r="C68" s="178">
        <v>10073.824026911998</v>
      </c>
      <c r="D68" s="80">
        <f t="shared" si="23"/>
        <v>1.6999999999999997E-3</v>
      </c>
      <c r="E68" s="178">
        <v>8632.2805360000002</v>
      </c>
      <c r="F68" s="80">
        <f t="shared" si="24"/>
        <v>1.7000000000000001E-3</v>
      </c>
      <c r="G68" s="178">
        <v>9270.8426959999997</v>
      </c>
      <c r="H68" s="80">
        <f t="shared" si="25"/>
        <v>1.6999999999999999E-3</v>
      </c>
      <c r="I68" s="178">
        <v>9613.5682386799999</v>
      </c>
      <c r="J68" s="80">
        <f t="shared" si="26"/>
        <v>1.6999999999999997E-3</v>
      </c>
      <c r="K68" s="178">
        <v>10111.60517271648</v>
      </c>
      <c r="L68" s="80">
        <f t="shared" si="27"/>
        <v>1.6999999999999999E-3</v>
      </c>
      <c r="M68" s="178">
        <v>10424.616091258526</v>
      </c>
      <c r="N68" s="80">
        <f t="shared" si="28"/>
        <v>1.6999999999999997E-3</v>
      </c>
      <c r="O68" s="178">
        <v>10751.14655279265</v>
      </c>
      <c r="P68" s="80">
        <f t="shared" si="29"/>
        <v>1.6999999999999999E-3</v>
      </c>
      <c r="Q68" s="178">
        <v>11072.290334077798</v>
      </c>
      <c r="R68" s="80">
        <f t="shared" si="30"/>
        <v>1.6999999999999999E-3</v>
      </c>
      <c r="S68" s="178">
        <v>11383.322577942061</v>
      </c>
      <c r="T68" s="80">
        <f t="shared" si="31"/>
        <v>1.6999999999999997E-3</v>
      </c>
      <c r="U68" s="178">
        <v>11709.650847431734</v>
      </c>
      <c r="V68" s="80">
        <f t="shared" si="32"/>
        <v>1.6999999999999997E-3</v>
      </c>
      <c r="X68" s="192"/>
    </row>
    <row r="69" spans="1:24" ht="12.75" customHeight="1">
      <c r="A69" s="2" t="s">
        <v>413</v>
      </c>
      <c r="B69" s="35"/>
      <c r="C69" s="178">
        <v>0</v>
      </c>
      <c r="D69" s="80">
        <f t="shared" si="23"/>
        <v>0</v>
      </c>
      <c r="E69" s="178">
        <v>0</v>
      </c>
      <c r="F69" s="80">
        <f t="shared" si="24"/>
        <v>0</v>
      </c>
      <c r="G69" s="178">
        <v>0</v>
      </c>
      <c r="H69" s="80">
        <f t="shared" si="25"/>
        <v>0</v>
      </c>
      <c r="I69" s="178">
        <v>0</v>
      </c>
      <c r="J69" s="80">
        <f t="shared" si="26"/>
        <v>0</v>
      </c>
      <c r="K69" s="178">
        <v>0</v>
      </c>
      <c r="L69" s="80">
        <f t="shared" si="27"/>
        <v>0</v>
      </c>
      <c r="M69" s="178">
        <v>0</v>
      </c>
      <c r="N69" s="80">
        <f t="shared" si="28"/>
        <v>0</v>
      </c>
      <c r="O69" s="178">
        <v>0</v>
      </c>
      <c r="P69" s="80">
        <f t="shared" si="29"/>
        <v>0</v>
      </c>
      <c r="Q69" s="178">
        <v>0</v>
      </c>
      <c r="R69" s="80">
        <f t="shared" si="30"/>
        <v>0</v>
      </c>
      <c r="S69" s="178">
        <v>0</v>
      </c>
      <c r="T69" s="80">
        <f t="shared" si="31"/>
        <v>0</v>
      </c>
      <c r="U69" s="178">
        <v>0</v>
      </c>
      <c r="V69" s="80">
        <f t="shared" si="32"/>
        <v>0</v>
      </c>
      <c r="X69" s="192"/>
    </row>
    <row r="70" spans="1:24" ht="12.75" customHeight="1">
      <c r="A70" s="2" t="s">
        <v>414</v>
      </c>
      <c r="B70" s="35"/>
      <c r="C70" s="178">
        <v>592.57788393600003</v>
      </c>
      <c r="D70" s="80">
        <f t="shared" si="23"/>
        <v>1.0000000000000002E-4</v>
      </c>
      <c r="E70" s="178">
        <v>507.78120800000011</v>
      </c>
      <c r="F70" s="80">
        <f t="shared" si="24"/>
        <v>1.0000000000000002E-4</v>
      </c>
      <c r="G70" s="178">
        <v>545.34368800000004</v>
      </c>
      <c r="H70" s="80">
        <f t="shared" si="25"/>
        <v>1E-4</v>
      </c>
      <c r="I70" s="178">
        <v>565.50401404000013</v>
      </c>
      <c r="J70" s="80">
        <f t="shared" si="26"/>
        <v>1E-4</v>
      </c>
      <c r="K70" s="178">
        <v>594.80030427743998</v>
      </c>
      <c r="L70" s="80">
        <f t="shared" si="27"/>
        <v>1E-4</v>
      </c>
      <c r="M70" s="178">
        <v>613.21271125050157</v>
      </c>
      <c r="N70" s="80">
        <f t="shared" si="28"/>
        <v>9.9999999999999991E-5</v>
      </c>
      <c r="O70" s="178">
        <v>632.42038545839125</v>
      </c>
      <c r="P70" s="80">
        <f t="shared" si="29"/>
        <v>1E-4</v>
      </c>
      <c r="Q70" s="178">
        <v>651.31119612222346</v>
      </c>
      <c r="R70" s="80">
        <f t="shared" si="30"/>
        <v>1E-4</v>
      </c>
      <c r="S70" s="178">
        <v>669.60721046718015</v>
      </c>
      <c r="T70" s="80">
        <f t="shared" si="31"/>
        <v>1E-4</v>
      </c>
      <c r="U70" s="178">
        <v>688.80299102539618</v>
      </c>
      <c r="V70" s="80">
        <f t="shared" si="32"/>
        <v>9.9999999999999991E-5</v>
      </c>
      <c r="X70" s="192"/>
    </row>
    <row r="71" spans="1:24" ht="12.75" customHeight="1">
      <c r="A71" s="2" t="s">
        <v>415</v>
      </c>
      <c r="B71" s="35"/>
      <c r="C71" s="178">
        <v>0</v>
      </c>
      <c r="D71" s="80">
        <f t="shared" si="23"/>
        <v>0</v>
      </c>
      <c r="E71" s="178">
        <v>0</v>
      </c>
      <c r="F71" s="80">
        <f t="shared" si="24"/>
        <v>0</v>
      </c>
      <c r="G71" s="178">
        <v>0</v>
      </c>
      <c r="H71" s="80">
        <f t="shared" si="25"/>
        <v>0</v>
      </c>
      <c r="I71" s="178">
        <v>0</v>
      </c>
      <c r="J71" s="80">
        <f t="shared" si="26"/>
        <v>0</v>
      </c>
      <c r="K71" s="178">
        <v>0</v>
      </c>
      <c r="L71" s="80">
        <f t="shared" si="27"/>
        <v>0</v>
      </c>
      <c r="M71" s="178">
        <v>0</v>
      </c>
      <c r="N71" s="80">
        <f t="shared" si="28"/>
        <v>0</v>
      </c>
      <c r="O71" s="178">
        <v>0</v>
      </c>
      <c r="P71" s="80">
        <f t="shared" si="29"/>
        <v>0</v>
      </c>
      <c r="Q71" s="178">
        <v>0</v>
      </c>
      <c r="R71" s="80">
        <f t="shared" si="30"/>
        <v>0</v>
      </c>
      <c r="S71" s="178">
        <v>0</v>
      </c>
      <c r="T71" s="80">
        <f t="shared" si="31"/>
        <v>0</v>
      </c>
      <c r="U71" s="178">
        <v>0</v>
      </c>
      <c r="V71" s="80">
        <f t="shared" si="32"/>
        <v>0</v>
      </c>
      <c r="X71" s="192"/>
    </row>
    <row r="72" spans="1:24" ht="12.75" customHeight="1">
      <c r="A72" s="2" t="s">
        <v>416</v>
      </c>
      <c r="B72" s="35"/>
      <c r="C72" s="178">
        <v>0</v>
      </c>
      <c r="D72" s="80">
        <f t="shared" si="23"/>
        <v>0</v>
      </c>
      <c r="E72" s="178">
        <v>0</v>
      </c>
      <c r="F72" s="80">
        <f t="shared" si="24"/>
        <v>0</v>
      </c>
      <c r="G72" s="178">
        <v>0</v>
      </c>
      <c r="H72" s="80">
        <f t="shared" si="25"/>
        <v>0</v>
      </c>
      <c r="I72" s="178">
        <v>0</v>
      </c>
      <c r="J72" s="80">
        <f t="shared" si="26"/>
        <v>0</v>
      </c>
      <c r="K72" s="178">
        <v>0</v>
      </c>
      <c r="L72" s="80">
        <f t="shared" si="27"/>
        <v>0</v>
      </c>
      <c r="M72" s="178">
        <v>0</v>
      </c>
      <c r="N72" s="80">
        <f t="shared" si="28"/>
        <v>0</v>
      </c>
      <c r="O72" s="178">
        <v>0</v>
      </c>
      <c r="P72" s="80">
        <f t="shared" si="29"/>
        <v>0</v>
      </c>
      <c r="Q72" s="178">
        <v>0</v>
      </c>
      <c r="R72" s="80">
        <f t="shared" si="30"/>
        <v>0</v>
      </c>
      <c r="S72" s="178">
        <v>0</v>
      </c>
      <c r="T72" s="80">
        <f t="shared" si="31"/>
        <v>0</v>
      </c>
      <c r="U72" s="178">
        <v>0</v>
      </c>
      <c r="V72" s="80">
        <f t="shared" si="32"/>
        <v>0</v>
      </c>
      <c r="X72" s="192"/>
    </row>
    <row r="73" spans="1:24" ht="12.75" customHeight="1">
      <c r="A73" s="2" t="s">
        <v>417</v>
      </c>
      <c r="B73" s="35"/>
      <c r="C73" s="178">
        <v>0</v>
      </c>
      <c r="D73" s="80">
        <f t="shared" si="23"/>
        <v>0</v>
      </c>
      <c r="E73" s="178">
        <v>0</v>
      </c>
      <c r="F73" s="80">
        <f t="shared" si="24"/>
        <v>0</v>
      </c>
      <c r="G73" s="178">
        <v>0</v>
      </c>
      <c r="H73" s="80">
        <f t="shared" si="25"/>
        <v>0</v>
      </c>
      <c r="I73" s="178">
        <v>0</v>
      </c>
      <c r="J73" s="80">
        <f t="shared" si="26"/>
        <v>0</v>
      </c>
      <c r="K73" s="178">
        <v>0</v>
      </c>
      <c r="L73" s="80">
        <f t="shared" si="27"/>
        <v>0</v>
      </c>
      <c r="M73" s="178">
        <v>0</v>
      </c>
      <c r="N73" s="80">
        <f t="shared" si="28"/>
        <v>0</v>
      </c>
      <c r="O73" s="178">
        <v>0</v>
      </c>
      <c r="P73" s="80">
        <f t="shared" si="29"/>
        <v>0</v>
      </c>
      <c r="Q73" s="178">
        <v>0</v>
      </c>
      <c r="R73" s="80">
        <f t="shared" si="30"/>
        <v>0</v>
      </c>
      <c r="S73" s="178">
        <v>0</v>
      </c>
      <c r="T73" s="80">
        <f t="shared" si="31"/>
        <v>0</v>
      </c>
      <c r="U73" s="178">
        <v>0</v>
      </c>
      <c r="V73" s="80">
        <f t="shared" si="32"/>
        <v>0</v>
      </c>
      <c r="X73" s="192"/>
    </row>
    <row r="74" spans="1:24" ht="12.75" customHeight="1">
      <c r="A74" s="2" t="s">
        <v>418</v>
      </c>
      <c r="B74" s="35"/>
      <c r="C74" s="178">
        <v>0</v>
      </c>
      <c r="D74" s="80">
        <f t="shared" si="23"/>
        <v>0</v>
      </c>
      <c r="E74" s="178">
        <v>0</v>
      </c>
      <c r="F74" s="80">
        <f t="shared" si="24"/>
        <v>0</v>
      </c>
      <c r="G74" s="178">
        <v>0</v>
      </c>
      <c r="H74" s="80">
        <f t="shared" si="25"/>
        <v>0</v>
      </c>
      <c r="I74" s="178">
        <v>0</v>
      </c>
      <c r="J74" s="80">
        <f t="shared" si="26"/>
        <v>0</v>
      </c>
      <c r="K74" s="178">
        <v>0</v>
      </c>
      <c r="L74" s="80">
        <f t="shared" si="27"/>
        <v>0</v>
      </c>
      <c r="M74" s="178">
        <v>0</v>
      </c>
      <c r="N74" s="80">
        <f t="shared" si="28"/>
        <v>0</v>
      </c>
      <c r="O74" s="178">
        <v>0</v>
      </c>
      <c r="P74" s="80">
        <f t="shared" si="29"/>
        <v>0</v>
      </c>
      <c r="Q74" s="178">
        <v>0</v>
      </c>
      <c r="R74" s="80">
        <f t="shared" si="30"/>
        <v>0</v>
      </c>
      <c r="S74" s="178">
        <v>0</v>
      </c>
      <c r="T74" s="80">
        <f t="shared" si="31"/>
        <v>0</v>
      </c>
      <c r="U74" s="178">
        <v>0</v>
      </c>
      <c r="V74" s="80">
        <f t="shared" si="32"/>
        <v>0</v>
      </c>
      <c r="X74" s="192"/>
    </row>
    <row r="75" spans="1:24" ht="12.75" customHeight="1">
      <c r="A75" s="2" t="s">
        <v>419</v>
      </c>
      <c r="B75" s="35"/>
      <c r="C75" s="178">
        <v>26666.004777119997</v>
      </c>
      <c r="D75" s="80">
        <f t="shared" si="23"/>
        <v>4.4999999999999997E-3</v>
      </c>
      <c r="E75" s="178">
        <v>22850.15436</v>
      </c>
      <c r="F75" s="80">
        <f t="shared" si="24"/>
        <v>4.4999999999999997E-3</v>
      </c>
      <c r="G75" s="178">
        <v>24540.465959999998</v>
      </c>
      <c r="H75" s="80">
        <f t="shared" si="25"/>
        <v>4.4999999999999997E-3</v>
      </c>
      <c r="I75" s="178">
        <v>25447.680631800005</v>
      </c>
      <c r="J75" s="80">
        <f t="shared" si="26"/>
        <v>4.5000000000000005E-3</v>
      </c>
      <c r="K75" s="178">
        <v>26766.013692484798</v>
      </c>
      <c r="L75" s="80">
        <f t="shared" si="27"/>
        <v>4.4999999999999997E-3</v>
      </c>
      <c r="M75" s="178">
        <v>27594.57200627257</v>
      </c>
      <c r="N75" s="80">
        <f t="shared" si="28"/>
        <v>4.4999999999999997E-3</v>
      </c>
      <c r="O75" s="178">
        <v>28458.917345627604</v>
      </c>
      <c r="P75" s="80">
        <f t="shared" si="29"/>
        <v>4.4999999999999997E-3</v>
      </c>
      <c r="Q75" s="178">
        <v>29309.003825500055</v>
      </c>
      <c r="R75" s="80">
        <f t="shared" si="30"/>
        <v>4.5000000000000005E-3</v>
      </c>
      <c r="S75" s="178">
        <v>30132.324471023101</v>
      </c>
      <c r="T75" s="80">
        <f t="shared" si="31"/>
        <v>4.4999999999999988E-3</v>
      </c>
      <c r="U75" s="178">
        <v>30996.134596142831</v>
      </c>
      <c r="V75" s="80">
        <f t="shared" si="32"/>
        <v>4.4999999999999997E-3</v>
      </c>
      <c r="X75" s="192"/>
    </row>
    <row r="76" spans="1:24" ht="12.75" customHeight="1">
      <c r="A76" s="2" t="s">
        <v>420</v>
      </c>
      <c r="B76" s="35"/>
      <c r="C76" s="178">
        <v>2370.3115357440001</v>
      </c>
      <c r="D76" s="80">
        <f t="shared" si="23"/>
        <v>4.0000000000000007E-4</v>
      </c>
      <c r="E76" s="178">
        <v>2031.1248320000004</v>
      </c>
      <c r="F76" s="80">
        <f t="shared" si="24"/>
        <v>4.0000000000000007E-4</v>
      </c>
      <c r="G76" s="178">
        <v>2181.3747520000002</v>
      </c>
      <c r="H76" s="80">
        <f t="shared" si="25"/>
        <v>4.0000000000000002E-4</v>
      </c>
      <c r="I76" s="178">
        <v>2262.0160561600005</v>
      </c>
      <c r="J76" s="80">
        <f t="shared" si="26"/>
        <v>4.0000000000000002E-4</v>
      </c>
      <c r="K76" s="178">
        <v>2379.2012171097599</v>
      </c>
      <c r="L76" s="80">
        <f t="shared" si="27"/>
        <v>4.0000000000000002E-4</v>
      </c>
      <c r="M76" s="178">
        <v>2452.8508450020063</v>
      </c>
      <c r="N76" s="80">
        <f t="shared" si="28"/>
        <v>3.9999999999999996E-4</v>
      </c>
      <c r="O76" s="178">
        <v>2529.681541833565</v>
      </c>
      <c r="P76" s="80">
        <f t="shared" si="29"/>
        <v>4.0000000000000002E-4</v>
      </c>
      <c r="Q76" s="178">
        <v>2605.2447844888939</v>
      </c>
      <c r="R76" s="80">
        <f t="shared" si="30"/>
        <v>4.0000000000000002E-4</v>
      </c>
      <c r="S76" s="178">
        <v>2678.4288418687206</v>
      </c>
      <c r="T76" s="80">
        <f t="shared" si="31"/>
        <v>4.0000000000000002E-4</v>
      </c>
      <c r="U76" s="178">
        <v>2755.2119641015847</v>
      </c>
      <c r="V76" s="80">
        <f t="shared" si="32"/>
        <v>3.9999999999999996E-4</v>
      </c>
      <c r="X76" s="192"/>
    </row>
    <row r="77" spans="1:24" ht="12.75" customHeight="1">
      <c r="A77" s="2" t="s">
        <v>421</v>
      </c>
      <c r="B77" s="35"/>
      <c r="C77" s="178">
        <v>7703.5124911679995</v>
      </c>
      <c r="D77" s="80">
        <f t="shared" si="23"/>
        <v>1.2999999999999999E-3</v>
      </c>
      <c r="E77" s="178">
        <v>6601.1557039999998</v>
      </c>
      <c r="F77" s="80">
        <f t="shared" si="24"/>
        <v>1.2999999999999999E-3</v>
      </c>
      <c r="G77" s="178">
        <v>7089.467944</v>
      </c>
      <c r="H77" s="80">
        <f t="shared" si="25"/>
        <v>1.2999999999999999E-3</v>
      </c>
      <c r="I77" s="178">
        <v>7351.5521825200012</v>
      </c>
      <c r="J77" s="80">
        <f t="shared" si="26"/>
        <v>1.2999999999999999E-3</v>
      </c>
      <c r="K77" s="178">
        <v>7732.4039556067191</v>
      </c>
      <c r="L77" s="80">
        <f t="shared" si="27"/>
        <v>1.2999999999999999E-3</v>
      </c>
      <c r="M77" s="178">
        <v>7971.7652462565202</v>
      </c>
      <c r="N77" s="80">
        <f t="shared" si="28"/>
        <v>1.2999999999999999E-3</v>
      </c>
      <c r="O77" s="178">
        <v>8221.4650109590857</v>
      </c>
      <c r="P77" s="80">
        <f t="shared" si="29"/>
        <v>1.2999999999999999E-3</v>
      </c>
      <c r="Q77" s="178">
        <v>8467.0455495889037</v>
      </c>
      <c r="R77" s="80">
        <f t="shared" si="30"/>
        <v>1.2999999999999999E-3</v>
      </c>
      <c r="S77" s="178">
        <v>8704.8937360733416</v>
      </c>
      <c r="T77" s="80">
        <f t="shared" si="31"/>
        <v>1.2999999999999999E-3</v>
      </c>
      <c r="U77" s="178">
        <v>8954.4388833301509</v>
      </c>
      <c r="V77" s="80">
        <f t="shared" si="32"/>
        <v>1.2999999999999999E-3</v>
      </c>
      <c r="X77" s="192"/>
    </row>
    <row r="78" spans="1:24" ht="12.75" customHeight="1">
      <c r="A78" s="2" t="s">
        <v>422</v>
      </c>
      <c r="B78" s="35"/>
      <c r="C78" s="178">
        <v>130367.13446591998</v>
      </c>
      <c r="D78" s="80">
        <f t="shared" si="23"/>
        <v>2.1999999999999999E-2</v>
      </c>
      <c r="E78" s="178">
        <v>111711.86576</v>
      </c>
      <c r="F78" s="80">
        <f t="shared" si="24"/>
        <v>2.1999999999999999E-2</v>
      </c>
      <c r="G78" s="178">
        <v>119975.61136</v>
      </c>
      <c r="H78" s="80">
        <f t="shared" si="25"/>
        <v>2.1999999999999999E-2</v>
      </c>
      <c r="I78" s="178">
        <v>124410.88308880001</v>
      </c>
      <c r="J78" s="80">
        <f t="shared" si="26"/>
        <v>2.1999999999999999E-2</v>
      </c>
      <c r="K78" s="178">
        <v>130856.06694103678</v>
      </c>
      <c r="L78" s="80">
        <f t="shared" si="27"/>
        <v>2.1999999999999999E-2</v>
      </c>
      <c r="M78" s="178">
        <v>134906.79647511034</v>
      </c>
      <c r="N78" s="80">
        <f t="shared" si="28"/>
        <v>2.1999999999999999E-2</v>
      </c>
      <c r="O78" s="178">
        <v>139132.48480084605</v>
      </c>
      <c r="P78" s="80">
        <f t="shared" si="29"/>
        <v>2.1999999999999995E-2</v>
      </c>
      <c r="Q78" s="178">
        <v>143288.46314688915</v>
      </c>
      <c r="R78" s="80">
        <f t="shared" si="30"/>
        <v>2.1999999999999999E-2</v>
      </c>
      <c r="S78" s="178">
        <v>147313.58630277961</v>
      </c>
      <c r="T78" s="80">
        <f t="shared" si="31"/>
        <v>2.1999999999999999E-2</v>
      </c>
      <c r="U78" s="178">
        <v>151536.65802558715</v>
      </c>
      <c r="V78" s="80">
        <f t="shared" si="32"/>
        <v>2.1999999999999995E-2</v>
      </c>
      <c r="X78" s="192"/>
    </row>
    <row r="79" spans="1:24" ht="12.75" customHeight="1">
      <c r="A79" s="2" t="s">
        <v>423</v>
      </c>
      <c r="B79" s="35"/>
      <c r="C79" s="178">
        <v>0</v>
      </c>
      <c r="D79" s="80">
        <f t="shared" si="23"/>
        <v>0</v>
      </c>
      <c r="E79" s="178">
        <v>0</v>
      </c>
      <c r="F79" s="80">
        <f t="shared" si="24"/>
        <v>0</v>
      </c>
      <c r="G79" s="178">
        <v>0</v>
      </c>
      <c r="H79" s="80">
        <f t="shared" si="25"/>
        <v>0</v>
      </c>
      <c r="I79" s="178">
        <v>0</v>
      </c>
      <c r="J79" s="80">
        <f t="shared" si="26"/>
        <v>0</v>
      </c>
      <c r="K79" s="178">
        <v>0</v>
      </c>
      <c r="L79" s="80">
        <f t="shared" si="27"/>
        <v>0</v>
      </c>
      <c r="M79" s="178">
        <v>0</v>
      </c>
      <c r="N79" s="80">
        <f t="shared" si="28"/>
        <v>0</v>
      </c>
      <c r="O79" s="178">
        <v>0</v>
      </c>
      <c r="P79" s="80">
        <f t="shared" si="29"/>
        <v>0</v>
      </c>
      <c r="Q79" s="178">
        <v>0</v>
      </c>
      <c r="R79" s="80">
        <f t="shared" si="30"/>
        <v>0</v>
      </c>
      <c r="S79" s="178">
        <v>0</v>
      </c>
      <c r="T79" s="80">
        <f t="shared" si="31"/>
        <v>0</v>
      </c>
      <c r="U79" s="178">
        <v>0</v>
      </c>
      <c r="V79" s="80">
        <f t="shared" si="32"/>
        <v>0</v>
      </c>
      <c r="X79" s="192"/>
    </row>
    <row r="80" spans="1:24" ht="12.75" customHeight="1">
      <c r="A80" s="2" t="s">
        <v>424</v>
      </c>
      <c r="B80" s="35"/>
      <c r="C80" s="178">
        <v>0</v>
      </c>
      <c r="D80" s="80">
        <f t="shared" si="23"/>
        <v>0</v>
      </c>
      <c r="E80" s="178">
        <v>0</v>
      </c>
      <c r="F80" s="80">
        <f t="shared" si="24"/>
        <v>0</v>
      </c>
      <c r="G80" s="178">
        <v>0</v>
      </c>
      <c r="H80" s="80">
        <f t="shared" si="25"/>
        <v>0</v>
      </c>
      <c r="I80" s="178">
        <v>0</v>
      </c>
      <c r="J80" s="80">
        <f t="shared" si="26"/>
        <v>0</v>
      </c>
      <c r="K80" s="178">
        <v>0</v>
      </c>
      <c r="L80" s="80">
        <f t="shared" si="27"/>
        <v>0</v>
      </c>
      <c r="M80" s="178">
        <v>0</v>
      </c>
      <c r="N80" s="80">
        <f t="shared" si="28"/>
        <v>0</v>
      </c>
      <c r="O80" s="178">
        <v>0</v>
      </c>
      <c r="P80" s="80">
        <f t="shared" si="29"/>
        <v>0</v>
      </c>
      <c r="Q80" s="178">
        <v>0</v>
      </c>
      <c r="R80" s="80">
        <f t="shared" si="30"/>
        <v>0</v>
      </c>
      <c r="S80" s="178">
        <v>0</v>
      </c>
      <c r="T80" s="80">
        <f t="shared" si="31"/>
        <v>0</v>
      </c>
      <c r="U80" s="178">
        <v>0</v>
      </c>
      <c r="V80" s="80">
        <f t="shared" si="32"/>
        <v>0</v>
      </c>
      <c r="X80" s="192"/>
    </row>
    <row r="81" spans="1:24" ht="12.75" customHeight="1">
      <c r="A81" s="2" t="s">
        <v>425</v>
      </c>
      <c r="B81" s="35"/>
      <c r="C81" s="178">
        <v>0</v>
      </c>
      <c r="D81" s="80">
        <f t="shared" si="23"/>
        <v>0</v>
      </c>
      <c r="E81" s="178">
        <v>0</v>
      </c>
      <c r="F81" s="80">
        <f t="shared" si="24"/>
        <v>0</v>
      </c>
      <c r="G81" s="178">
        <v>0</v>
      </c>
      <c r="H81" s="80">
        <f t="shared" si="25"/>
        <v>0</v>
      </c>
      <c r="I81" s="178">
        <v>0</v>
      </c>
      <c r="J81" s="80">
        <f t="shared" si="26"/>
        <v>0</v>
      </c>
      <c r="K81" s="178">
        <v>0</v>
      </c>
      <c r="L81" s="80">
        <f t="shared" si="27"/>
        <v>0</v>
      </c>
      <c r="M81" s="178">
        <v>0</v>
      </c>
      <c r="N81" s="80">
        <f t="shared" si="28"/>
        <v>0</v>
      </c>
      <c r="O81" s="178">
        <v>0</v>
      </c>
      <c r="P81" s="80">
        <f t="shared" si="29"/>
        <v>0</v>
      </c>
      <c r="Q81" s="178">
        <v>0</v>
      </c>
      <c r="R81" s="80">
        <f t="shared" si="30"/>
        <v>0</v>
      </c>
      <c r="S81" s="178">
        <v>0</v>
      </c>
      <c r="T81" s="80">
        <f t="shared" si="31"/>
        <v>0</v>
      </c>
      <c r="U81" s="178">
        <v>0</v>
      </c>
      <c r="V81" s="80">
        <f t="shared" si="32"/>
        <v>0</v>
      </c>
      <c r="X81" s="192"/>
    </row>
    <row r="82" spans="1:24" ht="12.75" customHeight="1">
      <c r="A82" s="2" t="s">
        <v>426</v>
      </c>
      <c r="B82" s="35"/>
      <c r="C82" s="178">
        <v>0</v>
      </c>
      <c r="D82" s="80">
        <f t="shared" si="23"/>
        <v>0</v>
      </c>
      <c r="E82" s="178">
        <v>0</v>
      </c>
      <c r="F82" s="80">
        <f t="shared" si="24"/>
        <v>0</v>
      </c>
      <c r="G82" s="178">
        <v>0</v>
      </c>
      <c r="H82" s="80">
        <f t="shared" si="25"/>
        <v>0</v>
      </c>
      <c r="I82" s="178">
        <v>0</v>
      </c>
      <c r="J82" s="80">
        <f t="shared" si="26"/>
        <v>0</v>
      </c>
      <c r="K82" s="178">
        <v>0</v>
      </c>
      <c r="L82" s="80">
        <f t="shared" si="27"/>
        <v>0</v>
      </c>
      <c r="M82" s="178">
        <v>0</v>
      </c>
      <c r="N82" s="80">
        <f t="shared" si="28"/>
        <v>0</v>
      </c>
      <c r="O82" s="178">
        <v>0</v>
      </c>
      <c r="P82" s="80">
        <f t="shared" si="29"/>
        <v>0</v>
      </c>
      <c r="Q82" s="178">
        <v>0</v>
      </c>
      <c r="R82" s="80">
        <f t="shared" si="30"/>
        <v>0</v>
      </c>
      <c r="S82" s="178">
        <v>0</v>
      </c>
      <c r="T82" s="80">
        <f t="shared" si="31"/>
        <v>0</v>
      </c>
      <c r="U82" s="178">
        <v>0</v>
      </c>
      <c r="V82" s="80">
        <f t="shared" si="32"/>
        <v>0</v>
      </c>
      <c r="X82" s="192"/>
    </row>
    <row r="83" spans="1:24" ht="12.75" customHeight="1">
      <c r="A83" s="2" t="s">
        <v>427</v>
      </c>
      <c r="B83" s="35"/>
      <c r="C83" s="178">
        <v>0</v>
      </c>
      <c r="D83" s="80">
        <f t="shared" si="23"/>
        <v>0</v>
      </c>
      <c r="E83" s="178">
        <v>0</v>
      </c>
      <c r="F83" s="80">
        <f t="shared" si="24"/>
        <v>0</v>
      </c>
      <c r="G83" s="178">
        <v>0</v>
      </c>
      <c r="H83" s="80">
        <f t="shared" si="25"/>
        <v>0</v>
      </c>
      <c r="I83" s="178">
        <v>0</v>
      </c>
      <c r="J83" s="80">
        <f t="shared" si="26"/>
        <v>0</v>
      </c>
      <c r="K83" s="178">
        <v>0</v>
      </c>
      <c r="L83" s="80">
        <f t="shared" si="27"/>
        <v>0</v>
      </c>
      <c r="M83" s="178">
        <v>0</v>
      </c>
      <c r="N83" s="80">
        <f t="shared" si="28"/>
        <v>0</v>
      </c>
      <c r="O83" s="178">
        <v>0</v>
      </c>
      <c r="P83" s="80">
        <f t="shared" si="29"/>
        <v>0</v>
      </c>
      <c r="Q83" s="178">
        <v>0</v>
      </c>
      <c r="R83" s="80">
        <f t="shared" si="30"/>
        <v>0</v>
      </c>
      <c r="S83" s="178">
        <v>0</v>
      </c>
      <c r="T83" s="80">
        <f t="shared" si="31"/>
        <v>0</v>
      </c>
      <c r="U83" s="178">
        <v>0</v>
      </c>
      <c r="V83" s="80">
        <f t="shared" si="32"/>
        <v>0</v>
      </c>
      <c r="X83" s="192"/>
    </row>
    <row r="84" spans="1:24" ht="12.75" customHeight="1">
      <c r="A84" s="2" t="s">
        <v>428</v>
      </c>
      <c r="B84" s="35"/>
      <c r="C84" s="178">
        <v>0</v>
      </c>
      <c r="D84" s="80">
        <f t="shared" ref="D84:D105" si="33">IFERROR(C84/C$28,0)</f>
        <v>0</v>
      </c>
      <c r="E84" s="178">
        <v>0</v>
      </c>
      <c r="F84" s="80">
        <f t="shared" ref="F84:F105" si="34">IFERROR(E84/E$28,0)</f>
        <v>0</v>
      </c>
      <c r="G84" s="178">
        <v>0</v>
      </c>
      <c r="H84" s="80">
        <f t="shared" ref="H84:H105" si="35">IFERROR(G84/G$28,0)</f>
        <v>0</v>
      </c>
      <c r="I84" s="178">
        <v>0</v>
      </c>
      <c r="J84" s="80">
        <f t="shared" ref="J84:J105" si="36">IFERROR(I84/I$28,0)</f>
        <v>0</v>
      </c>
      <c r="K84" s="178">
        <v>0</v>
      </c>
      <c r="L84" s="80">
        <f t="shared" ref="L84:L105" si="37">IFERROR(K84/K$28,0)</f>
        <v>0</v>
      </c>
      <c r="M84" s="178">
        <v>0</v>
      </c>
      <c r="N84" s="80">
        <f t="shared" ref="N84:N105" si="38">IFERROR(M84/M$28,0)</f>
        <v>0</v>
      </c>
      <c r="O84" s="178">
        <v>0</v>
      </c>
      <c r="P84" s="80">
        <f t="shared" ref="P84:P105" si="39">IFERROR(O84/O$28,0)</f>
        <v>0</v>
      </c>
      <c r="Q84" s="178">
        <v>0</v>
      </c>
      <c r="R84" s="80">
        <f t="shared" ref="R84:R105" si="40">IFERROR(Q84/Q$28,0)</f>
        <v>0</v>
      </c>
      <c r="S84" s="178">
        <v>0</v>
      </c>
      <c r="T84" s="80">
        <f t="shared" ref="T84:T105" si="41">IFERROR(S84/S$28,0)</f>
        <v>0</v>
      </c>
      <c r="U84" s="178">
        <v>0</v>
      </c>
      <c r="V84" s="80">
        <f t="shared" ref="V84:V105" si="42">IFERROR(U84/U$28,0)</f>
        <v>0</v>
      </c>
      <c r="X84" s="192"/>
    </row>
    <row r="85" spans="1:24" ht="12.75" customHeight="1">
      <c r="A85" s="2" t="s">
        <v>429</v>
      </c>
      <c r="B85" s="35"/>
      <c r="C85" s="178">
        <v>0</v>
      </c>
      <c r="D85" s="80">
        <f t="shared" si="33"/>
        <v>0</v>
      </c>
      <c r="E85" s="178">
        <v>0</v>
      </c>
      <c r="F85" s="80">
        <f t="shared" si="34"/>
        <v>0</v>
      </c>
      <c r="G85" s="178">
        <v>0</v>
      </c>
      <c r="H85" s="80">
        <f t="shared" si="35"/>
        <v>0</v>
      </c>
      <c r="I85" s="178">
        <v>0</v>
      </c>
      <c r="J85" s="80">
        <f t="shared" si="36"/>
        <v>0</v>
      </c>
      <c r="K85" s="178">
        <v>0</v>
      </c>
      <c r="L85" s="80">
        <f t="shared" si="37"/>
        <v>0</v>
      </c>
      <c r="M85" s="178">
        <v>0</v>
      </c>
      <c r="N85" s="80">
        <f t="shared" si="38"/>
        <v>0</v>
      </c>
      <c r="O85" s="178">
        <v>0</v>
      </c>
      <c r="P85" s="80">
        <f t="shared" si="39"/>
        <v>0</v>
      </c>
      <c r="Q85" s="178">
        <v>0</v>
      </c>
      <c r="R85" s="80">
        <f t="shared" si="40"/>
        <v>0</v>
      </c>
      <c r="S85" s="178">
        <v>0</v>
      </c>
      <c r="T85" s="80">
        <f t="shared" si="41"/>
        <v>0</v>
      </c>
      <c r="U85" s="178">
        <v>0</v>
      </c>
      <c r="V85" s="80">
        <f t="shared" si="42"/>
        <v>0</v>
      </c>
      <c r="X85" s="192"/>
    </row>
    <row r="86" spans="1:24" ht="12.75" customHeight="1">
      <c r="A86" s="2" t="s">
        <v>430</v>
      </c>
      <c r="B86" s="35"/>
      <c r="C86" s="178">
        <v>23703.115357440001</v>
      </c>
      <c r="D86" s="80">
        <f t="shared" si="33"/>
        <v>4.0000000000000001E-3</v>
      </c>
      <c r="E86" s="178">
        <v>20311.248320000002</v>
      </c>
      <c r="F86" s="80">
        <f t="shared" si="34"/>
        <v>4.0000000000000001E-3</v>
      </c>
      <c r="G86" s="178">
        <v>21813.747520000001</v>
      </c>
      <c r="H86" s="80">
        <f t="shared" si="35"/>
        <v>4.0000000000000001E-3</v>
      </c>
      <c r="I86" s="178">
        <v>22620.160561600005</v>
      </c>
      <c r="J86" s="80">
        <f t="shared" si="36"/>
        <v>4.0000000000000001E-3</v>
      </c>
      <c r="K86" s="178">
        <v>23792.012171097598</v>
      </c>
      <c r="L86" s="80">
        <f t="shared" si="37"/>
        <v>4.0000000000000001E-3</v>
      </c>
      <c r="M86" s="178">
        <v>24528.508450020061</v>
      </c>
      <c r="N86" s="80">
        <f t="shared" si="38"/>
        <v>3.9999999999999992E-3</v>
      </c>
      <c r="O86" s="178">
        <v>25296.815418335653</v>
      </c>
      <c r="P86" s="80">
        <f t="shared" si="39"/>
        <v>4.0000000000000001E-3</v>
      </c>
      <c r="Q86" s="178">
        <v>26052.447844888939</v>
      </c>
      <c r="R86" s="80">
        <f t="shared" si="40"/>
        <v>4.0000000000000001E-3</v>
      </c>
      <c r="S86" s="178">
        <v>26784.288418687203</v>
      </c>
      <c r="T86" s="80">
        <f t="shared" si="41"/>
        <v>3.9999999999999992E-3</v>
      </c>
      <c r="U86" s="178">
        <v>27552.119641015848</v>
      </c>
      <c r="V86" s="80">
        <f t="shared" si="42"/>
        <v>4.0000000000000001E-3</v>
      </c>
      <c r="X86" s="192"/>
    </row>
    <row r="87" spans="1:24" ht="12.75" customHeight="1">
      <c r="A87" s="2" t="s">
        <v>431</v>
      </c>
      <c r="B87" s="35"/>
      <c r="C87" s="178">
        <v>0</v>
      </c>
      <c r="D87" s="80">
        <f t="shared" si="33"/>
        <v>0</v>
      </c>
      <c r="E87" s="178">
        <v>0</v>
      </c>
      <c r="F87" s="80">
        <f t="shared" si="34"/>
        <v>0</v>
      </c>
      <c r="G87" s="178">
        <v>0</v>
      </c>
      <c r="H87" s="80">
        <f t="shared" si="35"/>
        <v>0</v>
      </c>
      <c r="I87" s="178">
        <v>0</v>
      </c>
      <c r="J87" s="80">
        <f t="shared" si="36"/>
        <v>0</v>
      </c>
      <c r="K87" s="178">
        <v>0</v>
      </c>
      <c r="L87" s="80">
        <f t="shared" si="37"/>
        <v>0</v>
      </c>
      <c r="M87" s="178">
        <v>0</v>
      </c>
      <c r="N87" s="80">
        <f t="shared" si="38"/>
        <v>0</v>
      </c>
      <c r="O87" s="178">
        <v>0</v>
      </c>
      <c r="P87" s="80">
        <f t="shared" si="39"/>
        <v>0</v>
      </c>
      <c r="Q87" s="178">
        <v>0</v>
      </c>
      <c r="R87" s="80">
        <f t="shared" si="40"/>
        <v>0</v>
      </c>
      <c r="S87" s="178">
        <v>0</v>
      </c>
      <c r="T87" s="80">
        <f t="shared" si="41"/>
        <v>0</v>
      </c>
      <c r="U87" s="178">
        <v>0</v>
      </c>
      <c r="V87" s="80">
        <f t="shared" si="42"/>
        <v>0</v>
      </c>
      <c r="X87" s="192"/>
    </row>
    <row r="88" spans="1:24" ht="12.75" customHeight="1">
      <c r="A88" s="2" t="s">
        <v>432</v>
      </c>
      <c r="B88" s="35"/>
      <c r="C88" s="178">
        <v>30221.472080735999</v>
      </c>
      <c r="D88" s="80">
        <f t="shared" si="33"/>
        <v>5.1000000000000004E-3</v>
      </c>
      <c r="E88" s="178">
        <v>25896.841608000002</v>
      </c>
      <c r="F88" s="80">
        <f t="shared" si="34"/>
        <v>5.1000000000000004E-3</v>
      </c>
      <c r="G88" s="178">
        <v>27812.528088000003</v>
      </c>
      <c r="H88" s="80">
        <f t="shared" si="35"/>
        <v>5.1000000000000004E-3</v>
      </c>
      <c r="I88" s="178">
        <v>28840.704716040007</v>
      </c>
      <c r="J88" s="80">
        <f t="shared" si="36"/>
        <v>5.1000000000000004E-3</v>
      </c>
      <c r="K88" s="178">
        <v>30334.81551814944</v>
      </c>
      <c r="L88" s="80">
        <f t="shared" si="37"/>
        <v>5.1000000000000004E-3</v>
      </c>
      <c r="M88" s="178">
        <v>31273.848273775584</v>
      </c>
      <c r="N88" s="80">
        <f t="shared" si="38"/>
        <v>5.1000000000000004E-3</v>
      </c>
      <c r="O88" s="178">
        <v>32253.439658377953</v>
      </c>
      <c r="P88" s="80">
        <f t="shared" si="39"/>
        <v>5.0999999999999995E-3</v>
      </c>
      <c r="Q88" s="178">
        <v>33216.871002233398</v>
      </c>
      <c r="R88" s="80">
        <f t="shared" si="40"/>
        <v>5.1000000000000004E-3</v>
      </c>
      <c r="S88" s="178">
        <v>34149.96773382619</v>
      </c>
      <c r="T88" s="80">
        <f t="shared" si="41"/>
        <v>5.1000000000000004E-3</v>
      </c>
      <c r="U88" s="178">
        <v>35128.952542295207</v>
      </c>
      <c r="V88" s="80">
        <f t="shared" si="42"/>
        <v>5.0999999999999995E-3</v>
      </c>
      <c r="X88" s="192"/>
    </row>
    <row r="89" spans="1:24" ht="12.75" customHeight="1">
      <c r="A89" s="2" t="s">
        <v>433</v>
      </c>
      <c r="B89" s="35"/>
      <c r="C89" s="178">
        <v>0</v>
      </c>
      <c r="D89" s="80">
        <f t="shared" si="33"/>
        <v>0</v>
      </c>
      <c r="E89" s="178">
        <v>0</v>
      </c>
      <c r="F89" s="80">
        <f t="shared" si="34"/>
        <v>0</v>
      </c>
      <c r="G89" s="178">
        <v>0</v>
      </c>
      <c r="H89" s="80">
        <f t="shared" si="35"/>
        <v>0</v>
      </c>
      <c r="I89" s="178">
        <v>0</v>
      </c>
      <c r="J89" s="80">
        <f t="shared" si="36"/>
        <v>0</v>
      </c>
      <c r="K89" s="178">
        <v>0</v>
      </c>
      <c r="L89" s="80">
        <f t="shared" si="37"/>
        <v>0</v>
      </c>
      <c r="M89" s="178">
        <v>0</v>
      </c>
      <c r="N89" s="80">
        <f t="shared" si="38"/>
        <v>0</v>
      </c>
      <c r="O89" s="178">
        <v>0</v>
      </c>
      <c r="P89" s="80">
        <f t="shared" si="39"/>
        <v>0</v>
      </c>
      <c r="Q89" s="178">
        <v>0</v>
      </c>
      <c r="R89" s="80">
        <f t="shared" si="40"/>
        <v>0</v>
      </c>
      <c r="S89" s="178">
        <v>0</v>
      </c>
      <c r="T89" s="80">
        <f t="shared" si="41"/>
        <v>0</v>
      </c>
      <c r="U89" s="178">
        <v>0</v>
      </c>
      <c r="V89" s="80">
        <f t="shared" si="42"/>
        <v>0</v>
      </c>
      <c r="X89" s="192"/>
    </row>
    <row r="90" spans="1:24" ht="12.75" customHeight="1">
      <c r="A90" s="2" t="s">
        <v>434</v>
      </c>
      <c r="B90" s="35"/>
      <c r="C90" s="178">
        <v>1185.1557678720001</v>
      </c>
      <c r="D90" s="80">
        <f t="shared" si="33"/>
        <v>2.0000000000000004E-4</v>
      </c>
      <c r="E90" s="178">
        <v>1015.5624160000002</v>
      </c>
      <c r="F90" s="80">
        <f t="shared" si="34"/>
        <v>2.0000000000000004E-4</v>
      </c>
      <c r="G90" s="178">
        <v>1090.6873760000001</v>
      </c>
      <c r="H90" s="80">
        <f t="shared" si="35"/>
        <v>2.0000000000000001E-4</v>
      </c>
      <c r="I90" s="178">
        <v>1131.0080280800003</v>
      </c>
      <c r="J90" s="80">
        <f t="shared" si="36"/>
        <v>2.0000000000000001E-4</v>
      </c>
      <c r="K90" s="178">
        <v>1189.60060855488</v>
      </c>
      <c r="L90" s="80">
        <f t="shared" si="37"/>
        <v>2.0000000000000001E-4</v>
      </c>
      <c r="M90" s="178">
        <v>1226.4254225010031</v>
      </c>
      <c r="N90" s="80">
        <f t="shared" si="38"/>
        <v>1.9999999999999998E-4</v>
      </c>
      <c r="O90" s="178">
        <v>1264.8407709167825</v>
      </c>
      <c r="P90" s="80">
        <f t="shared" si="39"/>
        <v>2.0000000000000001E-4</v>
      </c>
      <c r="Q90" s="178">
        <v>1302.6223922444469</v>
      </c>
      <c r="R90" s="80">
        <f t="shared" si="40"/>
        <v>2.0000000000000001E-4</v>
      </c>
      <c r="S90" s="178">
        <v>1339.2144209343603</v>
      </c>
      <c r="T90" s="80">
        <f t="shared" si="41"/>
        <v>2.0000000000000001E-4</v>
      </c>
      <c r="U90" s="178">
        <v>1377.6059820507924</v>
      </c>
      <c r="V90" s="80">
        <f t="shared" si="42"/>
        <v>1.9999999999999998E-4</v>
      </c>
      <c r="X90" s="192"/>
    </row>
    <row r="91" spans="1:24" ht="12.75" customHeight="1">
      <c r="A91" s="2" t="s">
        <v>435</v>
      </c>
      <c r="C91" s="178">
        <v>0</v>
      </c>
      <c r="D91" s="80">
        <f t="shared" si="33"/>
        <v>0</v>
      </c>
      <c r="E91" s="178">
        <v>0</v>
      </c>
      <c r="F91" s="80">
        <f t="shared" si="34"/>
        <v>0</v>
      </c>
      <c r="G91" s="178">
        <v>0</v>
      </c>
      <c r="H91" s="80">
        <f t="shared" si="35"/>
        <v>0</v>
      </c>
      <c r="I91" s="178">
        <v>0</v>
      </c>
      <c r="J91" s="80">
        <f t="shared" si="36"/>
        <v>0</v>
      </c>
      <c r="K91" s="178">
        <v>0</v>
      </c>
      <c r="L91" s="80">
        <f t="shared" si="37"/>
        <v>0</v>
      </c>
      <c r="M91" s="178">
        <v>0</v>
      </c>
      <c r="N91" s="80">
        <f t="shared" si="38"/>
        <v>0</v>
      </c>
      <c r="O91" s="178">
        <v>0</v>
      </c>
      <c r="P91" s="80">
        <f t="shared" si="39"/>
        <v>0</v>
      </c>
      <c r="Q91" s="178">
        <v>0</v>
      </c>
      <c r="R91" s="80">
        <f t="shared" si="40"/>
        <v>0</v>
      </c>
      <c r="S91" s="178">
        <v>0</v>
      </c>
      <c r="T91" s="80">
        <f t="shared" si="41"/>
        <v>0</v>
      </c>
      <c r="U91" s="178">
        <v>0</v>
      </c>
      <c r="V91" s="80">
        <f t="shared" si="42"/>
        <v>0</v>
      </c>
      <c r="X91" s="192"/>
    </row>
    <row r="92" spans="1:24" ht="12.75" customHeight="1">
      <c r="A92" s="2" t="s">
        <v>436</v>
      </c>
      <c r="B92" s="35"/>
      <c r="C92" s="178">
        <v>30814.049964671998</v>
      </c>
      <c r="D92" s="80">
        <f t="shared" si="33"/>
        <v>5.1999999999999998E-3</v>
      </c>
      <c r="E92" s="178">
        <v>26404.622815999999</v>
      </c>
      <c r="F92" s="80">
        <f t="shared" si="34"/>
        <v>5.1999999999999998E-3</v>
      </c>
      <c r="G92" s="178">
        <v>28357.871776</v>
      </c>
      <c r="H92" s="80">
        <f t="shared" si="35"/>
        <v>5.1999999999999998E-3</v>
      </c>
      <c r="I92" s="178">
        <v>29406.208730080005</v>
      </c>
      <c r="J92" s="80">
        <f t="shared" si="36"/>
        <v>5.1999999999999998E-3</v>
      </c>
      <c r="K92" s="178">
        <v>30929.615822426877</v>
      </c>
      <c r="L92" s="80">
        <f t="shared" si="37"/>
        <v>5.1999999999999998E-3</v>
      </c>
      <c r="M92" s="178">
        <v>31887.060985026081</v>
      </c>
      <c r="N92" s="80">
        <f t="shared" si="38"/>
        <v>5.1999999999999998E-3</v>
      </c>
      <c r="O92" s="178">
        <v>32885.860043836343</v>
      </c>
      <c r="P92" s="80">
        <f t="shared" si="39"/>
        <v>5.1999999999999998E-3</v>
      </c>
      <c r="Q92" s="178">
        <v>33868.182198355615</v>
      </c>
      <c r="R92" s="80">
        <f t="shared" si="40"/>
        <v>5.1999999999999998E-3</v>
      </c>
      <c r="S92" s="178">
        <v>34819.574944293367</v>
      </c>
      <c r="T92" s="80">
        <f t="shared" si="41"/>
        <v>5.1999999999999998E-3</v>
      </c>
      <c r="U92" s="178">
        <v>35817.755533320604</v>
      </c>
      <c r="V92" s="80">
        <f t="shared" si="42"/>
        <v>5.1999999999999998E-3</v>
      </c>
      <c r="X92" s="192"/>
    </row>
    <row r="93" spans="1:24" ht="12.75" customHeight="1">
      <c r="A93" s="2" t="s">
        <v>437</v>
      </c>
      <c r="B93" s="35"/>
      <c r="C93" s="178">
        <v>0</v>
      </c>
      <c r="D93" s="80">
        <f t="shared" si="33"/>
        <v>0</v>
      </c>
      <c r="E93" s="178">
        <v>0</v>
      </c>
      <c r="F93" s="80">
        <f t="shared" si="34"/>
        <v>0</v>
      </c>
      <c r="G93" s="178">
        <v>0</v>
      </c>
      <c r="H93" s="80">
        <f t="shared" si="35"/>
        <v>0</v>
      </c>
      <c r="I93" s="178">
        <v>0</v>
      </c>
      <c r="J93" s="80">
        <f t="shared" si="36"/>
        <v>0</v>
      </c>
      <c r="K93" s="178">
        <v>0</v>
      </c>
      <c r="L93" s="80">
        <f t="shared" si="37"/>
        <v>0</v>
      </c>
      <c r="M93" s="178">
        <v>0</v>
      </c>
      <c r="N93" s="80">
        <f t="shared" si="38"/>
        <v>0</v>
      </c>
      <c r="O93" s="178">
        <v>0</v>
      </c>
      <c r="P93" s="80">
        <f t="shared" si="39"/>
        <v>0</v>
      </c>
      <c r="Q93" s="178">
        <v>0</v>
      </c>
      <c r="R93" s="80">
        <f t="shared" si="40"/>
        <v>0</v>
      </c>
      <c r="S93" s="178">
        <v>0</v>
      </c>
      <c r="T93" s="80">
        <f t="shared" si="41"/>
        <v>0</v>
      </c>
      <c r="U93" s="178">
        <v>0</v>
      </c>
      <c r="V93" s="80">
        <f t="shared" si="42"/>
        <v>0</v>
      </c>
      <c r="X93" s="192"/>
    </row>
    <row r="94" spans="1:24" ht="12.75" customHeight="1">
      <c r="A94" s="2" t="s">
        <v>438</v>
      </c>
      <c r="B94" s="35"/>
      <c r="C94" s="178">
        <v>0</v>
      </c>
      <c r="D94" s="80">
        <f t="shared" si="33"/>
        <v>0</v>
      </c>
      <c r="E94" s="178">
        <v>0</v>
      </c>
      <c r="F94" s="80">
        <f t="shared" si="34"/>
        <v>0</v>
      </c>
      <c r="G94" s="178">
        <v>0</v>
      </c>
      <c r="H94" s="80">
        <f t="shared" si="35"/>
        <v>0</v>
      </c>
      <c r="I94" s="178">
        <v>0</v>
      </c>
      <c r="J94" s="80">
        <f t="shared" si="36"/>
        <v>0</v>
      </c>
      <c r="K94" s="178">
        <v>0</v>
      </c>
      <c r="L94" s="80">
        <f t="shared" si="37"/>
        <v>0</v>
      </c>
      <c r="M94" s="178">
        <v>0</v>
      </c>
      <c r="N94" s="80">
        <f t="shared" si="38"/>
        <v>0</v>
      </c>
      <c r="O94" s="178">
        <v>0</v>
      </c>
      <c r="P94" s="80">
        <f t="shared" si="39"/>
        <v>0</v>
      </c>
      <c r="Q94" s="178">
        <v>0</v>
      </c>
      <c r="R94" s="80">
        <f t="shared" si="40"/>
        <v>0</v>
      </c>
      <c r="S94" s="178">
        <v>0</v>
      </c>
      <c r="T94" s="80">
        <f t="shared" si="41"/>
        <v>0</v>
      </c>
      <c r="U94" s="178">
        <v>0</v>
      </c>
      <c r="V94" s="80">
        <f t="shared" si="42"/>
        <v>0</v>
      </c>
      <c r="X94" s="192"/>
    </row>
    <row r="95" spans="1:24" ht="12.75" customHeight="1">
      <c r="A95" s="2" t="s">
        <v>439</v>
      </c>
      <c r="B95" s="35"/>
      <c r="C95" s="178">
        <v>0</v>
      </c>
      <c r="D95" s="80">
        <f t="shared" si="33"/>
        <v>0</v>
      </c>
      <c r="E95" s="178">
        <v>0</v>
      </c>
      <c r="F95" s="80">
        <f t="shared" si="34"/>
        <v>0</v>
      </c>
      <c r="G95" s="178">
        <v>0</v>
      </c>
      <c r="H95" s="80">
        <f t="shared" si="35"/>
        <v>0</v>
      </c>
      <c r="I95" s="178">
        <v>0</v>
      </c>
      <c r="J95" s="80">
        <f t="shared" si="36"/>
        <v>0</v>
      </c>
      <c r="K95" s="178">
        <v>0</v>
      </c>
      <c r="L95" s="80">
        <f t="shared" si="37"/>
        <v>0</v>
      </c>
      <c r="M95" s="178">
        <v>0</v>
      </c>
      <c r="N95" s="80">
        <f t="shared" si="38"/>
        <v>0</v>
      </c>
      <c r="O95" s="178">
        <v>0</v>
      </c>
      <c r="P95" s="80">
        <f t="shared" si="39"/>
        <v>0</v>
      </c>
      <c r="Q95" s="178">
        <v>0</v>
      </c>
      <c r="R95" s="80">
        <f t="shared" si="40"/>
        <v>0</v>
      </c>
      <c r="S95" s="178">
        <v>0</v>
      </c>
      <c r="T95" s="80">
        <f t="shared" si="41"/>
        <v>0</v>
      </c>
      <c r="U95" s="178">
        <v>0</v>
      </c>
      <c r="V95" s="80">
        <f t="shared" si="42"/>
        <v>0</v>
      </c>
      <c r="X95" s="192"/>
    </row>
    <row r="96" spans="1:24" ht="12.75" customHeight="1">
      <c r="A96" s="2" t="s">
        <v>440</v>
      </c>
      <c r="B96" s="35"/>
      <c r="C96" s="178">
        <v>0</v>
      </c>
      <c r="D96" s="80">
        <f t="shared" si="33"/>
        <v>0</v>
      </c>
      <c r="E96" s="178">
        <v>0</v>
      </c>
      <c r="F96" s="80">
        <f t="shared" si="34"/>
        <v>0</v>
      </c>
      <c r="G96" s="178">
        <v>0</v>
      </c>
      <c r="H96" s="80">
        <f t="shared" si="35"/>
        <v>0</v>
      </c>
      <c r="I96" s="178">
        <v>0</v>
      </c>
      <c r="J96" s="80">
        <f t="shared" si="36"/>
        <v>0</v>
      </c>
      <c r="K96" s="178">
        <v>0</v>
      </c>
      <c r="L96" s="80">
        <f t="shared" si="37"/>
        <v>0</v>
      </c>
      <c r="M96" s="178">
        <v>0</v>
      </c>
      <c r="N96" s="80">
        <f t="shared" si="38"/>
        <v>0</v>
      </c>
      <c r="O96" s="178">
        <v>0</v>
      </c>
      <c r="P96" s="80">
        <f t="shared" si="39"/>
        <v>0</v>
      </c>
      <c r="Q96" s="178">
        <v>0</v>
      </c>
      <c r="R96" s="80">
        <f t="shared" si="40"/>
        <v>0</v>
      </c>
      <c r="S96" s="178">
        <v>0</v>
      </c>
      <c r="T96" s="80">
        <f t="shared" si="41"/>
        <v>0</v>
      </c>
      <c r="U96" s="178">
        <v>0</v>
      </c>
      <c r="V96" s="80">
        <f t="shared" si="42"/>
        <v>0</v>
      </c>
      <c r="X96" s="192"/>
    </row>
    <row r="97" spans="1:24" ht="12.75" customHeight="1">
      <c r="A97" s="2" t="s">
        <v>441</v>
      </c>
      <c r="B97" s="35"/>
      <c r="C97" s="178">
        <v>31976.1387</v>
      </c>
      <c r="D97" s="80">
        <f t="shared" si="33"/>
        <v>5.3961073416390797E-3</v>
      </c>
      <c r="E97" s="178">
        <v>26636.199629397724</v>
      </c>
      <c r="F97" s="80">
        <f t="shared" si="34"/>
        <v>5.2456056289104979E-3</v>
      </c>
      <c r="G97" s="178">
        <v>25087.104620132668</v>
      </c>
      <c r="H97" s="80">
        <f t="shared" si="35"/>
        <v>4.6002374598186728E-3</v>
      </c>
      <c r="I97" s="178">
        <v>25623.702572070819</v>
      </c>
      <c r="J97" s="80">
        <f t="shared" si="36"/>
        <v>4.5311265589457628E-3</v>
      </c>
      <c r="K97" s="178">
        <v>26120.863294626375</v>
      </c>
      <c r="L97" s="80">
        <f t="shared" si="37"/>
        <v>4.3915349583349408E-3</v>
      </c>
      <c r="M97" s="178">
        <v>26773.88487699203</v>
      </c>
      <c r="N97" s="80">
        <f t="shared" si="38"/>
        <v>4.366165995220982E-3</v>
      </c>
      <c r="O97" s="178">
        <v>27443.231998916835</v>
      </c>
      <c r="P97" s="80">
        <f t="shared" si="39"/>
        <v>4.3393971209554575E-3</v>
      </c>
      <c r="Q97" s="178">
        <v>27992.096638895164</v>
      </c>
      <c r="R97" s="80">
        <f t="shared" si="40"/>
        <v>4.2978067635800685E-3</v>
      </c>
      <c r="S97" s="178">
        <v>26375.990972346917</v>
      </c>
      <c r="T97" s="80">
        <f t="shared" si="41"/>
        <v>3.9390243354674422E-3</v>
      </c>
      <c r="U97" s="178">
        <v>26932.464502484549</v>
      </c>
      <c r="V97" s="80">
        <f t="shared" si="42"/>
        <v>3.9100388432389294E-3</v>
      </c>
      <c r="X97" s="192"/>
    </row>
    <row r="98" spans="1:24" ht="12.75" customHeight="1">
      <c r="A98" s="117" t="s">
        <v>442</v>
      </c>
      <c r="B98" s="35"/>
      <c r="C98" s="178">
        <v>7110.9346072319986</v>
      </c>
      <c r="D98" s="80">
        <f t="shared" si="33"/>
        <v>1.1999999999999999E-3</v>
      </c>
      <c r="E98" s="178">
        <v>6093.3744959999995</v>
      </c>
      <c r="F98" s="80">
        <f t="shared" si="34"/>
        <v>1.1999999999999999E-3</v>
      </c>
      <c r="G98" s="178">
        <v>6544.1242560000001</v>
      </c>
      <c r="H98" s="80">
        <f t="shared" si="35"/>
        <v>1.2000000000000001E-3</v>
      </c>
      <c r="I98" s="178">
        <v>6786.0481684799997</v>
      </c>
      <c r="J98" s="80">
        <f t="shared" si="36"/>
        <v>1.1999999999999997E-3</v>
      </c>
      <c r="K98" s="178">
        <v>7137.6036513292793</v>
      </c>
      <c r="L98" s="80">
        <f t="shared" si="37"/>
        <v>1.1999999999999999E-3</v>
      </c>
      <c r="M98" s="178">
        <v>7358.5525350060179</v>
      </c>
      <c r="N98" s="80">
        <f t="shared" si="38"/>
        <v>1.1999999999999999E-3</v>
      </c>
      <c r="O98" s="178">
        <v>7589.0446255006946</v>
      </c>
      <c r="P98" s="80">
        <f t="shared" si="39"/>
        <v>1.1999999999999999E-3</v>
      </c>
      <c r="Q98" s="178">
        <v>7815.7343534666797</v>
      </c>
      <c r="R98" s="80">
        <f t="shared" si="40"/>
        <v>1.1999999999999999E-3</v>
      </c>
      <c r="S98" s="178">
        <v>8035.2865256061605</v>
      </c>
      <c r="T98" s="80">
        <f t="shared" si="41"/>
        <v>1.1999999999999999E-3</v>
      </c>
      <c r="U98" s="178">
        <v>8265.6358923047537</v>
      </c>
      <c r="V98" s="80">
        <f t="shared" si="42"/>
        <v>1.1999999999999999E-3</v>
      </c>
      <c r="X98" s="192"/>
    </row>
    <row r="99" spans="1:24" ht="12.75" customHeight="1">
      <c r="A99" s="117" t="s">
        <v>443</v>
      </c>
      <c r="B99" s="35"/>
      <c r="C99" s="178">
        <v>0</v>
      </c>
      <c r="D99" s="80">
        <f t="shared" si="33"/>
        <v>0</v>
      </c>
      <c r="E99" s="178">
        <v>0</v>
      </c>
      <c r="F99" s="80">
        <f t="shared" si="34"/>
        <v>0</v>
      </c>
      <c r="G99" s="178">
        <v>0</v>
      </c>
      <c r="H99" s="80">
        <f t="shared" si="35"/>
        <v>0</v>
      </c>
      <c r="I99" s="178">
        <v>0</v>
      </c>
      <c r="J99" s="80">
        <f t="shared" si="36"/>
        <v>0</v>
      </c>
      <c r="K99" s="178">
        <v>0</v>
      </c>
      <c r="L99" s="80">
        <f t="shared" si="37"/>
        <v>0</v>
      </c>
      <c r="M99" s="178">
        <v>0</v>
      </c>
      <c r="N99" s="80">
        <f t="shared" si="38"/>
        <v>0</v>
      </c>
      <c r="O99" s="178">
        <v>0</v>
      </c>
      <c r="P99" s="80">
        <f t="shared" si="39"/>
        <v>0</v>
      </c>
      <c r="Q99" s="178">
        <v>0</v>
      </c>
      <c r="R99" s="80">
        <f t="shared" si="40"/>
        <v>0</v>
      </c>
      <c r="S99" s="178">
        <v>0</v>
      </c>
      <c r="T99" s="80">
        <f t="shared" si="41"/>
        <v>0</v>
      </c>
      <c r="U99" s="178">
        <v>0</v>
      </c>
      <c r="V99" s="80">
        <f t="shared" si="42"/>
        <v>0</v>
      </c>
      <c r="X99" s="192"/>
    </row>
    <row r="100" spans="1:24" ht="12.75" customHeight="1">
      <c r="A100" s="117" t="s">
        <v>444</v>
      </c>
      <c r="B100" s="35"/>
      <c r="C100" s="178">
        <v>0</v>
      </c>
      <c r="D100" s="80">
        <f t="shared" si="33"/>
        <v>0</v>
      </c>
      <c r="E100" s="178">
        <v>0</v>
      </c>
      <c r="F100" s="80">
        <f t="shared" si="34"/>
        <v>0</v>
      </c>
      <c r="G100" s="178">
        <v>0</v>
      </c>
      <c r="H100" s="80">
        <f t="shared" si="35"/>
        <v>0</v>
      </c>
      <c r="I100" s="178">
        <v>0</v>
      </c>
      <c r="J100" s="80">
        <f t="shared" si="36"/>
        <v>0</v>
      </c>
      <c r="K100" s="178">
        <v>0</v>
      </c>
      <c r="L100" s="80">
        <f t="shared" si="37"/>
        <v>0</v>
      </c>
      <c r="M100" s="178">
        <v>0</v>
      </c>
      <c r="N100" s="80">
        <f t="shared" si="38"/>
        <v>0</v>
      </c>
      <c r="O100" s="178">
        <v>0</v>
      </c>
      <c r="P100" s="80">
        <f t="shared" si="39"/>
        <v>0</v>
      </c>
      <c r="Q100" s="178">
        <v>0</v>
      </c>
      <c r="R100" s="80">
        <f t="shared" si="40"/>
        <v>0</v>
      </c>
      <c r="S100" s="178">
        <v>0</v>
      </c>
      <c r="T100" s="80">
        <f t="shared" si="41"/>
        <v>0</v>
      </c>
      <c r="U100" s="178">
        <v>0</v>
      </c>
      <c r="V100" s="80">
        <f t="shared" si="42"/>
        <v>0</v>
      </c>
      <c r="X100" s="192"/>
    </row>
    <row r="101" spans="1:24" ht="12.75" customHeight="1">
      <c r="A101" s="2" t="s">
        <v>445</v>
      </c>
      <c r="B101" s="35"/>
      <c r="C101" s="178"/>
      <c r="D101" s="80">
        <f t="shared" si="33"/>
        <v>0</v>
      </c>
      <c r="E101" s="178"/>
      <c r="F101" s="80">
        <f t="shared" si="34"/>
        <v>0</v>
      </c>
      <c r="G101" s="178"/>
      <c r="H101" s="80">
        <f t="shared" si="35"/>
        <v>0</v>
      </c>
      <c r="I101" s="178">
        <v>0</v>
      </c>
      <c r="J101" s="80">
        <f t="shared" si="36"/>
        <v>0</v>
      </c>
      <c r="K101" s="178">
        <v>0</v>
      </c>
      <c r="L101" s="80">
        <f t="shared" si="37"/>
        <v>0</v>
      </c>
      <c r="M101" s="178">
        <v>0</v>
      </c>
      <c r="N101" s="80">
        <f t="shared" si="38"/>
        <v>0</v>
      </c>
      <c r="O101" s="178">
        <v>0</v>
      </c>
      <c r="P101" s="80">
        <f t="shared" si="39"/>
        <v>0</v>
      </c>
      <c r="Q101" s="178">
        <v>0</v>
      </c>
      <c r="R101" s="80">
        <f t="shared" si="40"/>
        <v>0</v>
      </c>
      <c r="S101" s="178">
        <v>0</v>
      </c>
      <c r="T101" s="80">
        <f t="shared" si="41"/>
        <v>0</v>
      </c>
      <c r="U101" s="178">
        <v>0</v>
      </c>
      <c r="V101" s="80">
        <f t="shared" si="42"/>
        <v>0</v>
      </c>
      <c r="X101" s="192"/>
    </row>
    <row r="102" spans="1:24" ht="12.75" customHeight="1">
      <c r="A102" s="117" t="s">
        <v>446</v>
      </c>
      <c r="B102" s="35"/>
      <c r="C102" s="178">
        <v>0</v>
      </c>
      <c r="D102" s="80">
        <f t="shared" si="33"/>
        <v>0</v>
      </c>
      <c r="E102" s="178">
        <v>0</v>
      </c>
      <c r="F102" s="80">
        <f t="shared" si="34"/>
        <v>0</v>
      </c>
      <c r="G102" s="178">
        <v>0</v>
      </c>
      <c r="H102" s="80">
        <f t="shared" si="35"/>
        <v>0</v>
      </c>
      <c r="I102" s="178">
        <v>0</v>
      </c>
      <c r="J102" s="80">
        <f t="shared" si="36"/>
        <v>0</v>
      </c>
      <c r="K102" s="178">
        <v>0</v>
      </c>
      <c r="L102" s="80">
        <f t="shared" si="37"/>
        <v>0</v>
      </c>
      <c r="M102" s="178">
        <v>0</v>
      </c>
      <c r="N102" s="80">
        <f t="shared" si="38"/>
        <v>0</v>
      </c>
      <c r="O102" s="178">
        <v>0</v>
      </c>
      <c r="P102" s="80">
        <f t="shared" si="39"/>
        <v>0</v>
      </c>
      <c r="Q102" s="178">
        <v>0</v>
      </c>
      <c r="R102" s="80">
        <f t="shared" si="40"/>
        <v>0</v>
      </c>
      <c r="S102" s="178">
        <v>0</v>
      </c>
      <c r="T102" s="80">
        <f t="shared" si="41"/>
        <v>0</v>
      </c>
      <c r="U102" s="178">
        <v>0</v>
      </c>
      <c r="V102" s="80">
        <f t="shared" si="42"/>
        <v>0</v>
      </c>
      <c r="X102" s="192"/>
    </row>
    <row r="103" spans="1:24" ht="12.75" customHeight="1">
      <c r="A103" s="117" t="s">
        <v>446</v>
      </c>
      <c r="B103" s="35"/>
      <c r="C103" s="178">
        <v>0</v>
      </c>
      <c r="D103" s="80">
        <f t="shared" si="33"/>
        <v>0</v>
      </c>
      <c r="E103" s="178">
        <v>0</v>
      </c>
      <c r="F103" s="80">
        <f t="shared" si="34"/>
        <v>0</v>
      </c>
      <c r="G103" s="178">
        <v>0</v>
      </c>
      <c r="H103" s="80">
        <f t="shared" si="35"/>
        <v>0</v>
      </c>
      <c r="I103" s="178">
        <v>0</v>
      </c>
      <c r="J103" s="80">
        <f t="shared" si="36"/>
        <v>0</v>
      </c>
      <c r="K103" s="178">
        <v>0</v>
      </c>
      <c r="L103" s="80">
        <f t="shared" si="37"/>
        <v>0</v>
      </c>
      <c r="M103" s="178">
        <v>0</v>
      </c>
      <c r="N103" s="80">
        <f t="shared" si="38"/>
        <v>0</v>
      </c>
      <c r="O103" s="178">
        <v>0</v>
      </c>
      <c r="P103" s="80">
        <f t="shared" si="39"/>
        <v>0</v>
      </c>
      <c r="Q103" s="178">
        <v>0</v>
      </c>
      <c r="R103" s="80">
        <f t="shared" si="40"/>
        <v>0</v>
      </c>
      <c r="S103" s="178">
        <v>0</v>
      </c>
      <c r="T103" s="80">
        <f t="shared" si="41"/>
        <v>0</v>
      </c>
      <c r="U103" s="178">
        <v>0</v>
      </c>
      <c r="V103" s="80">
        <f t="shared" si="42"/>
        <v>0</v>
      </c>
      <c r="X103" s="192"/>
    </row>
    <row r="104" spans="1:24" ht="12.75" customHeight="1">
      <c r="A104" s="117" t="s">
        <v>446</v>
      </c>
      <c r="B104" s="35"/>
      <c r="C104" s="178">
        <v>0</v>
      </c>
      <c r="D104" s="80">
        <f t="shared" si="33"/>
        <v>0</v>
      </c>
      <c r="E104" s="178">
        <v>0</v>
      </c>
      <c r="F104" s="80">
        <f t="shared" si="34"/>
        <v>0</v>
      </c>
      <c r="G104" s="178">
        <v>0</v>
      </c>
      <c r="H104" s="80">
        <f t="shared" si="35"/>
        <v>0</v>
      </c>
      <c r="I104" s="178">
        <v>0</v>
      </c>
      <c r="J104" s="80">
        <f t="shared" si="36"/>
        <v>0</v>
      </c>
      <c r="K104" s="178">
        <v>0</v>
      </c>
      <c r="L104" s="80">
        <f t="shared" si="37"/>
        <v>0</v>
      </c>
      <c r="M104" s="178">
        <v>0</v>
      </c>
      <c r="N104" s="80">
        <f t="shared" si="38"/>
        <v>0</v>
      </c>
      <c r="O104" s="178">
        <v>0</v>
      </c>
      <c r="P104" s="80">
        <f t="shared" si="39"/>
        <v>0</v>
      </c>
      <c r="Q104" s="178">
        <v>0</v>
      </c>
      <c r="R104" s="80">
        <f t="shared" si="40"/>
        <v>0</v>
      </c>
      <c r="S104" s="178">
        <v>0</v>
      </c>
      <c r="T104" s="80">
        <f t="shared" si="41"/>
        <v>0</v>
      </c>
      <c r="U104" s="178">
        <v>0</v>
      </c>
      <c r="V104" s="80">
        <f t="shared" si="42"/>
        <v>0</v>
      </c>
      <c r="X104" s="192"/>
    </row>
    <row r="105" spans="1:24" ht="12.75" customHeight="1">
      <c r="A105" s="1" t="s">
        <v>447</v>
      </c>
      <c r="B105" s="53"/>
      <c r="C105" s="82">
        <f>SUM(C52:C104)</f>
        <v>518931.04342740757</v>
      </c>
      <c r="D105" s="83">
        <f t="shared" si="33"/>
        <v>8.7571787185269562E-2</v>
      </c>
      <c r="E105" s="82">
        <f>SUM(E52:E104)</f>
        <v>444820.89126612205</v>
      </c>
      <c r="F105" s="83">
        <f t="shared" si="34"/>
        <v>8.7600896657467883E-2</v>
      </c>
      <c r="G105" s="82">
        <f>SUM(G52:G104)</f>
        <v>473493.85938130156</v>
      </c>
      <c r="H105" s="83">
        <f t="shared" si="35"/>
        <v>8.6824853720742348E-2</v>
      </c>
      <c r="I105" s="82">
        <f>SUM(I52:I104)</f>
        <v>490784.57487934199</v>
      </c>
      <c r="J105" s="83">
        <f t="shared" si="36"/>
        <v>8.6787107198964472E-2</v>
      </c>
      <c r="K105" s="82">
        <f>SUM(K52:K104)</f>
        <v>515155.19889745611</v>
      </c>
      <c r="L105" s="83">
        <f t="shared" si="37"/>
        <v>8.660977393467606E-2</v>
      </c>
      <c r="M105" s="82">
        <f>SUM(M52:M104)</f>
        <v>531072.78792541777</v>
      </c>
      <c r="N105" s="83">
        <f t="shared" si="38"/>
        <v>8.6604986847454782E-2</v>
      </c>
      <c r="O105" s="82">
        <f>SUM(O52:O104)</f>
        <v>547697.73954484682</v>
      </c>
      <c r="P105" s="83">
        <f t="shared" si="39"/>
        <v>8.6603429006777546E-2</v>
      </c>
      <c r="Q105" s="82">
        <f>SUM(Q52:Q104)</f>
        <v>564021.34014869854</v>
      </c>
      <c r="R105" s="83">
        <f t="shared" si="40"/>
        <v>8.6597826585320323E-2</v>
      </c>
      <c r="S105" s="82">
        <f>SUM(S52:S104)</f>
        <v>577697.95035559288</v>
      </c>
      <c r="T105" s="83">
        <f t="shared" si="41"/>
        <v>8.6274153163992534E-2</v>
      </c>
      <c r="U105" s="82">
        <f>SUM(U52:U104)</f>
        <v>594317.71229532419</v>
      </c>
      <c r="V105" s="83">
        <f t="shared" si="42"/>
        <v>8.6282684604865725E-2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448</v>
      </c>
      <c r="B107" s="53"/>
      <c r="C107" s="82">
        <f>C28-C33-C46-C105</f>
        <v>3439154.9751329115</v>
      </c>
      <c r="D107" s="83">
        <f>IFERROR(C107/C$28,0)</f>
        <v>0.58037180737989702</v>
      </c>
      <c r="E107" s="82">
        <f>E28-E33-E46-E105</f>
        <v>2752647.0096894461</v>
      </c>
      <c r="F107" s="83">
        <f>IFERROR(E107/E$28,0)</f>
        <v>0.54209312324323866</v>
      </c>
      <c r="G107" s="82">
        <f>G28-G33-G46-G105</f>
        <v>3056343.9525581561</v>
      </c>
      <c r="H107" s="83">
        <f>IFERROR(G107/G$28,0)</f>
        <v>0.56044362845145024</v>
      </c>
      <c r="I107" s="82">
        <f>I28-I33-I46-I105</f>
        <v>3293043.2524151905</v>
      </c>
      <c r="J107" s="83">
        <f>IFERROR(I107/I$28,0)</f>
        <v>0.58232004913448099</v>
      </c>
      <c r="K107" s="82">
        <f>K28-K33-K46-K105</f>
        <v>3486818.7559058401</v>
      </c>
      <c r="L107" s="83">
        <f>IFERROR(K107/K$28,0)</f>
        <v>0.58621670682257088</v>
      </c>
      <c r="M107" s="82">
        <f>M28-M33-M46-M105</f>
        <v>3598935.4707403537</v>
      </c>
      <c r="N107" s="83">
        <f>IFERROR(M107/M$28,0)</f>
        <v>0.58689838040068998</v>
      </c>
      <c r="O107" s="82">
        <f>O28-O33-O46-O105</f>
        <v>3621328.7835391639</v>
      </c>
      <c r="P107" s="83">
        <f>IFERROR(O107/O$28,0)</f>
        <v>0.57261417671006143</v>
      </c>
      <c r="Q107" s="82">
        <f>Q28-Q33-Q46-Q105</f>
        <v>3736764.336295641</v>
      </c>
      <c r="R107" s="83">
        <f>IFERROR(Q107/Q$28,0)</f>
        <v>0.57372947963179333</v>
      </c>
      <c r="S107" s="82">
        <f>S28-S33-S46-S105</f>
        <v>3909819.7132155476</v>
      </c>
      <c r="T107" s="83">
        <f>IFERROR(S107/S$28,0)</f>
        <v>0.58389749275365399</v>
      </c>
      <c r="U107" s="82">
        <f>U28-U33-U46-U105</f>
        <v>3992691.6194687611</v>
      </c>
      <c r="V107" s="83">
        <f>IFERROR(U107/U$28,0)</f>
        <v>0.57965654497594221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449</v>
      </c>
      <c r="B110" s="40"/>
      <c r="C110" s="86" t="str">
        <f>C50</f>
        <v>FY 2018-19</v>
      </c>
      <c r="D110" s="86" t="s">
        <v>366</v>
      </c>
      <c r="E110" s="86" t="str">
        <f>E50</f>
        <v>FY 2019-20</v>
      </c>
      <c r="F110" s="86" t="s">
        <v>366</v>
      </c>
      <c r="G110" s="86" t="str">
        <f>G50</f>
        <v>FY 2020-21</v>
      </c>
      <c r="H110" s="86" t="s">
        <v>366</v>
      </c>
      <c r="I110" s="86" t="str">
        <f>I50</f>
        <v>FY 2021-22</v>
      </c>
      <c r="J110" s="86" t="s">
        <v>366</v>
      </c>
      <c r="K110" s="86" t="str">
        <f>K50</f>
        <v>FY 2022-23</v>
      </c>
      <c r="L110" s="86" t="s">
        <v>366</v>
      </c>
      <c r="M110" s="86" t="str">
        <f>M50</f>
        <v>FY 2023-24</v>
      </c>
      <c r="N110" s="86" t="s">
        <v>366</v>
      </c>
      <c r="O110" s="86" t="str">
        <f>O50</f>
        <v>FY 2024-25</v>
      </c>
      <c r="P110" s="86" t="s">
        <v>366</v>
      </c>
      <c r="Q110" s="86" t="str">
        <f>Q50</f>
        <v>FY 2025-26</v>
      </c>
      <c r="R110" s="86" t="s">
        <v>366</v>
      </c>
      <c r="S110" s="86" t="str">
        <f>S50</f>
        <v>FY 2026-27</v>
      </c>
      <c r="T110" s="86" t="s">
        <v>366</v>
      </c>
      <c r="U110" s="86" t="str">
        <f>U50</f>
        <v>FY 2027-28</v>
      </c>
      <c r="V110" s="86" t="s">
        <v>366</v>
      </c>
    </row>
    <row r="111" spans="1:24" ht="12.75" customHeight="1">
      <c r="A111" s="2" t="s">
        <v>403</v>
      </c>
      <c r="B111" s="35"/>
      <c r="C111" s="79">
        <f>C59</f>
        <v>0</v>
      </c>
      <c r="D111" s="80">
        <f t="shared" ref="D111:D116" si="43">IFERROR(C111/C$28,0)</f>
        <v>0</v>
      </c>
      <c r="E111" s="79">
        <f>E59</f>
        <v>0</v>
      </c>
      <c r="F111" s="80">
        <f t="shared" ref="F111:F116" si="44">IFERROR(E111/E$28,0)</f>
        <v>0</v>
      </c>
      <c r="G111" s="79">
        <f>G59</f>
        <v>0</v>
      </c>
      <c r="H111" s="80">
        <f t="shared" ref="H111:H116" si="45">IFERROR(G111/G$28,0)</f>
        <v>0</v>
      </c>
      <c r="I111" s="79">
        <f>I59</f>
        <v>0</v>
      </c>
      <c r="J111" s="80">
        <f t="shared" ref="J111:J116" si="46">IFERROR(I111/I$28,0)</f>
        <v>0</v>
      </c>
      <c r="K111" s="79">
        <f>K59</f>
        <v>0</v>
      </c>
      <c r="L111" s="80">
        <f t="shared" ref="L111:L116" si="47">IFERROR(K111/K$28,0)</f>
        <v>0</v>
      </c>
      <c r="M111" s="79">
        <f>M59</f>
        <v>0</v>
      </c>
      <c r="N111" s="80">
        <f t="shared" ref="N111:N116" si="48">IFERROR(M111/M$28,0)</f>
        <v>0</v>
      </c>
      <c r="O111" s="79">
        <f>O59</f>
        <v>0</v>
      </c>
      <c r="P111" s="80">
        <f t="shared" ref="P111:P116" si="49">IFERROR(O111/O$28,0)</f>
        <v>0</v>
      </c>
      <c r="Q111" s="79">
        <f>Q59</f>
        <v>0</v>
      </c>
      <c r="R111" s="80">
        <f t="shared" ref="R111:R116" si="50">IFERROR(Q111/Q$28,0)</f>
        <v>0</v>
      </c>
      <c r="S111" s="79">
        <f>S59</f>
        <v>0</v>
      </c>
      <c r="T111" s="80">
        <f t="shared" ref="T111:T116" si="51">IFERROR(S111/S$28,0)</f>
        <v>0</v>
      </c>
      <c r="U111" s="79">
        <f>U59</f>
        <v>0</v>
      </c>
      <c r="V111" s="80">
        <f t="shared" ref="V111:V116" si="52">IFERROR(U111/U$28,0)</f>
        <v>0</v>
      </c>
    </row>
    <row r="112" spans="1:24" ht="12.75" customHeight="1">
      <c r="A112" s="2" t="s">
        <v>450</v>
      </c>
      <c r="B112" s="35"/>
      <c r="C112" s="79">
        <f>C62</f>
        <v>0</v>
      </c>
      <c r="D112" s="80">
        <f t="shared" si="43"/>
        <v>0</v>
      </c>
      <c r="E112" s="79">
        <f>E62</f>
        <v>0</v>
      </c>
      <c r="F112" s="80">
        <f t="shared" si="44"/>
        <v>0</v>
      </c>
      <c r="G112" s="79">
        <f>G62</f>
        <v>0</v>
      </c>
      <c r="H112" s="80">
        <f t="shared" si="45"/>
        <v>0</v>
      </c>
      <c r="I112" s="79">
        <f>I62</f>
        <v>0</v>
      </c>
      <c r="J112" s="80">
        <f t="shared" si="46"/>
        <v>0</v>
      </c>
      <c r="K112" s="79">
        <f>K62</f>
        <v>0</v>
      </c>
      <c r="L112" s="80">
        <f t="shared" si="47"/>
        <v>0</v>
      </c>
      <c r="M112" s="79">
        <f>M62</f>
        <v>0</v>
      </c>
      <c r="N112" s="80">
        <f t="shared" si="48"/>
        <v>0</v>
      </c>
      <c r="O112" s="79">
        <f>O62</f>
        <v>0</v>
      </c>
      <c r="P112" s="80">
        <f t="shared" si="49"/>
        <v>0</v>
      </c>
      <c r="Q112" s="79">
        <f>Q62</f>
        <v>0</v>
      </c>
      <c r="R112" s="80">
        <f t="shared" si="50"/>
        <v>0</v>
      </c>
      <c r="S112" s="79">
        <f>S62</f>
        <v>0</v>
      </c>
      <c r="T112" s="80">
        <f t="shared" si="51"/>
        <v>0</v>
      </c>
      <c r="U112" s="79">
        <f>U62</f>
        <v>0</v>
      </c>
      <c r="V112" s="80">
        <f t="shared" si="52"/>
        <v>0</v>
      </c>
    </row>
    <row r="113" spans="1:22" ht="12.75" customHeight="1">
      <c r="A113" s="117" t="s">
        <v>446</v>
      </c>
      <c r="B113" s="41"/>
      <c r="C113" s="111">
        <v>0</v>
      </c>
      <c r="D113" s="80">
        <f t="shared" si="43"/>
        <v>0</v>
      </c>
      <c r="E113" s="111">
        <v>0</v>
      </c>
      <c r="F113" s="80">
        <f t="shared" si="44"/>
        <v>0</v>
      </c>
      <c r="G113" s="111">
        <v>0</v>
      </c>
      <c r="H113" s="80">
        <f t="shared" si="45"/>
        <v>0</v>
      </c>
      <c r="I113" s="111">
        <v>0</v>
      </c>
      <c r="J113" s="80">
        <f t="shared" si="46"/>
        <v>0</v>
      </c>
      <c r="K113" s="111">
        <v>0</v>
      </c>
      <c r="L113" s="80">
        <f t="shared" si="47"/>
        <v>0</v>
      </c>
      <c r="M113" s="111">
        <v>0</v>
      </c>
      <c r="N113" s="80">
        <f t="shared" si="48"/>
        <v>0</v>
      </c>
      <c r="O113" s="111">
        <v>0</v>
      </c>
      <c r="P113" s="80">
        <f t="shared" si="49"/>
        <v>0</v>
      </c>
      <c r="Q113" s="111">
        <v>0</v>
      </c>
      <c r="R113" s="80">
        <f t="shared" si="50"/>
        <v>0</v>
      </c>
      <c r="S113" s="111">
        <v>0</v>
      </c>
      <c r="T113" s="80">
        <f t="shared" si="51"/>
        <v>0</v>
      </c>
      <c r="U113" s="111">
        <v>0</v>
      </c>
      <c r="V113" s="80">
        <f t="shared" si="52"/>
        <v>0</v>
      </c>
    </row>
    <row r="114" spans="1:22" ht="12.75" customHeight="1">
      <c r="A114" s="117" t="s">
        <v>446</v>
      </c>
      <c r="B114" s="41"/>
      <c r="C114" s="111">
        <v>0</v>
      </c>
      <c r="D114" s="80">
        <f t="shared" si="43"/>
        <v>0</v>
      </c>
      <c r="E114" s="111">
        <v>0</v>
      </c>
      <c r="F114" s="80">
        <f t="shared" si="44"/>
        <v>0</v>
      </c>
      <c r="G114" s="111">
        <v>0</v>
      </c>
      <c r="H114" s="80">
        <f t="shared" si="45"/>
        <v>0</v>
      </c>
      <c r="I114" s="111">
        <v>0</v>
      </c>
      <c r="J114" s="80">
        <f t="shared" si="46"/>
        <v>0</v>
      </c>
      <c r="K114" s="111">
        <v>0</v>
      </c>
      <c r="L114" s="80">
        <f t="shared" si="47"/>
        <v>0</v>
      </c>
      <c r="M114" s="111">
        <v>0</v>
      </c>
      <c r="N114" s="80">
        <f t="shared" si="48"/>
        <v>0</v>
      </c>
      <c r="O114" s="111">
        <v>0</v>
      </c>
      <c r="P114" s="80">
        <f t="shared" si="49"/>
        <v>0</v>
      </c>
      <c r="Q114" s="111">
        <v>0</v>
      </c>
      <c r="R114" s="80">
        <f t="shared" si="50"/>
        <v>0</v>
      </c>
      <c r="S114" s="111">
        <v>0</v>
      </c>
      <c r="T114" s="80">
        <f t="shared" si="51"/>
        <v>0</v>
      </c>
      <c r="U114" s="111">
        <v>0</v>
      </c>
      <c r="V114" s="80">
        <f t="shared" si="52"/>
        <v>0</v>
      </c>
    </row>
    <row r="115" spans="1:22" ht="12.75" customHeight="1">
      <c r="A115" s="117" t="s">
        <v>446</v>
      </c>
      <c r="B115" s="41"/>
      <c r="C115" s="112">
        <v>0</v>
      </c>
      <c r="D115" s="80">
        <f t="shared" si="43"/>
        <v>0</v>
      </c>
      <c r="E115" s="112">
        <v>0</v>
      </c>
      <c r="F115" s="80">
        <f t="shared" si="44"/>
        <v>0</v>
      </c>
      <c r="G115" s="112">
        <v>0</v>
      </c>
      <c r="H115" s="80">
        <f t="shared" si="45"/>
        <v>0</v>
      </c>
      <c r="I115" s="112">
        <v>0</v>
      </c>
      <c r="J115" s="80">
        <f t="shared" si="46"/>
        <v>0</v>
      </c>
      <c r="K115" s="112">
        <v>0</v>
      </c>
      <c r="L115" s="80">
        <f t="shared" si="47"/>
        <v>0</v>
      </c>
      <c r="M115" s="112">
        <v>0</v>
      </c>
      <c r="N115" s="80">
        <f t="shared" si="48"/>
        <v>0</v>
      </c>
      <c r="O115" s="112">
        <v>0</v>
      </c>
      <c r="P115" s="80">
        <f t="shared" si="49"/>
        <v>0</v>
      </c>
      <c r="Q115" s="112">
        <v>0</v>
      </c>
      <c r="R115" s="80">
        <f t="shared" si="50"/>
        <v>0</v>
      </c>
      <c r="S115" s="112">
        <v>0</v>
      </c>
      <c r="T115" s="80">
        <f t="shared" si="51"/>
        <v>0</v>
      </c>
      <c r="U115" s="112">
        <v>0</v>
      </c>
      <c r="V115" s="80">
        <f t="shared" si="52"/>
        <v>0</v>
      </c>
    </row>
    <row r="116" spans="1:22" ht="12.75" customHeight="1">
      <c r="A116" s="40" t="s">
        <v>451</v>
      </c>
      <c r="B116" s="42"/>
      <c r="C116" s="85">
        <f>SUM(C111:C115)</f>
        <v>0</v>
      </c>
      <c r="D116" s="83">
        <f t="shared" si="43"/>
        <v>0</v>
      </c>
      <c r="E116" s="85">
        <f>SUM(E111:E115)</f>
        <v>0</v>
      </c>
      <c r="F116" s="83">
        <f t="shared" si="44"/>
        <v>0</v>
      </c>
      <c r="G116" s="85">
        <f>SUM(G111:G115)</f>
        <v>0</v>
      </c>
      <c r="H116" s="83">
        <f t="shared" si="45"/>
        <v>0</v>
      </c>
      <c r="I116" s="85">
        <f>SUM(I111:I115)</f>
        <v>0</v>
      </c>
      <c r="J116" s="83">
        <f t="shared" si="46"/>
        <v>0</v>
      </c>
      <c r="K116" s="85">
        <f>SUM(K111:K115)</f>
        <v>0</v>
      </c>
      <c r="L116" s="83">
        <f t="shared" si="47"/>
        <v>0</v>
      </c>
      <c r="M116" s="85">
        <f>SUM(M111:M115)</f>
        <v>0</v>
      </c>
      <c r="N116" s="83">
        <f t="shared" si="48"/>
        <v>0</v>
      </c>
      <c r="O116" s="85">
        <f>SUM(O111:O115)</f>
        <v>0</v>
      </c>
      <c r="P116" s="83">
        <f t="shared" si="49"/>
        <v>0</v>
      </c>
      <c r="Q116" s="85">
        <f>SUM(Q111:Q115)</f>
        <v>0</v>
      </c>
      <c r="R116" s="83">
        <f t="shared" si="50"/>
        <v>0</v>
      </c>
      <c r="S116" s="85">
        <f>SUM(S111:S115)</f>
        <v>0</v>
      </c>
      <c r="T116" s="83">
        <f t="shared" si="51"/>
        <v>0</v>
      </c>
      <c r="U116" s="85">
        <f>SUM(U111:U115)</f>
        <v>0</v>
      </c>
      <c r="V116" s="83">
        <f t="shared" si="52"/>
        <v>0</v>
      </c>
    </row>
    <row r="117" spans="1:22" ht="12.75" customHeight="1"/>
    <row r="118" spans="1:22" ht="12.75" customHeight="1">
      <c r="A118" s="43" t="s">
        <v>452</v>
      </c>
      <c r="B118" s="43"/>
    </row>
    <row r="119" spans="1:22" ht="12.75" customHeight="1">
      <c r="A119" s="47" t="s">
        <v>453</v>
      </c>
      <c r="B119" s="47"/>
    </row>
    <row r="120" spans="1:22" ht="12.75" customHeight="1"/>
    <row r="121" spans="1:22" ht="12.75" customHeight="1">
      <c r="A121" s="2" t="s">
        <v>454</v>
      </c>
      <c r="B121" s="2" t="s">
        <v>455</v>
      </c>
      <c r="C121" s="2" t="s">
        <v>456</v>
      </c>
    </row>
    <row r="122" spans="1:22" ht="12.75" customHeight="1">
      <c r="A122" s="2" t="s">
        <v>457</v>
      </c>
      <c r="B122" s="2" t="s">
        <v>455</v>
      </c>
      <c r="C122" s="2" t="s">
        <v>458</v>
      </c>
    </row>
    <row r="123" spans="1:22" ht="12.75" customHeight="1">
      <c r="A123" s="2" t="s">
        <v>459</v>
      </c>
    </row>
    <row r="124" spans="1:22" ht="12.75" customHeight="1"/>
    <row r="125" spans="1:22" ht="12.75" customHeight="1"/>
    <row r="126" spans="1:22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</sheetData>
  <pageMargins left="0.45" right="0" top="0.5" bottom="0.25" header="0.3" footer="0.3"/>
  <pageSetup scale="49" orientation="landscape" horizontalDpi="4294967295" verticalDpi="4294967295" r:id="rId1"/>
  <rowBreaks count="4" manualBreakCount="4">
    <brk id="47" max="16383" man="1"/>
    <brk id="132" max="16383" man="1"/>
    <brk id="184" max="16383" man="1"/>
    <brk id="243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7" tint="0.59999389629810485"/>
  </sheetPr>
  <dimension ref="A1:X119"/>
  <sheetViews>
    <sheetView zoomScale="70" zoomScaleNormal="70" workbookViewId="0" xr3:uid="{FF0BDA26-1AD6-5648-BD9A-E01AA4DDCA7C}">
      <selection activeCell="W59" sqref="W59"/>
    </sheetView>
  </sheetViews>
  <sheetFormatPr defaultColWidth="9.140625" defaultRowHeight="12.75" customHeight="1"/>
  <cols>
    <col min="1" max="1" width="9.5703125" style="2" customWidth="1"/>
    <col min="2" max="2" width="38.85546875" style="2" customWidth="1"/>
    <col min="3" max="3" width="14.28515625" style="2" bestFit="1" customWidth="1"/>
    <col min="4" max="4" width="8.7109375" style="2" customWidth="1"/>
    <col min="5" max="5" width="14.28515625" style="2" customWidth="1"/>
    <col min="6" max="6" width="8.7109375" style="2" customWidth="1"/>
    <col min="7" max="7" width="12.710937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355</v>
      </c>
      <c r="G2" s="33" t="s">
        <v>460</v>
      </c>
      <c r="H2" s="34"/>
      <c r="I2" s="34"/>
      <c r="V2" s="32"/>
    </row>
    <row r="3" spans="1:22" ht="12.75" customHeight="1">
      <c r="A3" s="1" t="s">
        <v>357</v>
      </c>
      <c r="D3" s="118" t="s">
        <v>358</v>
      </c>
      <c r="G3" s="115" t="s">
        <v>461</v>
      </c>
      <c r="H3" s="116"/>
      <c r="I3" s="116"/>
      <c r="V3" s="32"/>
    </row>
    <row r="4" spans="1:22" ht="12.75" customHeight="1">
      <c r="A4" s="1" t="s">
        <v>359</v>
      </c>
      <c r="B4" s="109" t="s">
        <v>221</v>
      </c>
      <c r="D4" s="118" t="s">
        <v>360</v>
      </c>
      <c r="G4" s="115" t="s">
        <v>30</v>
      </c>
      <c r="H4" s="116"/>
      <c r="I4" s="116"/>
      <c r="V4" s="32"/>
    </row>
    <row r="5" spans="1:22" ht="12.75" customHeight="1">
      <c r="A5" s="1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361</v>
      </c>
      <c r="B7" s="1"/>
    </row>
    <row r="8" spans="1:22" ht="12.75" customHeight="1">
      <c r="A8" s="2" t="s">
        <v>362</v>
      </c>
      <c r="C8" s="109">
        <v>228</v>
      </c>
      <c r="E8" s="109">
        <f>+C8</f>
        <v>228</v>
      </c>
      <c r="G8" s="109">
        <v>0</v>
      </c>
      <c r="I8" s="109">
        <f>+G8</f>
        <v>0</v>
      </c>
      <c r="K8" s="109">
        <f>+I8</f>
        <v>0</v>
      </c>
      <c r="M8" s="109">
        <f>+K8</f>
        <v>0</v>
      </c>
      <c r="O8" s="109">
        <f>+M8</f>
        <v>0</v>
      </c>
      <c r="Q8" s="109">
        <f>+O8</f>
        <v>0</v>
      </c>
      <c r="S8" s="109">
        <f>+Q8</f>
        <v>0</v>
      </c>
      <c r="U8" s="109">
        <f>+S8</f>
        <v>0</v>
      </c>
    </row>
    <row r="10" spans="1:22" ht="12.75" customHeight="1">
      <c r="A10" s="2" t="s">
        <v>462</v>
      </c>
      <c r="C10" s="201">
        <f>+((C14/C12)/C8)</f>
        <v>1489.9749373433585</v>
      </c>
      <c r="E10" s="201">
        <f>+((E14/E12)/E8)</f>
        <v>1674.1854636591479</v>
      </c>
      <c r="G10" s="109"/>
      <c r="I10" s="109"/>
      <c r="K10" s="109"/>
      <c r="M10" s="109"/>
      <c r="O10" s="109"/>
      <c r="Q10" s="109"/>
      <c r="S10" s="109"/>
      <c r="U10" s="109"/>
    </row>
    <row r="12" spans="1:22" ht="12.75" customHeight="1">
      <c r="A12" s="2" t="s">
        <v>463</v>
      </c>
      <c r="C12" s="110">
        <v>3.5</v>
      </c>
      <c r="E12" s="110">
        <v>3.5</v>
      </c>
      <c r="G12" s="110"/>
      <c r="I12" s="110"/>
      <c r="K12" s="110"/>
      <c r="M12" s="110"/>
      <c r="O12" s="110"/>
      <c r="Q12" s="110"/>
      <c r="S12" s="110"/>
      <c r="U12" s="110"/>
    </row>
    <row r="14" spans="1:22" ht="12.75" customHeight="1">
      <c r="A14" s="2" t="s">
        <v>464</v>
      </c>
      <c r="C14" s="121">
        <v>1189000</v>
      </c>
      <c r="E14" s="121">
        <v>1336000</v>
      </c>
      <c r="G14" s="121">
        <f>G12*G10*G8</f>
        <v>0</v>
      </c>
      <c r="I14" s="121">
        <f>I12*I10*I8</f>
        <v>0</v>
      </c>
      <c r="K14" s="121">
        <f>K12*K10*K8</f>
        <v>0</v>
      </c>
      <c r="M14" s="121">
        <f>M12*M10*M8</f>
        <v>0</v>
      </c>
      <c r="O14" s="121">
        <f>O12*O10*O8</f>
        <v>0</v>
      </c>
      <c r="Q14" s="121">
        <f>Q12*Q10*Q8</f>
        <v>0</v>
      </c>
      <c r="S14" s="121">
        <f>S12*S10*S8</f>
        <v>0</v>
      </c>
      <c r="U14" s="121">
        <f>U12*U10*U8</f>
        <v>0</v>
      </c>
    </row>
    <row r="15" spans="1:22" ht="12.75" customHeight="1">
      <c r="A15" s="39">
        <v>0.1</v>
      </c>
    </row>
    <row r="16" spans="1:22" ht="12.75" customHeight="1">
      <c r="B16" s="35"/>
      <c r="C16" s="86" t="str">
        <f>C6</f>
        <v>FY 2018-19</v>
      </c>
      <c r="D16" s="86" t="s">
        <v>366</v>
      </c>
      <c r="E16" s="86" t="str">
        <f>E6</f>
        <v>FY 2019-20</v>
      </c>
      <c r="F16" s="86" t="s">
        <v>366</v>
      </c>
      <c r="G16" s="86" t="str">
        <f>G6</f>
        <v>FY 2020-21</v>
      </c>
      <c r="H16" s="86" t="s">
        <v>366</v>
      </c>
      <c r="I16" s="86" t="str">
        <f>I6</f>
        <v>FY 2021-22</v>
      </c>
      <c r="J16" s="86" t="s">
        <v>366</v>
      </c>
      <c r="K16" s="86" t="str">
        <f>K6</f>
        <v>FY 2022-23</v>
      </c>
      <c r="L16" s="86" t="s">
        <v>366</v>
      </c>
      <c r="M16" s="86" t="str">
        <f>M6</f>
        <v>FY 2023-24</v>
      </c>
      <c r="N16" s="86" t="s">
        <v>366</v>
      </c>
      <c r="O16" s="86" t="str">
        <f>O6</f>
        <v>FY 2024-25</v>
      </c>
      <c r="P16" s="86" t="s">
        <v>366</v>
      </c>
      <c r="Q16" s="86" t="str">
        <f>Q6</f>
        <v>FY 2025-26</v>
      </c>
      <c r="R16" s="86" t="s">
        <v>366</v>
      </c>
      <c r="S16" s="86" t="str">
        <f>S6</f>
        <v>FY 2026-27</v>
      </c>
      <c r="T16" s="86" t="s">
        <v>366</v>
      </c>
      <c r="U16" s="86" t="str">
        <f>U6</f>
        <v>FY 2027-28</v>
      </c>
      <c r="V16" s="86" t="s">
        <v>366</v>
      </c>
    </row>
    <row r="17" spans="1:24" ht="12.75" customHeight="1">
      <c r="A17" s="1" t="s">
        <v>367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368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369</v>
      </c>
      <c r="B19" s="35"/>
      <c r="C19" s="111">
        <f>+C14-C20</f>
        <v>1041801.8</v>
      </c>
      <c r="D19" s="80">
        <f>IFERROR(C19/C$28,0)</f>
        <v>0.87620000000000009</v>
      </c>
      <c r="E19" s="111">
        <f>+E14-E20</f>
        <v>1122240</v>
      </c>
      <c r="F19" s="80">
        <f>IFERROR(E19/E$28,0)</f>
        <v>0.84</v>
      </c>
      <c r="G19" s="111">
        <v>0</v>
      </c>
      <c r="H19" s="80">
        <f>IFERROR(G19/G$28,0)</f>
        <v>0</v>
      </c>
      <c r="I19" s="111">
        <f>G19*1.02</f>
        <v>0</v>
      </c>
      <c r="J19" s="80">
        <f>IFERROR(I19/I$28,0)</f>
        <v>0</v>
      </c>
      <c r="K19" s="111">
        <f>I19*1.02</f>
        <v>0</v>
      </c>
      <c r="L19" s="80">
        <f>IFERROR(K19/K$28,0)</f>
        <v>0</v>
      </c>
      <c r="M19" s="111">
        <f>K19*1.02</f>
        <v>0</v>
      </c>
      <c r="N19" s="80">
        <f>IFERROR(M19/M$28,0)</f>
        <v>0</v>
      </c>
      <c r="O19" s="111">
        <f>M19*1.02</f>
        <v>0</v>
      </c>
      <c r="P19" s="80">
        <f>IFERROR(O19/O$28,0)</f>
        <v>0</v>
      </c>
      <c r="Q19" s="111">
        <f>O19*1.02</f>
        <v>0</v>
      </c>
      <c r="R19" s="80">
        <f>IFERROR(Q19/Q$28,0)</f>
        <v>0</v>
      </c>
      <c r="S19" s="111">
        <f>Q19*1.02</f>
        <v>0</v>
      </c>
      <c r="T19" s="80">
        <f>IFERROR(S19/S$28,0)</f>
        <v>0</v>
      </c>
      <c r="U19" s="111">
        <f>S19*1.02</f>
        <v>0</v>
      </c>
      <c r="V19" s="80">
        <f>IFERROR(U19/U$28,0)</f>
        <v>0</v>
      </c>
    </row>
    <row r="20" spans="1:24" ht="12.75" customHeight="1">
      <c r="A20" s="2" t="s">
        <v>370</v>
      </c>
      <c r="B20" s="35"/>
      <c r="C20" s="111">
        <f>+C14*12.38%</f>
        <v>147198.20000000001</v>
      </c>
      <c r="D20" s="80">
        <f>IFERROR(C20/C$28,0)</f>
        <v>0.12380000000000001</v>
      </c>
      <c r="E20" s="111">
        <f>+E14*16%</f>
        <v>213760</v>
      </c>
      <c r="F20" s="80">
        <f>IFERROR(E20/E$28,0)</f>
        <v>0.16</v>
      </c>
      <c r="G20" s="111">
        <v>0</v>
      </c>
      <c r="H20" s="80">
        <f>IFERROR(G20/G$28,0)</f>
        <v>0</v>
      </c>
      <c r="I20" s="111">
        <f t="shared" ref="G20:U21" si="0">G20*1.02</f>
        <v>0</v>
      </c>
      <c r="J20" s="80">
        <f>IFERROR(I20/I$28,0)</f>
        <v>0</v>
      </c>
      <c r="K20" s="111">
        <f t="shared" si="0"/>
        <v>0</v>
      </c>
      <c r="L20" s="80">
        <f>IFERROR(K20/K$28,0)</f>
        <v>0</v>
      </c>
      <c r="M20" s="111">
        <f t="shared" si="0"/>
        <v>0</v>
      </c>
      <c r="N20" s="80">
        <f>IFERROR(M20/M$28,0)</f>
        <v>0</v>
      </c>
      <c r="O20" s="111">
        <f t="shared" si="0"/>
        <v>0</v>
      </c>
      <c r="P20" s="80">
        <f>IFERROR(O20/O$28,0)</f>
        <v>0</v>
      </c>
      <c r="Q20" s="111">
        <f t="shared" si="0"/>
        <v>0</v>
      </c>
      <c r="R20" s="80">
        <f>IFERROR(Q20/Q$28,0)</f>
        <v>0</v>
      </c>
      <c r="S20" s="111">
        <f t="shared" si="0"/>
        <v>0</v>
      </c>
      <c r="T20" s="80">
        <f>IFERROR(S20/S$28,0)</f>
        <v>0</v>
      </c>
      <c r="U20" s="111">
        <f t="shared" si="0"/>
        <v>0</v>
      </c>
      <c r="V20" s="80">
        <f>IFERROR(U20/U$28,0)</f>
        <v>0</v>
      </c>
    </row>
    <row r="21" spans="1:24" ht="12.75" customHeight="1">
      <c r="A21" s="2" t="s">
        <v>371</v>
      </c>
      <c r="B21" s="35"/>
      <c r="C21" s="111"/>
      <c r="D21" s="80">
        <f>IFERROR(C21/C$28,0)</f>
        <v>0</v>
      </c>
      <c r="E21" s="111">
        <v>0</v>
      </c>
      <c r="F21" s="80">
        <f>IFERROR(E21/E$28,0)</f>
        <v>0</v>
      </c>
      <c r="G21" s="111">
        <f t="shared" si="0"/>
        <v>0</v>
      </c>
      <c r="H21" s="80">
        <f>IFERROR(G21/G$28,0)</f>
        <v>0</v>
      </c>
      <c r="I21" s="111">
        <f t="shared" si="0"/>
        <v>0</v>
      </c>
      <c r="J21" s="80">
        <f>IFERROR(I21/I$28,0)</f>
        <v>0</v>
      </c>
      <c r="K21" s="111">
        <f t="shared" si="0"/>
        <v>0</v>
      </c>
      <c r="L21" s="80">
        <f>IFERROR(K21/K$28,0)</f>
        <v>0</v>
      </c>
      <c r="M21" s="111">
        <f t="shared" si="0"/>
        <v>0</v>
      </c>
      <c r="N21" s="80">
        <f>IFERROR(M21/M$28,0)</f>
        <v>0</v>
      </c>
      <c r="O21" s="111">
        <f t="shared" si="0"/>
        <v>0</v>
      </c>
      <c r="P21" s="80">
        <f>IFERROR(O21/O$28,0)</f>
        <v>0</v>
      </c>
      <c r="Q21" s="111">
        <f t="shared" si="0"/>
        <v>0</v>
      </c>
      <c r="R21" s="80">
        <f>IFERROR(Q21/Q$28,0)</f>
        <v>0</v>
      </c>
      <c r="S21" s="111">
        <f t="shared" si="0"/>
        <v>0</v>
      </c>
      <c r="T21" s="80">
        <f>IFERROR(S21/S$28,0)</f>
        <v>0</v>
      </c>
      <c r="U21" s="111">
        <f t="shared" si="0"/>
        <v>0</v>
      </c>
      <c r="V21" s="80">
        <f>IFERROR(U21/U$28,0)</f>
        <v>0</v>
      </c>
    </row>
    <row r="22" spans="1:24" ht="12.75" customHeight="1">
      <c r="A22" s="2" t="s">
        <v>372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373</v>
      </c>
      <c r="B23" s="123"/>
      <c r="C23" s="79"/>
      <c r="D23" s="80">
        <f t="shared" ref="D23:D28" si="1">IFERROR(C23/C$28,0)</f>
        <v>0</v>
      </c>
      <c r="E23" s="79"/>
      <c r="F23" s="80">
        <f t="shared" ref="F23:F28" si="2">IFERROR(E23/E$28,0)</f>
        <v>0</v>
      </c>
      <c r="G23" s="79"/>
      <c r="H23" s="80">
        <f t="shared" ref="H23:H28" si="3">IFERROR(G23/G$28,0)</f>
        <v>0</v>
      </c>
      <c r="I23" s="79"/>
      <c r="J23" s="80">
        <f t="shared" ref="J23:J28" si="4">IFERROR(I23/I$28,0)</f>
        <v>0</v>
      </c>
      <c r="K23" s="79"/>
      <c r="L23" s="80">
        <f t="shared" ref="L23:L28" si="5">IFERROR(K23/K$28,0)</f>
        <v>0</v>
      </c>
      <c r="M23" s="79"/>
      <c r="N23" s="80">
        <f t="shared" ref="N23:N28" si="6">IFERROR(M23/M$28,0)</f>
        <v>0</v>
      </c>
      <c r="O23" s="79"/>
      <c r="P23" s="80">
        <f t="shared" ref="P23:P28" si="7">IFERROR(O23/O$28,0)</f>
        <v>0</v>
      </c>
      <c r="Q23" s="79"/>
      <c r="R23" s="80">
        <f t="shared" ref="R23:R28" si="8">IFERROR(Q23/Q$28,0)</f>
        <v>0</v>
      </c>
      <c r="S23" s="79"/>
      <c r="T23" s="80">
        <f t="shared" ref="T23:T28" si="9">IFERROR(S23/S$28,0)</f>
        <v>0</v>
      </c>
      <c r="U23" s="79"/>
      <c r="V23" s="80">
        <f t="shared" ref="V23:V28" si="10">IFERROR(U23/U$28,0)</f>
        <v>0</v>
      </c>
    </row>
    <row r="24" spans="1:24" ht="12.75" customHeight="1">
      <c r="A24" s="122" t="s">
        <v>374</v>
      </c>
      <c r="B24" s="123"/>
      <c r="C24" s="79"/>
      <c r="D24" s="80">
        <f t="shared" si="1"/>
        <v>0</v>
      </c>
      <c r="E24" s="79"/>
      <c r="F24" s="80">
        <f t="shared" si="2"/>
        <v>0</v>
      </c>
      <c r="G24" s="79"/>
      <c r="H24" s="80">
        <f t="shared" si="3"/>
        <v>0</v>
      </c>
      <c r="I24" s="79"/>
      <c r="J24" s="80">
        <f t="shared" si="4"/>
        <v>0</v>
      </c>
      <c r="K24" s="79"/>
      <c r="L24" s="80">
        <f t="shared" si="5"/>
        <v>0</v>
      </c>
      <c r="M24" s="79"/>
      <c r="N24" s="80">
        <f t="shared" si="6"/>
        <v>0</v>
      </c>
      <c r="O24" s="79"/>
      <c r="P24" s="80">
        <f t="shared" si="7"/>
        <v>0</v>
      </c>
      <c r="Q24" s="79"/>
      <c r="R24" s="80">
        <f t="shared" si="8"/>
        <v>0</v>
      </c>
      <c r="S24" s="79"/>
      <c r="T24" s="80">
        <f t="shared" si="9"/>
        <v>0</v>
      </c>
      <c r="U24" s="79"/>
      <c r="V24" s="80">
        <f t="shared" si="10"/>
        <v>0</v>
      </c>
      <c r="X24" s="79"/>
    </row>
    <row r="25" spans="1:24" ht="12.75" customHeight="1">
      <c r="A25" s="2" t="s">
        <v>375</v>
      </c>
      <c r="B25" s="35"/>
      <c r="C25" s="111"/>
      <c r="D25" s="80">
        <f t="shared" si="1"/>
        <v>0</v>
      </c>
      <c r="E25" s="111"/>
      <c r="F25" s="80">
        <f t="shared" si="2"/>
        <v>0</v>
      </c>
      <c r="G25" s="111"/>
      <c r="H25" s="80">
        <f t="shared" si="3"/>
        <v>0</v>
      </c>
      <c r="I25" s="111"/>
      <c r="J25" s="80">
        <f t="shared" si="4"/>
        <v>0</v>
      </c>
      <c r="K25" s="111"/>
      <c r="L25" s="80">
        <f t="shared" si="5"/>
        <v>0</v>
      </c>
      <c r="M25" s="111"/>
      <c r="N25" s="80">
        <f t="shared" si="6"/>
        <v>0</v>
      </c>
      <c r="O25" s="111"/>
      <c r="P25" s="80">
        <f t="shared" si="7"/>
        <v>0</v>
      </c>
      <c r="Q25" s="111"/>
      <c r="R25" s="80">
        <f t="shared" si="8"/>
        <v>0</v>
      </c>
      <c r="S25" s="111"/>
      <c r="T25" s="80">
        <f t="shared" si="9"/>
        <v>0</v>
      </c>
      <c r="U25" s="111"/>
      <c r="V25" s="80">
        <f t="shared" si="10"/>
        <v>0</v>
      </c>
      <c r="X25" s="79"/>
    </row>
    <row r="26" spans="1:24" ht="12.75" customHeight="1">
      <c r="A26" s="122" t="s">
        <v>376</v>
      </c>
      <c r="B26" s="35"/>
      <c r="C26" s="79"/>
      <c r="D26" s="80">
        <f t="shared" si="1"/>
        <v>0</v>
      </c>
      <c r="E26" s="79"/>
      <c r="F26" s="80">
        <f t="shared" si="2"/>
        <v>0</v>
      </c>
      <c r="G26" s="79"/>
      <c r="H26" s="80">
        <f t="shared" si="3"/>
        <v>0</v>
      </c>
      <c r="I26" s="79"/>
      <c r="J26" s="80">
        <f t="shared" si="4"/>
        <v>0</v>
      </c>
      <c r="K26" s="79"/>
      <c r="L26" s="80">
        <f t="shared" si="5"/>
        <v>0</v>
      </c>
      <c r="M26" s="79"/>
      <c r="N26" s="80">
        <f t="shared" si="6"/>
        <v>0</v>
      </c>
      <c r="O26" s="79"/>
      <c r="P26" s="80">
        <f t="shared" si="7"/>
        <v>0</v>
      </c>
      <c r="Q26" s="79"/>
      <c r="R26" s="80">
        <f t="shared" si="8"/>
        <v>0</v>
      </c>
      <c r="S26" s="79"/>
      <c r="T26" s="80">
        <f t="shared" si="9"/>
        <v>0</v>
      </c>
      <c r="U26" s="79"/>
      <c r="V26" s="80">
        <f t="shared" si="10"/>
        <v>0</v>
      </c>
    </row>
    <row r="27" spans="1:24" ht="12.75" customHeight="1">
      <c r="A27" s="2" t="s">
        <v>377</v>
      </c>
      <c r="B27" s="35"/>
      <c r="C27" s="112"/>
      <c r="D27" s="80">
        <f t="shared" si="1"/>
        <v>0</v>
      </c>
      <c r="E27" s="112"/>
      <c r="F27" s="80">
        <f t="shared" si="2"/>
        <v>0</v>
      </c>
      <c r="G27" s="112"/>
      <c r="H27" s="80">
        <f t="shared" si="3"/>
        <v>0</v>
      </c>
      <c r="I27" s="112"/>
      <c r="J27" s="80">
        <f t="shared" si="4"/>
        <v>0</v>
      </c>
      <c r="K27" s="112"/>
      <c r="L27" s="80">
        <f t="shared" si="5"/>
        <v>0</v>
      </c>
      <c r="M27" s="112"/>
      <c r="N27" s="80">
        <f t="shared" si="6"/>
        <v>0</v>
      </c>
      <c r="O27" s="112"/>
      <c r="P27" s="80">
        <f t="shared" si="7"/>
        <v>0</v>
      </c>
      <c r="Q27" s="112"/>
      <c r="R27" s="80">
        <f t="shared" si="8"/>
        <v>0</v>
      </c>
      <c r="S27" s="112"/>
      <c r="T27" s="80">
        <f t="shared" si="9"/>
        <v>0</v>
      </c>
      <c r="U27" s="112"/>
      <c r="V27" s="80">
        <f t="shared" si="10"/>
        <v>0</v>
      </c>
    </row>
    <row r="28" spans="1:24" ht="12.75" customHeight="1">
      <c r="A28" s="1" t="s">
        <v>378</v>
      </c>
      <c r="B28" s="53"/>
      <c r="C28" s="82">
        <f>SUM(C19:C27)</f>
        <v>1189000</v>
      </c>
      <c r="D28" s="83">
        <f t="shared" si="1"/>
        <v>1</v>
      </c>
      <c r="E28" s="82">
        <f>SUM(E19:E27)</f>
        <v>1336000</v>
      </c>
      <c r="F28" s="83">
        <f t="shared" si="2"/>
        <v>1</v>
      </c>
      <c r="G28" s="82">
        <f>SUM(G19:G27)</f>
        <v>0</v>
      </c>
      <c r="H28" s="83">
        <f t="shared" si="3"/>
        <v>0</v>
      </c>
      <c r="I28" s="82">
        <f>SUM(I19:I27)</f>
        <v>0</v>
      </c>
      <c r="J28" s="83">
        <f t="shared" si="4"/>
        <v>0</v>
      </c>
      <c r="K28" s="82">
        <f>SUM(K19:K27)</f>
        <v>0</v>
      </c>
      <c r="L28" s="83">
        <f t="shared" si="5"/>
        <v>0</v>
      </c>
      <c r="M28" s="82">
        <f>SUM(M19:M27)</f>
        <v>0</v>
      </c>
      <c r="N28" s="83">
        <f t="shared" si="6"/>
        <v>0</v>
      </c>
      <c r="O28" s="82">
        <f>SUM(O19:O27)</f>
        <v>0</v>
      </c>
      <c r="P28" s="83">
        <f t="shared" si="7"/>
        <v>0</v>
      </c>
      <c r="Q28" s="82">
        <f>SUM(Q19:Q27)</f>
        <v>0</v>
      </c>
      <c r="R28" s="83">
        <f t="shared" si="8"/>
        <v>0</v>
      </c>
      <c r="S28" s="82">
        <f>SUM(S19:S27)</f>
        <v>0</v>
      </c>
      <c r="T28" s="83">
        <f t="shared" si="9"/>
        <v>0</v>
      </c>
      <c r="U28" s="82">
        <f>SUM(U19:U27)</f>
        <v>0</v>
      </c>
      <c r="V28" s="83">
        <f t="shared" si="10"/>
        <v>0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379</v>
      </c>
      <c r="B30" s="53"/>
      <c r="C30" s="197">
        <v>0.252</v>
      </c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380</v>
      </c>
      <c r="B31" s="35"/>
      <c r="C31" s="178">
        <f>$C$30*C14</f>
        <v>299628</v>
      </c>
      <c r="D31" s="80">
        <f>IFERROR(C31/C$28,0)</f>
        <v>0.252</v>
      </c>
      <c r="E31" s="178">
        <f>$C$30*E14</f>
        <v>336672</v>
      </c>
      <c r="F31" s="80">
        <f>IFERROR(E31/E$28,0)</f>
        <v>0.252</v>
      </c>
      <c r="G31" s="178">
        <f>$C$30*G14</f>
        <v>0</v>
      </c>
      <c r="H31" s="80">
        <f>IFERROR(G31/G$28,0)</f>
        <v>0</v>
      </c>
      <c r="I31" s="178">
        <f>$C$30*I14</f>
        <v>0</v>
      </c>
      <c r="J31" s="80">
        <f>IFERROR(I31/I$28,0)</f>
        <v>0</v>
      </c>
      <c r="K31" s="178">
        <f>$C$30*K14</f>
        <v>0</v>
      </c>
      <c r="L31" s="80">
        <f>IFERROR(K31/K$28,0)</f>
        <v>0</v>
      </c>
      <c r="M31" s="178">
        <f>$C$30*M14</f>
        <v>0</v>
      </c>
      <c r="N31" s="80">
        <f>IFERROR(M31/M$28,0)</f>
        <v>0</v>
      </c>
      <c r="O31" s="178">
        <f>$C$30*O14</f>
        <v>0</v>
      </c>
      <c r="P31" s="80">
        <f>IFERROR(O31/O$28,0)</f>
        <v>0</v>
      </c>
      <c r="Q31" s="178">
        <f>$C$30*Q14</f>
        <v>0</v>
      </c>
      <c r="R31" s="80">
        <f>IFERROR(Q31/Q$28,0)</f>
        <v>0</v>
      </c>
      <c r="S31" s="178">
        <f>$C$30*S14</f>
        <v>0</v>
      </c>
      <c r="T31" s="80">
        <f>IFERROR(S31/S$28,0)</f>
        <v>0</v>
      </c>
      <c r="U31" s="178">
        <f>$C$30*U14</f>
        <v>0</v>
      </c>
      <c r="V31" s="80">
        <f>IFERROR(U31/U$28,0)</f>
        <v>0</v>
      </c>
    </row>
    <row r="32" spans="1:24" ht="12.75" customHeight="1">
      <c r="A32" s="8" t="s">
        <v>381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382</v>
      </c>
      <c r="B33" s="53"/>
      <c r="C33" s="82">
        <f>SUM(C31:C32)</f>
        <v>299628</v>
      </c>
      <c r="D33" s="83">
        <f>IFERROR(C33/C$28,0)</f>
        <v>0.252</v>
      </c>
      <c r="E33" s="82">
        <f>SUM(E31:E32)</f>
        <v>336672</v>
      </c>
      <c r="F33" s="83">
        <f>IFERROR(E33/E$28,0)</f>
        <v>0.252</v>
      </c>
      <c r="G33" s="82">
        <f>SUM(G31:G32)</f>
        <v>0</v>
      </c>
      <c r="H33" s="83">
        <f>IFERROR(G33/G$28,0)</f>
        <v>0</v>
      </c>
      <c r="I33" s="82">
        <f>SUM(I31:I32)</f>
        <v>0</v>
      </c>
      <c r="J33" s="83">
        <f>IFERROR(I33/I$28,0)</f>
        <v>0</v>
      </c>
      <c r="K33" s="82">
        <f>SUM(K31:K32)</f>
        <v>0</v>
      </c>
      <c r="L33" s="83">
        <f>IFERROR(K33/K$28,0)</f>
        <v>0</v>
      </c>
      <c r="M33" s="82">
        <f>SUM(M31:M32)</f>
        <v>0</v>
      </c>
      <c r="N33" s="83">
        <f>IFERROR(M33/M$28,0)</f>
        <v>0</v>
      </c>
      <c r="O33" s="82">
        <f>SUM(O31:O32)</f>
        <v>0</v>
      </c>
      <c r="P33" s="83">
        <f>IFERROR(O33/O$28,0)</f>
        <v>0</v>
      </c>
      <c r="Q33" s="82">
        <f>SUM(Q31:Q32)</f>
        <v>0</v>
      </c>
      <c r="R33" s="83">
        <f>IFERROR(Q33/Q$28,0)</f>
        <v>0</v>
      </c>
      <c r="S33" s="82">
        <f>SUM(S31:S32)</f>
        <v>0</v>
      </c>
      <c r="T33" s="83">
        <f>IFERROR(S33/S$28,0)</f>
        <v>0</v>
      </c>
      <c r="U33" s="82">
        <f>SUM(U31:U32)</f>
        <v>0</v>
      </c>
      <c r="V33" s="83">
        <f>IFERROR(U33/U$28,0)</f>
        <v>0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383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384</v>
      </c>
      <c r="B36" s="35"/>
      <c r="C36" s="178">
        <v>0</v>
      </c>
      <c r="D36" s="80">
        <f t="shared" ref="D36:D46" si="11">IFERROR(C36/C$28,0)</f>
        <v>0</v>
      </c>
      <c r="E36" s="178">
        <v>0</v>
      </c>
      <c r="F36" s="80">
        <f t="shared" ref="F36:F46" si="12">IFERROR(E36/E$28,0)</f>
        <v>0</v>
      </c>
      <c r="G36" s="178"/>
      <c r="H36" s="80">
        <f t="shared" ref="H36:H46" si="13">IFERROR(G36/G$28,0)</f>
        <v>0</v>
      </c>
      <c r="I36" s="178"/>
      <c r="J36" s="80">
        <f t="shared" ref="J36:J46" si="14">IFERROR(I36/I$28,0)</f>
        <v>0</v>
      </c>
      <c r="K36" s="178"/>
      <c r="L36" s="80">
        <f t="shared" ref="L36:L46" si="15">IFERROR(K36/K$28,0)</f>
        <v>0</v>
      </c>
      <c r="M36" s="178"/>
      <c r="N36" s="80">
        <f t="shared" ref="N36:N46" si="16">IFERROR(M36/M$28,0)</f>
        <v>0</v>
      </c>
      <c r="O36" s="178"/>
      <c r="P36" s="80">
        <f t="shared" ref="P36:P46" si="17">IFERROR(O36/O$28,0)</f>
        <v>0</v>
      </c>
      <c r="Q36" s="178"/>
      <c r="R36" s="80">
        <f t="shared" ref="R36:R46" si="18">IFERROR(Q36/Q$28,0)</f>
        <v>0</v>
      </c>
      <c r="S36" s="178"/>
      <c r="T36" s="80">
        <f t="shared" ref="T36:T46" si="19">IFERROR(S36/S$28,0)</f>
        <v>0</v>
      </c>
      <c r="U36" s="178">
        <v>0</v>
      </c>
      <c r="V36" s="80">
        <f t="shared" ref="V36:V46" si="20">IFERROR(U36/U$28,0)</f>
        <v>0</v>
      </c>
    </row>
    <row r="37" spans="1:22" ht="12.75" customHeight="1">
      <c r="A37" s="2" t="s">
        <v>385</v>
      </c>
      <c r="B37" s="35"/>
      <c r="C37" s="178">
        <v>52208</v>
      </c>
      <c r="D37" s="80">
        <f t="shared" si="11"/>
        <v>4.3909167367535744E-2</v>
      </c>
      <c r="E37" s="178">
        <f>+C37*1.112</f>
        <v>58055.296000000002</v>
      </c>
      <c r="F37" s="80">
        <f t="shared" si="12"/>
        <v>4.34545628742515E-2</v>
      </c>
      <c r="G37" s="178"/>
      <c r="H37" s="80">
        <f t="shared" si="13"/>
        <v>0</v>
      </c>
      <c r="I37" s="178">
        <f>+G37*1.032</f>
        <v>0</v>
      </c>
      <c r="J37" s="80">
        <f t="shared" si="14"/>
        <v>0</v>
      </c>
      <c r="K37" s="178">
        <f>+I37*1.025</f>
        <v>0</v>
      </c>
      <c r="L37" s="80">
        <f t="shared" si="15"/>
        <v>0</v>
      </c>
      <c r="M37" s="178">
        <f>+K37*1.025</f>
        <v>0</v>
      </c>
      <c r="N37" s="80">
        <f t="shared" si="16"/>
        <v>0</v>
      </c>
      <c r="O37" s="178">
        <f>+M37*1.025</f>
        <v>0</v>
      </c>
      <c r="P37" s="80">
        <f t="shared" si="17"/>
        <v>0</v>
      </c>
      <c r="Q37" s="178">
        <f>+O37*1.025</f>
        <v>0</v>
      </c>
      <c r="R37" s="80">
        <f t="shared" si="18"/>
        <v>0</v>
      </c>
      <c r="S37" s="178">
        <f>+Q37*1.025</f>
        <v>0</v>
      </c>
      <c r="T37" s="80">
        <f t="shared" si="19"/>
        <v>0</v>
      </c>
      <c r="U37" s="178">
        <f>+S37*1.025</f>
        <v>0</v>
      </c>
      <c r="V37" s="80">
        <f t="shared" si="20"/>
        <v>0</v>
      </c>
    </row>
    <row r="38" spans="1:22" ht="12.75" customHeight="1">
      <c r="A38" s="2" t="s">
        <v>386</v>
      </c>
      <c r="B38" s="35"/>
      <c r="C38" s="178"/>
      <c r="D38" s="80">
        <f t="shared" si="11"/>
        <v>0</v>
      </c>
      <c r="E38" s="178">
        <f t="shared" ref="E38:E39" si="21">+C38*1.112</f>
        <v>0</v>
      </c>
      <c r="F38" s="80">
        <f t="shared" si="12"/>
        <v>0</v>
      </c>
      <c r="G38" s="178"/>
      <c r="H38" s="80">
        <f t="shared" si="13"/>
        <v>0</v>
      </c>
      <c r="I38" s="178">
        <f>+G38*1.032</f>
        <v>0</v>
      </c>
      <c r="J38" s="80">
        <f t="shared" si="14"/>
        <v>0</v>
      </c>
      <c r="K38" s="178">
        <f>+I38*1.025</f>
        <v>0</v>
      </c>
      <c r="L38" s="80">
        <f t="shared" si="15"/>
        <v>0</v>
      </c>
      <c r="M38" s="178">
        <f>+K38*1.025</f>
        <v>0</v>
      </c>
      <c r="N38" s="80">
        <f t="shared" si="16"/>
        <v>0</v>
      </c>
      <c r="O38" s="178">
        <f>+M38*1.025</f>
        <v>0</v>
      </c>
      <c r="P38" s="80">
        <f t="shared" si="17"/>
        <v>0</v>
      </c>
      <c r="Q38" s="178">
        <f>+O38*1.025</f>
        <v>0</v>
      </c>
      <c r="R38" s="80">
        <f t="shared" si="18"/>
        <v>0</v>
      </c>
      <c r="S38" s="178">
        <f>+Q38*1.025</f>
        <v>0</v>
      </c>
      <c r="T38" s="80">
        <f t="shared" si="19"/>
        <v>0</v>
      </c>
      <c r="U38" s="178">
        <f>+S38*1.025</f>
        <v>0</v>
      </c>
      <c r="V38" s="80">
        <f t="shared" si="20"/>
        <v>0</v>
      </c>
    </row>
    <row r="39" spans="1:22" ht="12.75" customHeight="1">
      <c r="A39" s="2" t="s">
        <v>387</v>
      </c>
      <c r="B39" s="35"/>
      <c r="C39" s="178">
        <v>92362</v>
      </c>
      <c r="D39" s="80">
        <f t="shared" si="11"/>
        <v>7.7680403700588735E-2</v>
      </c>
      <c r="E39" s="178">
        <f t="shared" si="21"/>
        <v>102706.54400000001</v>
      </c>
      <c r="F39" s="80">
        <f t="shared" si="12"/>
        <v>7.6876155688622758E-2</v>
      </c>
      <c r="G39" s="178"/>
      <c r="H39" s="80">
        <f t="shared" si="13"/>
        <v>0</v>
      </c>
      <c r="I39" s="178">
        <f>+G39*1.032</f>
        <v>0</v>
      </c>
      <c r="J39" s="80">
        <f t="shared" si="14"/>
        <v>0</v>
      </c>
      <c r="K39" s="178">
        <f>+I39*1.025</f>
        <v>0</v>
      </c>
      <c r="L39" s="80">
        <f t="shared" si="15"/>
        <v>0</v>
      </c>
      <c r="M39" s="178">
        <f>+K39*1.025</f>
        <v>0</v>
      </c>
      <c r="N39" s="80">
        <f t="shared" si="16"/>
        <v>0</v>
      </c>
      <c r="O39" s="178">
        <f>+M39*1.025</f>
        <v>0</v>
      </c>
      <c r="P39" s="80">
        <f t="shared" si="17"/>
        <v>0</v>
      </c>
      <c r="Q39" s="178">
        <f>+O39*1.025</f>
        <v>0</v>
      </c>
      <c r="R39" s="80">
        <f t="shared" si="18"/>
        <v>0</v>
      </c>
      <c r="S39" s="178">
        <f>+Q39*1.025</f>
        <v>0</v>
      </c>
      <c r="T39" s="80">
        <f t="shared" si="19"/>
        <v>0</v>
      </c>
      <c r="U39" s="178">
        <f>+S39*1.025</f>
        <v>0</v>
      </c>
      <c r="V39" s="80">
        <f t="shared" si="20"/>
        <v>0</v>
      </c>
    </row>
    <row r="40" spans="1:22" ht="12.75" customHeight="1">
      <c r="A40" s="2" t="s">
        <v>388</v>
      </c>
      <c r="B40" s="35"/>
      <c r="C40" s="178"/>
      <c r="D40" s="80">
        <f t="shared" si="11"/>
        <v>0</v>
      </c>
      <c r="E40" s="113"/>
      <c r="F40" s="80">
        <f t="shared" si="12"/>
        <v>0</v>
      </c>
      <c r="G40" s="113"/>
      <c r="H40" s="80">
        <f t="shared" si="13"/>
        <v>0</v>
      </c>
      <c r="I40" s="113"/>
      <c r="J40" s="80">
        <f t="shared" si="14"/>
        <v>0</v>
      </c>
      <c r="K40" s="113"/>
      <c r="L40" s="80">
        <f t="shared" si="15"/>
        <v>0</v>
      </c>
      <c r="M40" s="113"/>
      <c r="N40" s="80">
        <f t="shared" si="16"/>
        <v>0</v>
      </c>
      <c r="O40" s="113"/>
      <c r="P40" s="80">
        <f t="shared" si="17"/>
        <v>0</v>
      </c>
      <c r="Q40" s="113"/>
      <c r="R40" s="80">
        <f t="shared" si="18"/>
        <v>0</v>
      </c>
      <c r="S40" s="113"/>
      <c r="T40" s="80">
        <f t="shared" si="19"/>
        <v>0</v>
      </c>
      <c r="U40" s="113"/>
      <c r="V40" s="80">
        <f t="shared" si="20"/>
        <v>0</v>
      </c>
    </row>
    <row r="41" spans="1:22" ht="12.75" customHeight="1">
      <c r="A41" s="2" t="s">
        <v>389</v>
      </c>
      <c r="B41" s="35"/>
      <c r="C41" s="178">
        <f>+C37*12.4%</f>
        <v>6473.7920000000004</v>
      </c>
      <c r="D41" s="80">
        <f t="shared" si="11"/>
        <v>5.4447367535744324E-3</v>
      </c>
      <c r="E41" s="178">
        <f>+E37*12.4%</f>
        <v>7198.8567039999998</v>
      </c>
      <c r="F41" s="80">
        <f t="shared" si="12"/>
        <v>5.3883657964071859E-3</v>
      </c>
      <c r="G41" s="113"/>
      <c r="H41" s="80">
        <f t="shared" si="13"/>
        <v>0</v>
      </c>
      <c r="I41" s="113"/>
      <c r="J41" s="80">
        <f t="shared" si="14"/>
        <v>0</v>
      </c>
      <c r="K41" s="113"/>
      <c r="L41" s="80">
        <f t="shared" si="15"/>
        <v>0</v>
      </c>
      <c r="M41" s="113"/>
      <c r="N41" s="80">
        <f t="shared" si="16"/>
        <v>0</v>
      </c>
      <c r="O41" s="113"/>
      <c r="P41" s="80">
        <f t="shared" si="17"/>
        <v>0</v>
      </c>
      <c r="Q41" s="113"/>
      <c r="R41" s="80">
        <f t="shared" si="18"/>
        <v>0</v>
      </c>
      <c r="S41" s="113"/>
      <c r="T41" s="80">
        <f t="shared" si="19"/>
        <v>0</v>
      </c>
      <c r="U41" s="113"/>
      <c r="V41" s="80">
        <f t="shared" si="20"/>
        <v>0</v>
      </c>
    </row>
    <row r="42" spans="1:22" ht="12.75" customHeight="1">
      <c r="A42" s="2" t="s">
        <v>390</v>
      </c>
      <c r="B42" s="35"/>
      <c r="C42" s="178"/>
      <c r="D42" s="80">
        <f t="shared" si="11"/>
        <v>0</v>
      </c>
      <c r="E42" s="178"/>
      <c r="F42" s="80">
        <f t="shared" si="12"/>
        <v>0</v>
      </c>
      <c r="G42" s="178"/>
      <c r="H42" s="80">
        <f t="shared" si="13"/>
        <v>0</v>
      </c>
      <c r="I42" s="178"/>
      <c r="J42" s="80">
        <f t="shared" si="14"/>
        <v>0</v>
      </c>
      <c r="K42" s="178"/>
      <c r="L42" s="80">
        <f t="shared" si="15"/>
        <v>0</v>
      </c>
      <c r="M42" s="178"/>
      <c r="N42" s="80">
        <f t="shared" si="16"/>
        <v>0</v>
      </c>
      <c r="O42" s="178"/>
      <c r="P42" s="80">
        <f t="shared" si="17"/>
        <v>0</v>
      </c>
      <c r="Q42" s="178"/>
      <c r="R42" s="80">
        <f t="shared" si="18"/>
        <v>0</v>
      </c>
      <c r="S42" s="178"/>
      <c r="T42" s="80">
        <f t="shared" si="19"/>
        <v>0</v>
      </c>
      <c r="U42" s="178"/>
      <c r="V42" s="80">
        <f t="shared" si="20"/>
        <v>0</v>
      </c>
    </row>
    <row r="43" spans="1:22" ht="12.75" customHeight="1">
      <c r="A43" s="2" t="s">
        <v>391</v>
      </c>
      <c r="B43" s="35"/>
      <c r="C43" s="178"/>
      <c r="D43" s="80">
        <f t="shared" si="11"/>
        <v>0</v>
      </c>
      <c r="E43" s="178"/>
      <c r="F43" s="80">
        <f t="shared" si="12"/>
        <v>0</v>
      </c>
      <c r="G43" s="178"/>
      <c r="H43" s="80">
        <f t="shared" si="13"/>
        <v>0</v>
      </c>
      <c r="I43" s="178"/>
      <c r="J43" s="80">
        <f t="shared" si="14"/>
        <v>0</v>
      </c>
      <c r="K43" s="178"/>
      <c r="L43" s="80">
        <f t="shared" si="15"/>
        <v>0</v>
      </c>
      <c r="M43" s="178"/>
      <c r="N43" s="80">
        <f t="shared" si="16"/>
        <v>0</v>
      </c>
      <c r="O43" s="178"/>
      <c r="P43" s="80">
        <f t="shared" si="17"/>
        <v>0</v>
      </c>
      <c r="Q43" s="178"/>
      <c r="R43" s="80">
        <f t="shared" si="18"/>
        <v>0</v>
      </c>
      <c r="S43" s="178"/>
      <c r="T43" s="80">
        <f t="shared" si="19"/>
        <v>0</v>
      </c>
      <c r="U43" s="178"/>
      <c r="V43" s="80">
        <f t="shared" si="20"/>
        <v>0</v>
      </c>
    </row>
    <row r="44" spans="1:22" ht="12.75" customHeight="1">
      <c r="A44" s="2" t="s">
        <v>392</v>
      </c>
      <c r="B44" s="35"/>
      <c r="C44" s="178"/>
      <c r="D44" s="80">
        <f t="shared" si="11"/>
        <v>0</v>
      </c>
      <c r="E44" s="178"/>
      <c r="F44" s="80">
        <f t="shared" si="12"/>
        <v>0</v>
      </c>
      <c r="G44" s="178"/>
      <c r="H44" s="80">
        <f t="shared" si="13"/>
        <v>0</v>
      </c>
      <c r="I44" s="178"/>
      <c r="J44" s="80">
        <f t="shared" si="14"/>
        <v>0</v>
      </c>
      <c r="K44" s="178"/>
      <c r="L44" s="80">
        <f t="shared" si="15"/>
        <v>0</v>
      </c>
      <c r="M44" s="178"/>
      <c r="N44" s="80">
        <f t="shared" si="16"/>
        <v>0</v>
      </c>
      <c r="O44" s="178"/>
      <c r="P44" s="80">
        <f t="shared" si="17"/>
        <v>0</v>
      </c>
      <c r="Q44" s="178"/>
      <c r="R44" s="80">
        <f t="shared" si="18"/>
        <v>0</v>
      </c>
      <c r="S44" s="178"/>
      <c r="T44" s="80">
        <f t="shared" si="19"/>
        <v>0</v>
      </c>
      <c r="U44" s="178"/>
      <c r="V44" s="80">
        <f t="shared" si="20"/>
        <v>0</v>
      </c>
    </row>
    <row r="45" spans="1:22" ht="12.75" customHeight="1">
      <c r="A45" s="2" t="s">
        <v>393</v>
      </c>
      <c r="B45" s="35"/>
      <c r="C45" s="181">
        <f>(+C37+C39)*9.4%</f>
        <v>13589.58</v>
      </c>
      <c r="D45" s="80">
        <f t="shared" si="11"/>
        <v>1.14294196804037E-2</v>
      </c>
      <c r="E45" s="181">
        <f>(+E37+E39)*9.4%</f>
        <v>15111.612960000002</v>
      </c>
      <c r="F45" s="80">
        <f t="shared" si="12"/>
        <v>1.1311087544910182E-2</v>
      </c>
      <c r="G45" s="114"/>
      <c r="H45" s="80">
        <f t="shared" si="13"/>
        <v>0</v>
      </c>
      <c r="I45" s="114"/>
      <c r="J45" s="80">
        <f t="shared" si="14"/>
        <v>0</v>
      </c>
      <c r="K45" s="114"/>
      <c r="L45" s="80">
        <f t="shared" si="15"/>
        <v>0</v>
      </c>
      <c r="M45" s="114"/>
      <c r="N45" s="80">
        <f t="shared" si="16"/>
        <v>0</v>
      </c>
      <c r="O45" s="114"/>
      <c r="P45" s="80">
        <f t="shared" si="17"/>
        <v>0</v>
      </c>
      <c r="Q45" s="114"/>
      <c r="R45" s="80">
        <f t="shared" si="18"/>
        <v>0</v>
      </c>
      <c r="S45" s="114"/>
      <c r="T45" s="80">
        <f t="shared" si="19"/>
        <v>0</v>
      </c>
      <c r="U45" s="114"/>
      <c r="V45" s="80">
        <f t="shared" si="20"/>
        <v>0</v>
      </c>
    </row>
    <row r="46" spans="1:22" ht="12.75" customHeight="1">
      <c r="A46" s="1" t="s">
        <v>394</v>
      </c>
      <c r="B46" s="53"/>
      <c r="C46" s="82">
        <f>SUM(C36:C45)</f>
        <v>164633.37199999997</v>
      </c>
      <c r="D46" s="83">
        <f t="shared" si="11"/>
        <v>0.13846372750210259</v>
      </c>
      <c r="E46" s="82">
        <f>SUM(E36:E45)</f>
        <v>183072.30966400003</v>
      </c>
      <c r="F46" s="83">
        <f t="shared" si="12"/>
        <v>0.13703017190419164</v>
      </c>
      <c r="G46" s="82">
        <f>SUM(G36:G45)</f>
        <v>0</v>
      </c>
      <c r="H46" s="83">
        <f t="shared" si="13"/>
        <v>0</v>
      </c>
      <c r="I46" s="82">
        <f>SUM(I36:I45)</f>
        <v>0</v>
      </c>
      <c r="J46" s="83">
        <f t="shared" si="14"/>
        <v>0</v>
      </c>
      <c r="K46" s="82">
        <f>SUM(K36:K45)</f>
        <v>0</v>
      </c>
      <c r="L46" s="83">
        <f t="shared" si="15"/>
        <v>0</v>
      </c>
      <c r="M46" s="82">
        <f>SUM(M36:M45)</f>
        <v>0</v>
      </c>
      <c r="N46" s="83">
        <f t="shared" si="16"/>
        <v>0</v>
      </c>
      <c r="O46" s="82">
        <f>SUM(O36:O45)</f>
        <v>0</v>
      </c>
      <c r="P46" s="83">
        <f t="shared" si="17"/>
        <v>0</v>
      </c>
      <c r="Q46" s="82">
        <f>SUM(Q36:Q45)</f>
        <v>0</v>
      </c>
      <c r="R46" s="83">
        <f t="shared" si="18"/>
        <v>0</v>
      </c>
      <c r="S46" s="82">
        <f>SUM(S36:S45)</f>
        <v>0</v>
      </c>
      <c r="T46" s="83">
        <f t="shared" si="19"/>
        <v>0</v>
      </c>
      <c r="U46" s="82">
        <f>SUM(U36:U45)</f>
        <v>0</v>
      </c>
      <c r="V46" s="83">
        <f t="shared" si="20"/>
        <v>0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366</v>
      </c>
      <c r="E50" s="86" t="str">
        <f>E6</f>
        <v>FY 2019-20</v>
      </c>
      <c r="F50" s="86" t="s">
        <v>366</v>
      </c>
      <c r="G50" s="86" t="str">
        <f>G6</f>
        <v>FY 2020-21</v>
      </c>
      <c r="H50" s="86" t="s">
        <v>366</v>
      </c>
      <c r="I50" s="86" t="str">
        <f>I6</f>
        <v>FY 2021-22</v>
      </c>
      <c r="J50" s="86" t="s">
        <v>366</v>
      </c>
      <c r="K50" s="86" t="str">
        <f>K6</f>
        <v>FY 2022-23</v>
      </c>
      <c r="L50" s="86" t="s">
        <v>366</v>
      </c>
      <c r="M50" s="86" t="str">
        <f>M6</f>
        <v>FY 2023-24</v>
      </c>
      <c r="N50" s="86" t="s">
        <v>366</v>
      </c>
      <c r="O50" s="86" t="str">
        <f>O6</f>
        <v>FY 2024-25</v>
      </c>
      <c r="P50" s="86" t="s">
        <v>366</v>
      </c>
      <c r="Q50" s="86" t="str">
        <f>Q6</f>
        <v>FY 2025-26</v>
      </c>
      <c r="R50" s="86" t="s">
        <v>366</v>
      </c>
      <c r="S50" s="86" t="str">
        <f>S6</f>
        <v>FY 2026-27</v>
      </c>
      <c r="T50" s="86" t="s">
        <v>366</v>
      </c>
      <c r="U50" s="86" t="str">
        <f>U6</f>
        <v>FY 2027-28</v>
      </c>
      <c r="V50" s="86" t="s">
        <v>366</v>
      </c>
    </row>
    <row r="51" spans="1:24" ht="12.75" customHeight="1">
      <c r="A51" s="1" t="s">
        <v>395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396</v>
      </c>
      <c r="B52" s="35"/>
      <c r="C52" s="178">
        <v>0</v>
      </c>
      <c r="D52" s="80">
        <f t="shared" ref="D52:D83" si="22">IFERROR(C52/C$28,0)</f>
        <v>0</v>
      </c>
      <c r="E52" s="178">
        <v>0</v>
      </c>
      <c r="F52" s="80">
        <f t="shared" ref="F52:F105" si="23">IFERROR(E52/E$28,0)</f>
        <v>0</v>
      </c>
      <c r="G52" s="178">
        <v>0</v>
      </c>
      <c r="H52" s="80">
        <f t="shared" ref="H52:H105" si="24">IFERROR(G52/G$28,0)</f>
        <v>0</v>
      </c>
      <c r="I52" s="178">
        <v>0</v>
      </c>
      <c r="J52" s="80">
        <f t="shared" ref="J52:J105" si="25">IFERROR(I52/I$28,0)</f>
        <v>0</v>
      </c>
      <c r="K52" s="178">
        <v>0</v>
      </c>
      <c r="L52" s="80">
        <f t="shared" ref="L52:L105" si="26">IFERROR(K52/K$28,0)</f>
        <v>0</v>
      </c>
      <c r="M52" s="178">
        <v>0</v>
      </c>
      <c r="N52" s="80">
        <f t="shared" ref="N52:N105" si="27">IFERROR(M52/M$28,0)</f>
        <v>0</v>
      </c>
      <c r="O52" s="178">
        <v>0</v>
      </c>
      <c r="P52" s="80">
        <f t="shared" ref="P52:P105" si="28">IFERROR(O52/O$28,0)</f>
        <v>0</v>
      </c>
      <c r="Q52" s="178">
        <v>0</v>
      </c>
      <c r="R52" s="80">
        <f t="shared" ref="R52:R105" si="29">IFERROR(Q52/Q$28,0)</f>
        <v>0</v>
      </c>
      <c r="S52" s="178">
        <v>0</v>
      </c>
      <c r="T52" s="80">
        <f t="shared" ref="T52:T105" si="30">IFERROR(S52/S$28,0)</f>
        <v>0</v>
      </c>
      <c r="U52" s="178">
        <v>0</v>
      </c>
      <c r="V52" s="80">
        <f t="shared" ref="V52:V105" si="31">IFERROR(U52/U$28,0)</f>
        <v>0</v>
      </c>
      <c r="X52" s="192"/>
    </row>
    <row r="53" spans="1:24" ht="12.75" customHeight="1">
      <c r="A53" s="2" t="s">
        <v>397</v>
      </c>
      <c r="B53" s="35"/>
      <c r="C53" s="178">
        <v>0</v>
      </c>
      <c r="D53" s="80">
        <f t="shared" si="22"/>
        <v>0</v>
      </c>
      <c r="E53" s="178">
        <v>0</v>
      </c>
      <c r="F53" s="80">
        <f t="shared" si="23"/>
        <v>0</v>
      </c>
      <c r="G53" s="178">
        <v>0</v>
      </c>
      <c r="H53" s="80">
        <f t="shared" si="24"/>
        <v>0</v>
      </c>
      <c r="I53" s="178">
        <v>0</v>
      </c>
      <c r="J53" s="80">
        <f t="shared" si="25"/>
        <v>0</v>
      </c>
      <c r="K53" s="178">
        <v>0</v>
      </c>
      <c r="L53" s="80">
        <f t="shared" si="26"/>
        <v>0</v>
      </c>
      <c r="M53" s="178">
        <v>0</v>
      </c>
      <c r="N53" s="80">
        <f t="shared" si="27"/>
        <v>0</v>
      </c>
      <c r="O53" s="178">
        <v>0</v>
      </c>
      <c r="P53" s="80">
        <f t="shared" si="28"/>
        <v>0</v>
      </c>
      <c r="Q53" s="178">
        <v>0</v>
      </c>
      <c r="R53" s="80">
        <f t="shared" si="29"/>
        <v>0</v>
      </c>
      <c r="S53" s="178">
        <v>0</v>
      </c>
      <c r="T53" s="80">
        <f t="shared" si="30"/>
        <v>0</v>
      </c>
      <c r="U53" s="178">
        <v>0</v>
      </c>
      <c r="V53" s="80">
        <f t="shared" si="31"/>
        <v>0</v>
      </c>
      <c r="X53" s="192"/>
    </row>
    <row r="54" spans="1:24" ht="12.75" customHeight="1">
      <c r="A54" s="2" t="s">
        <v>398</v>
      </c>
      <c r="B54" s="35"/>
      <c r="C54" s="178">
        <v>832.3</v>
      </c>
      <c r="D54" s="80">
        <f t="shared" si="22"/>
        <v>6.9999999999999999E-4</v>
      </c>
      <c r="E54" s="178">
        <v>935.19999999999993</v>
      </c>
      <c r="F54" s="80">
        <f t="shared" si="23"/>
        <v>6.9999999999999999E-4</v>
      </c>
      <c r="G54" s="178">
        <v>0</v>
      </c>
      <c r="H54" s="80">
        <f t="shared" si="24"/>
        <v>0</v>
      </c>
      <c r="I54" s="178">
        <v>0</v>
      </c>
      <c r="J54" s="80">
        <f t="shared" si="25"/>
        <v>0</v>
      </c>
      <c r="K54" s="178">
        <v>0</v>
      </c>
      <c r="L54" s="80">
        <f t="shared" si="26"/>
        <v>0</v>
      </c>
      <c r="M54" s="178">
        <v>0</v>
      </c>
      <c r="N54" s="80">
        <f t="shared" si="27"/>
        <v>0</v>
      </c>
      <c r="O54" s="178">
        <v>0</v>
      </c>
      <c r="P54" s="80">
        <f t="shared" si="28"/>
        <v>0</v>
      </c>
      <c r="Q54" s="178">
        <v>0</v>
      </c>
      <c r="R54" s="80">
        <f t="shared" si="29"/>
        <v>0</v>
      </c>
      <c r="S54" s="178">
        <v>0</v>
      </c>
      <c r="T54" s="80">
        <f t="shared" si="30"/>
        <v>0</v>
      </c>
      <c r="U54" s="178">
        <v>0</v>
      </c>
      <c r="V54" s="80">
        <f t="shared" si="31"/>
        <v>0</v>
      </c>
      <c r="X54" s="192"/>
    </row>
    <row r="55" spans="1:24" ht="12.75" customHeight="1">
      <c r="A55" s="2" t="s">
        <v>399</v>
      </c>
      <c r="B55" s="35"/>
      <c r="C55" s="178"/>
      <c r="D55" s="80">
        <f t="shared" si="22"/>
        <v>0</v>
      </c>
      <c r="E55" s="178"/>
      <c r="F55" s="80">
        <f t="shared" si="23"/>
        <v>0</v>
      </c>
      <c r="G55" s="178">
        <v>0</v>
      </c>
      <c r="H55" s="80">
        <f t="shared" si="24"/>
        <v>0</v>
      </c>
      <c r="I55" s="178">
        <v>0</v>
      </c>
      <c r="J55" s="80">
        <f t="shared" si="25"/>
        <v>0</v>
      </c>
      <c r="K55" s="178">
        <v>0</v>
      </c>
      <c r="L55" s="80">
        <f t="shared" si="26"/>
        <v>0</v>
      </c>
      <c r="M55" s="178">
        <v>0</v>
      </c>
      <c r="N55" s="80">
        <f t="shared" si="27"/>
        <v>0</v>
      </c>
      <c r="O55" s="178">
        <v>0</v>
      </c>
      <c r="P55" s="80">
        <f t="shared" si="28"/>
        <v>0</v>
      </c>
      <c r="Q55" s="178">
        <v>0</v>
      </c>
      <c r="R55" s="80">
        <f t="shared" si="29"/>
        <v>0</v>
      </c>
      <c r="S55" s="178">
        <v>0</v>
      </c>
      <c r="T55" s="80">
        <f t="shared" si="30"/>
        <v>0</v>
      </c>
      <c r="U55" s="178">
        <v>0</v>
      </c>
      <c r="V55" s="80">
        <f t="shared" si="31"/>
        <v>0</v>
      </c>
      <c r="X55" s="192"/>
    </row>
    <row r="56" spans="1:24" ht="12.75" customHeight="1">
      <c r="A56" s="2" t="s">
        <v>400</v>
      </c>
      <c r="B56" s="35"/>
      <c r="C56" s="178">
        <v>606.39</v>
      </c>
      <c r="D56" s="80">
        <f t="shared" si="22"/>
        <v>5.1000000000000004E-4</v>
      </c>
      <c r="E56" s="178">
        <v>681.36</v>
      </c>
      <c r="F56" s="80">
        <f t="shared" si="23"/>
        <v>5.1000000000000004E-4</v>
      </c>
      <c r="G56" s="178">
        <v>0</v>
      </c>
      <c r="H56" s="80">
        <f t="shared" si="24"/>
        <v>0</v>
      </c>
      <c r="I56" s="178">
        <v>0</v>
      </c>
      <c r="J56" s="80">
        <f t="shared" si="25"/>
        <v>0</v>
      </c>
      <c r="K56" s="178">
        <v>0</v>
      </c>
      <c r="L56" s="80">
        <f t="shared" si="26"/>
        <v>0</v>
      </c>
      <c r="M56" s="178">
        <v>0</v>
      </c>
      <c r="N56" s="80">
        <f t="shared" si="27"/>
        <v>0</v>
      </c>
      <c r="O56" s="178">
        <v>0</v>
      </c>
      <c r="P56" s="80">
        <f t="shared" si="28"/>
        <v>0</v>
      </c>
      <c r="Q56" s="178">
        <v>0</v>
      </c>
      <c r="R56" s="80">
        <f t="shared" si="29"/>
        <v>0</v>
      </c>
      <c r="S56" s="178">
        <v>0</v>
      </c>
      <c r="T56" s="80">
        <f t="shared" si="30"/>
        <v>0</v>
      </c>
      <c r="U56" s="178">
        <v>0</v>
      </c>
      <c r="V56" s="80">
        <f t="shared" si="31"/>
        <v>0</v>
      </c>
      <c r="X56" s="192"/>
    </row>
    <row r="57" spans="1:24" ht="12.75" customHeight="1">
      <c r="A57" s="2" t="s">
        <v>401</v>
      </c>
      <c r="B57" s="35"/>
      <c r="C57" s="178">
        <v>0</v>
      </c>
      <c r="D57" s="80">
        <f t="shared" si="22"/>
        <v>0</v>
      </c>
      <c r="E57" s="178">
        <v>0</v>
      </c>
      <c r="F57" s="80">
        <f t="shared" si="23"/>
        <v>0</v>
      </c>
      <c r="G57" s="178">
        <v>0</v>
      </c>
      <c r="H57" s="80">
        <f t="shared" si="24"/>
        <v>0</v>
      </c>
      <c r="I57" s="178">
        <v>0</v>
      </c>
      <c r="J57" s="80">
        <f t="shared" si="25"/>
        <v>0</v>
      </c>
      <c r="K57" s="178">
        <v>0</v>
      </c>
      <c r="L57" s="80">
        <f t="shared" si="26"/>
        <v>0</v>
      </c>
      <c r="M57" s="178">
        <v>0</v>
      </c>
      <c r="N57" s="80">
        <f t="shared" si="27"/>
        <v>0</v>
      </c>
      <c r="O57" s="178">
        <v>0</v>
      </c>
      <c r="P57" s="80">
        <f t="shared" si="28"/>
        <v>0</v>
      </c>
      <c r="Q57" s="178">
        <v>0</v>
      </c>
      <c r="R57" s="80">
        <f t="shared" si="29"/>
        <v>0</v>
      </c>
      <c r="S57" s="178">
        <v>0</v>
      </c>
      <c r="T57" s="80">
        <f t="shared" si="30"/>
        <v>0</v>
      </c>
      <c r="U57" s="178">
        <v>0</v>
      </c>
      <c r="V57" s="80">
        <f t="shared" si="31"/>
        <v>0</v>
      </c>
      <c r="X57" s="192"/>
    </row>
    <row r="58" spans="1:24" ht="12.75" customHeight="1">
      <c r="A58" s="2" t="s">
        <v>402</v>
      </c>
      <c r="B58" s="35"/>
      <c r="C58" s="178">
        <v>0</v>
      </c>
      <c r="D58" s="80">
        <f t="shared" si="22"/>
        <v>0</v>
      </c>
      <c r="E58" s="178">
        <v>0</v>
      </c>
      <c r="F58" s="80">
        <f t="shared" si="23"/>
        <v>0</v>
      </c>
      <c r="G58" s="178">
        <v>0</v>
      </c>
      <c r="H58" s="80">
        <f t="shared" si="24"/>
        <v>0</v>
      </c>
      <c r="I58" s="178">
        <v>0</v>
      </c>
      <c r="J58" s="80">
        <f t="shared" si="25"/>
        <v>0</v>
      </c>
      <c r="K58" s="178">
        <v>0</v>
      </c>
      <c r="L58" s="80">
        <f t="shared" si="26"/>
        <v>0</v>
      </c>
      <c r="M58" s="178">
        <v>0</v>
      </c>
      <c r="N58" s="80">
        <f t="shared" si="27"/>
        <v>0</v>
      </c>
      <c r="O58" s="178">
        <v>0</v>
      </c>
      <c r="P58" s="80">
        <f t="shared" si="28"/>
        <v>0</v>
      </c>
      <c r="Q58" s="178">
        <v>0</v>
      </c>
      <c r="R58" s="80">
        <f t="shared" si="29"/>
        <v>0</v>
      </c>
      <c r="S58" s="178">
        <v>0</v>
      </c>
      <c r="T58" s="80">
        <f t="shared" si="30"/>
        <v>0</v>
      </c>
      <c r="U58" s="178">
        <v>0</v>
      </c>
      <c r="V58" s="80">
        <f t="shared" si="31"/>
        <v>0</v>
      </c>
      <c r="X58" s="192"/>
    </row>
    <row r="59" spans="1:24" ht="12.75" customHeight="1">
      <c r="A59" s="2" t="s">
        <v>403</v>
      </c>
      <c r="B59" s="35"/>
      <c r="C59" s="178"/>
      <c r="D59" s="80">
        <f t="shared" si="22"/>
        <v>0</v>
      </c>
      <c r="E59" s="178"/>
      <c r="F59" s="80">
        <f t="shared" si="23"/>
        <v>0</v>
      </c>
      <c r="G59" s="178"/>
      <c r="H59" s="80">
        <f t="shared" si="24"/>
        <v>0</v>
      </c>
      <c r="I59" s="178"/>
      <c r="J59" s="80">
        <f t="shared" si="25"/>
        <v>0</v>
      </c>
      <c r="K59" s="178"/>
      <c r="L59" s="80">
        <f t="shared" si="26"/>
        <v>0</v>
      </c>
      <c r="M59" s="178"/>
      <c r="N59" s="80">
        <f t="shared" si="27"/>
        <v>0</v>
      </c>
      <c r="O59" s="178"/>
      <c r="P59" s="80">
        <f t="shared" si="28"/>
        <v>0</v>
      </c>
      <c r="Q59" s="178"/>
      <c r="R59" s="80">
        <f t="shared" si="29"/>
        <v>0</v>
      </c>
      <c r="S59" s="178"/>
      <c r="T59" s="80">
        <f t="shared" si="30"/>
        <v>0</v>
      </c>
      <c r="U59" s="178"/>
      <c r="V59" s="80">
        <f t="shared" si="31"/>
        <v>0</v>
      </c>
      <c r="X59" s="192"/>
    </row>
    <row r="60" spans="1:24" ht="12.75" customHeight="1">
      <c r="A60" s="2" t="s">
        <v>404</v>
      </c>
      <c r="B60" s="35"/>
      <c r="C60" s="178">
        <v>0</v>
      </c>
      <c r="D60" s="80">
        <f t="shared" si="22"/>
        <v>0</v>
      </c>
      <c r="E60" s="178">
        <v>0</v>
      </c>
      <c r="F60" s="80">
        <f t="shared" si="23"/>
        <v>0</v>
      </c>
      <c r="G60" s="178">
        <v>0</v>
      </c>
      <c r="H60" s="80">
        <f t="shared" si="24"/>
        <v>0</v>
      </c>
      <c r="I60" s="178">
        <v>0</v>
      </c>
      <c r="J60" s="80">
        <f t="shared" si="25"/>
        <v>0</v>
      </c>
      <c r="K60" s="178">
        <v>0</v>
      </c>
      <c r="L60" s="80">
        <f t="shared" si="26"/>
        <v>0</v>
      </c>
      <c r="M60" s="178">
        <v>0</v>
      </c>
      <c r="N60" s="80">
        <f t="shared" si="27"/>
        <v>0</v>
      </c>
      <c r="O60" s="178">
        <v>0</v>
      </c>
      <c r="P60" s="80">
        <f t="shared" si="28"/>
        <v>0</v>
      </c>
      <c r="Q60" s="178">
        <v>0</v>
      </c>
      <c r="R60" s="80">
        <f t="shared" si="29"/>
        <v>0</v>
      </c>
      <c r="S60" s="178">
        <v>0</v>
      </c>
      <c r="T60" s="80">
        <f t="shared" si="30"/>
        <v>0</v>
      </c>
      <c r="U60" s="178">
        <v>0</v>
      </c>
      <c r="V60" s="80">
        <f t="shared" si="31"/>
        <v>0</v>
      </c>
      <c r="X60" s="192"/>
    </row>
    <row r="61" spans="1:24" ht="12.75" customHeight="1">
      <c r="A61" s="2" t="s">
        <v>405</v>
      </c>
      <c r="B61" s="35"/>
      <c r="C61" s="178">
        <v>0</v>
      </c>
      <c r="D61" s="80">
        <f t="shared" si="22"/>
        <v>0</v>
      </c>
      <c r="E61" s="178">
        <v>0</v>
      </c>
      <c r="F61" s="80">
        <f t="shared" si="23"/>
        <v>0</v>
      </c>
      <c r="G61" s="178">
        <v>0</v>
      </c>
      <c r="H61" s="80">
        <f t="shared" si="24"/>
        <v>0</v>
      </c>
      <c r="I61" s="178">
        <v>0</v>
      </c>
      <c r="J61" s="80">
        <f t="shared" si="25"/>
        <v>0</v>
      </c>
      <c r="K61" s="178">
        <v>0</v>
      </c>
      <c r="L61" s="80">
        <f t="shared" si="26"/>
        <v>0</v>
      </c>
      <c r="M61" s="178">
        <v>0</v>
      </c>
      <c r="N61" s="80">
        <f t="shared" si="27"/>
        <v>0</v>
      </c>
      <c r="O61" s="178">
        <v>0</v>
      </c>
      <c r="P61" s="80">
        <f t="shared" si="28"/>
        <v>0</v>
      </c>
      <c r="Q61" s="178">
        <v>0</v>
      </c>
      <c r="R61" s="80">
        <f t="shared" si="29"/>
        <v>0</v>
      </c>
      <c r="S61" s="178">
        <v>0</v>
      </c>
      <c r="T61" s="80">
        <f t="shared" si="30"/>
        <v>0</v>
      </c>
      <c r="U61" s="178">
        <v>0</v>
      </c>
      <c r="V61" s="80">
        <f t="shared" si="31"/>
        <v>0</v>
      </c>
      <c r="X61" s="192"/>
    </row>
    <row r="62" spans="1:24" ht="12.75" customHeight="1">
      <c r="A62" s="2" t="s">
        <v>465</v>
      </c>
      <c r="B62" s="35"/>
      <c r="C62" s="178">
        <v>0</v>
      </c>
      <c r="D62" s="80">
        <f t="shared" si="22"/>
        <v>0</v>
      </c>
      <c r="E62" s="178">
        <v>0</v>
      </c>
      <c r="F62" s="80">
        <f t="shared" si="23"/>
        <v>0</v>
      </c>
      <c r="G62" s="178">
        <v>0</v>
      </c>
      <c r="H62" s="80">
        <f t="shared" si="24"/>
        <v>0</v>
      </c>
      <c r="I62" s="178">
        <v>0</v>
      </c>
      <c r="J62" s="80">
        <f t="shared" si="25"/>
        <v>0</v>
      </c>
      <c r="K62" s="178">
        <v>0</v>
      </c>
      <c r="L62" s="80">
        <f t="shared" si="26"/>
        <v>0</v>
      </c>
      <c r="M62" s="178">
        <v>0</v>
      </c>
      <c r="N62" s="80">
        <f t="shared" si="27"/>
        <v>0</v>
      </c>
      <c r="O62" s="178">
        <v>0</v>
      </c>
      <c r="P62" s="80">
        <f t="shared" si="28"/>
        <v>0</v>
      </c>
      <c r="Q62" s="178">
        <v>0</v>
      </c>
      <c r="R62" s="80">
        <f t="shared" si="29"/>
        <v>0</v>
      </c>
      <c r="S62" s="178">
        <v>0</v>
      </c>
      <c r="T62" s="80">
        <f t="shared" si="30"/>
        <v>0</v>
      </c>
      <c r="U62" s="178">
        <v>0</v>
      </c>
      <c r="V62" s="80">
        <f t="shared" si="31"/>
        <v>0</v>
      </c>
      <c r="X62" s="192"/>
    </row>
    <row r="63" spans="1:24" ht="12.75" customHeight="1">
      <c r="A63" s="2" t="s">
        <v>407</v>
      </c>
      <c r="B63" s="35"/>
      <c r="C63" s="178">
        <v>14464.993334076644</v>
      </c>
      <c r="D63" s="80">
        <f t="shared" si="22"/>
        <v>1.2165679843630482E-2</v>
      </c>
      <c r="E63" s="178">
        <v>16493.308814152664</v>
      </c>
      <c r="F63" s="80">
        <f t="shared" si="23"/>
        <v>1.2345291028557383E-2</v>
      </c>
      <c r="G63" s="178">
        <v>0</v>
      </c>
      <c r="H63" s="80">
        <f t="shared" si="24"/>
        <v>0</v>
      </c>
      <c r="I63" s="178">
        <v>0</v>
      </c>
      <c r="J63" s="80">
        <f t="shared" si="25"/>
        <v>0</v>
      </c>
      <c r="K63" s="178">
        <v>0</v>
      </c>
      <c r="L63" s="80">
        <f t="shared" si="26"/>
        <v>0</v>
      </c>
      <c r="M63" s="178">
        <v>0</v>
      </c>
      <c r="N63" s="80">
        <f t="shared" si="27"/>
        <v>0</v>
      </c>
      <c r="O63" s="178">
        <v>0</v>
      </c>
      <c r="P63" s="80">
        <f t="shared" si="28"/>
        <v>0</v>
      </c>
      <c r="Q63" s="178">
        <v>0</v>
      </c>
      <c r="R63" s="80">
        <f t="shared" si="29"/>
        <v>0</v>
      </c>
      <c r="S63" s="178">
        <v>0</v>
      </c>
      <c r="T63" s="80">
        <f t="shared" si="30"/>
        <v>0</v>
      </c>
      <c r="U63" s="178">
        <v>0</v>
      </c>
      <c r="V63" s="80">
        <f t="shared" si="31"/>
        <v>0</v>
      </c>
      <c r="X63" s="192"/>
    </row>
    <row r="64" spans="1:24" ht="12.75" customHeight="1">
      <c r="A64" s="2" t="s">
        <v>408</v>
      </c>
      <c r="B64" s="35"/>
      <c r="C64" s="178">
        <v>5707.1999999999989</v>
      </c>
      <c r="D64" s="80">
        <f t="shared" si="22"/>
        <v>4.7999999999999987E-3</v>
      </c>
      <c r="E64" s="178">
        <v>6412.7999999999993</v>
      </c>
      <c r="F64" s="80">
        <f t="shared" si="23"/>
        <v>4.7999999999999996E-3</v>
      </c>
      <c r="G64" s="178">
        <v>0</v>
      </c>
      <c r="H64" s="80">
        <f t="shared" si="24"/>
        <v>0</v>
      </c>
      <c r="I64" s="178">
        <v>0</v>
      </c>
      <c r="J64" s="80">
        <f t="shared" si="25"/>
        <v>0</v>
      </c>
      <c r="K64" s="178">
        <v>0</v>
      </c>
      <c r="L64" s="80">
        <f t="shared" si="26"/>
        <v>0</v>
      </c>
      <c r="M64" s="178">
        <v>0</v>
      </c>
      <c r="N64" s="80">
        <f t="shared" si="27"/>
        <v>0</v>
      </c>
      <c r="O64" s="178">
        <v>0</v>
      </c>
      <c r="P64" s="80">
        <f t="shared" si="28"/>
        <v>0</v>
      </c>
      <c r="Q64" s="178">
        <v>0</v>
      </c>
      <c r="R64" s="80">
        <f t="shared" si="29"/>
        <v>0</v>
      </c>
      <c r="S64" s="178">
        <v>0</v>
      </c>
      <c r="T64" s="80">
        <f t="shared" si="30"/>
        <v>0</v>
      </c>
      <c r="U64" s="178">
        <v>0</v>
      </c>
      <c r="V64" s="80">
        <f t="shared" si="31"/>
        <v>0</v>
      </c>
      <c r="X64" s="192"/>
    </row>
    <row r="65" spans="1:24" ht="12.75" customHeight="1">
      <c r="A65" s="2" t="s">
        <v>409</v>
      </c>
      <c r="B65" s="35"/>
      <c r="C65" s="178">
        <v>594.5</v>
      </c>
      <c r="D65" s="80">
        <f t="shared" si="22"/>
        <v>5.0000000000000001E-4</v>
      </c>
      <c r="E65" s="178">
        <v>668</v>
      </c>
      <c r="F65" s="80">
        <f t="shared" si="23"/>
        <v>5.0000000000000001E-4</v>
      </c>
      <c r="G65" s="178">
        <v>0</v>
      </c>
      <c r="H65" s="80">
        <f t="shared" si="24"/>
        <v>0</v>
      </c>
      <c r="I65" s="178">
        <v>0</v>
      </c>
      <c r="J65" s="80">
        <f t="shared" si="25"/>
        <v>0</v>
      </c>
      <c r="K65" s="178">
        <v>0</v>
      </c>
      <c r="L65" s="80">
        <f t="shared" si="26"/>
        <v>0</v>
      </c>
      <c r="M65" s="178">
        <v>0</v>
      </c>
      <c r="N65" s="80">
        <f t="shared" si="27"/>
        <v>0</v>
      </c>
      <c r="O65" s="178">
        <v>0</v>
      </c>
      <c r="P65" s="80">
        <f t="shared" si="28"/>
        <v>0</v>
      </c>
      <c r="Q65" s="178">
        <v>0</v>
      </c>
      <c r="R65" s="80">
        <f t="shared" si="29"/>
        <v>0</v>
      </c>
      <c r="S65" s="178">
        <v>0</v>
      </c>
      <c r="T65" s="80">
        <f t="shared" si="30"/>
        <v>0</v>
      </c>
      <c r="U65" s="178">
        <v>0</v>
      </c>
      <c r="V65" s="80">
        <f t="shared" si="31"/>
        <v>0</v>
      </c>
      <c r="X65" s="192"/>
    </row>
    <row r="66" spans="1:24" ht="12.75" customHeight="1">
      <c r="A66" s="2" t="s">
        <v>410</v>
      </c>
      <c r="B66" s="35"/>
      <c r="C66" s="178">
        <v>3329.2</v>
      </c>
      <c r="D66" s="80">
        <f t="shared" si="22"/>
        <v>2.8E-3</v>
      </c>
      <c r="E66" s="178">
        <v>3740.7999999999997</v>
      </c>
      <c r="F66" s="80">
        <f t="shared" si="23"/>
        <v>2.8E-3</v>
      </c>
      <c r="G66" s="178">
        <v>0</v>
      </c>
      <c r="H66" s="80">
        <f t="shared" si="24"/>
        <v>0</v>
      </c>
      <c r="I66" s="178">
        <v>0</v>
      </c>
      <c r="J66" s="80">
        <f t="shared" si="25"/>
        <v>0</v>
      </c>
      <c r="K66" s="178">
        <v>0</v>
      </c>
      <c r="L66" s="80">
        <f t="shared" si="26"/>
        <v>0</v>
      </c>
      <c r="M66" s="178">
        <v>0</v>
      </c>
      <c r="N66" s="80">
        <f t="shared" si="27"/>
        <v>0</v>
      </c>
      <c r="O66" s="178">
        <v>0</v>
      </c>
      <c r="P66" s="80">
        <f t="shared" si="28"/>
        <v>0</v>
      </c>
      <c r="Q66" s="178">
        <v>0</v>
      </c>
      <c r="R66" s="80">
        <f t="shared" si="29"/>
        <v>0</v>
      </c>
      <c r="S66" s="178">
        <v>0</v>
      </c>
      <c r="T66" s="80">
        <f t="shared" si="30"/>
        <v>0</v>
      </c>
      <c r="U66" s="178">
        <v>0</v>
      </c>
      <c r="V66" s="80">
        <f t="shared" si="31"/>
        <v>0</v>
      </c>
      <c r="X66" s="192"/>
    </row>
    <row r="67" spans="1:24" ht="12.75" customHeight="1">
      <c r="A67" s="2" t="s">
        <v>411</v>
      </c>
      <c r="B67" s="35"/>
      <c r="C67" s="178">
        <v>17835</v>
      </c>
      <c r="D67" s="80">
        <f t="shared" si="22"/>
        <v>1.4999999999999999E-2</v>
      </c>
      <c r="E67" s="178">
        <v>20040</v>
      </c>
      <c r="F67" s="80">
        <f t="shared" si="23"/>
        <v>1.4999999999999999E-2</v>
      </c>
      <c r="G67" s="178">
        <v>0</v>
      </c>
      <c r="H67" s="80">
        <f t="shared" si="24"/>
        <v>0</v>
      </c>
      <c r="I67" s="178">
        <v>0</v>
      </c>
      <c r="J67" s="80">
        <f t="shared" si="25"/>
        <v>0</v>
      </c>
      <c r="K67" s="178">
        <v>0</v>
      </c>
      <c r="L67" s="80">
        <f t="shared" si="26"/>
        <v>0</v>
      </c>
      <c r="M67" s="178">
        <v>0</v>
      </c>
      <c r="N67" s="80">
        <f t="shared" si="27"/>
        <v>0</v>
      </c>
      <c r="O67" s="178">
        <v>0</v>
      </c>
      <c r="P67" s="80">
        <f t="shared" si="28"/>
        <v>0</v>
      </c>
      <c r="Q67" s="178">
        <v>0</v>
      </c>
      <c r="R67" s="80">
        <f t="shared" si="29"/>
        <v>0</v>
      </c>
      <c r="S67" s="178">
        <v>0</v>
      </c>
      <c r="T67" s="80">
        <f t="shared" si="30"/>
        <v>0</v>
      </c>
      <c r="U67" s="178">
        <v>0</v>
      </c>
      <c r="V67" s="80">
        <f t="shared" si="31"/>
        <v>0</v>
      </c>
      <c r="X67" s="192"/>
    </row>
    <row r="68" spans="1:24" ht="12.75" customHeight="1">
      <c r="A68" s="2" t="s">
        <v>412</v>
      </c>
      <c r="B68" s="35"/>
      <c r="C68" s="178">
        <v>2021.2999999999997</v>
      </c>
      <c r="D68" s="80">
        <f t="shared" si="22"/>
        <v>1.6999999999999997E-3</v>
      </c>
      <c r="E68" s="178">
        <v>2271.1999999999998</v>
      </c>
      <c r="F68" s="80">
        <f t="shared" si="23"/>
        <v>1.6999999999999999E-3</v>
      </c>
      <c r="G68" s="178">
        <v>0</v>
      </c>
      <c r="H68" s="80">
        <f t="shared" si="24"/>
        <v>0</v>
      </c>
      <c r="I68" s="178">
        <v>0</v>
      </c>
      <c r="J68" s="80">
        <f t="shared" si="25"/>
        <v>0</v>
      </c>
      <c r="K68" s="178">
        <v>0</v>
      </c>
      <c r="L68" s="80">
        <f t="shared" si="26"/>
        <v>0</v>
      </c>
      <c r="M68" s="178">
        <v>0</v>
      </c>
      <c r="N68" s="80">
        <f t="shared" si="27"/>
        <v>0</v>
      </c>
      <c r="O68" s="178">
        <v>0</v>
      </c>
      <c r="P68" s="80">
        <f t="shared" si="28"/>
        <v>0</v>
      </c>
      <c r="Q68" s="178">
        <v>0</v>
      </c>
      <c r="R68" s="80">
        <f t="shared" si="29"/>
        <v>0</v>
      </c>
      <c r="S68" s="178">
        <v>0</v>
      </c>
      <c r="T68" s="80">
        <f t="shared" si="30"/>
        <v>0</v>
      </c>
      <c r="U68" s="178">
        <v>0</v>
      </c>
      <c r="V68" s="80">
        <f t="shared" si="31"/>
        <v>0</v>
      </c>
      <c r="X68" s="192"/>
    </row>
    <row r="69" spans="1:24" ht="12.75" customHeight="1">
      <c r="A69" s="2" t="s">
        <v>413</v>
      </c>
      <c r="B69" s="35"/>
      <c r="C69" s="178">
        <v>0</v>
      </c>
      <c r="D69" s="80">
        <f t="shared" si="22"/>
        <v>0</v>
      </c>
      <c r="E69" s="178">
        <v>0</v>
      </c>
      <c r="F69" s="80">
        <f t="shared" si="23"/>
        <v>0</v>
      </c>
      <c r="G69" s="178">
        <v>0</v>
      </c>
      <c r="H69" s="80">
        <f t="shared" si="24"/>
        <v>0</v>
      </c>
      <c r="I69" s="178">
        <v>0</v>
      </c>
      <c r="J69" s="80">
        <f t="shared" si="25"/>
        <v>0</v>
      </c>
      <c r="K69" s="178">
        <v>0</v>
      </c>
      <c r="L69" s="80">
        <f t="shared" si="26"/>
        <v>0</v>
      </c>
      <c r="M69" s="178">
        <v>0</v>
      </c>
      <c r="N69" s="80">
        <f t="shared" si="27"/>
        <v>0</v>
      </c>
      <c r="O69" s="178">
        <v>0</v>
      </c>
      <c r="P69" s="80">
        <f t="shared" si="28"/>
        <v>0</v>
      </c>
      <c r="Q69" s="178">
        <v>0</v>
      </c>
      <c r="R69" s="80">
        <f t="shared" si="29"/>
        <v>0</v>
      </c>
      <c r="S69" s="178">
        <v>0</v>
      </c>
      <c r="T69" s="80">
        <f t="shared" si="30"/>
        <v>0</v>
      </c>
      <c r="U69" s="178">
        <v>0</v>
      </c>
      <c r="V69" s="80">
        <f t="shared" si="31"/>
        <v>0</v>
      </c>
      <c r="X69" s="192"/>
    </row>
    <row r="70" spans="1:24" ht="12.75" customHeight="1">
      <c r="A70" s="2" t="s">
        <v>414</v>
      </c>
      <c r="B70" s="35"/>
      <c r="C70" s="178">
        <v>118.9</v>
      </c>
      <c r="D70" s="80">
        <f t="shared" si="22"/>
        <v>1E-4</v>
      </c>
      <c r="E70" s="178">
        <v>133.60000000000002</v>
      </c>
      <c r="F70" s="80">
        <f t="shared" si="23"/>
        <v>1.0000000000000002E-4</v>
      </c>
      <c r="G70" s="178">
        <v>0</v>
      </c>
      <c r="H70" s="80">
        <f t="shared" si="24"/>
        <v>0</v>
      </c>
      <c r="I70" s="178">
        <v>0</v>
      </c>
      <c r="J70" s="80">
        <f t="shared" si="25"/>
        <v>0</v>
      </c>
      <c r="K70" s="178">
        <v>0</v>
      </c>
      <c r="L70" s="80">
        <f t="shared" si="26"/>
        <v>0</v>
      </c>
      <c r="M70" s="178">
        <v>0</v>
      </c>
      <c r="N70" s="80">
        <f t="shared" si="27"/>
        <v>0</v>
      </c>
      <c r="O70" s="178">
        <v>0</v>
      </c>
      <c r="P70" s="80">
        <f t="shared" si="28"/>
        <v>0</v>
      </c>
      <c r="Q70" s="178">
        <v>0</v>
      </c>
      <c r="R70" s="80">
        <f t="shared" si="29"/>
        <v>0</v>
      </c>
      <c r="S70" s="178">
        <v>0</v>
      </c>
      <c r="T70" s="80">
        <f t="shared" si="30"/>
        <v>0</v>
      </c>
      <c r="U70" s="178">
        <v>0</v>
      </c>
      <c r="V70" s="80">
        <f t="shared" si="31"/>
        <v>0</v>
      </c>
      <c r="X70" s="192"/>
    </row>
    <row r="71" spans="1:24" ht="12.75" customHeight="1">
      <c r="A71" s="2" t="s">
        <v>415</v>
      </c>
      <c r="B71" s="35"/>
      <c r="C71" s="178">
        <v>0</v>
      </c>
      <c r="D71" s="80">
        <f t="shared" si="22"/>
        <v>0</v>
      </c>
      <c r="E71" s="178">
        <v>0</v>
      </c>
      <c r="F71" s="80">
        <f t="shared" si="23"/>
        <v>0</v>
      </c>
      <c r="G71" s="178">
        <v>0</v>
      </c>
      <c r="H71" s="80">
        <f t="shared" si="24"/>
        <v>0</v>
      </c>
      <c r="I71" s="178">
        <v>0</v>
      </c>
      <c r="J71" s="80">
        <f t="shared" si="25"/>
        <v>0</v>
      </c>
      <c r="K71" s="178">
        <v>0</v>
      </c>
      <c r="L71" s="80">
        <f t="shared" si="26"/>
        <v>0</v>
      </c>
      <c r="M71" s="178">
        <v>0</v>
      </c>
      <c r="N71" s="80">
        <f t="shared" si="27"/>
        <v>0</v>
      </c>
      <c r="O71" s="178">
        <v>0</v>
      </c>
      <c r="P71" s="80">
        <f t="shared" si="28"/>
        <v>0</v>
      </c>
      <c r="Q71" s="178">
        <v>0</v>
      </c>
      <c r="R71" s="80">
        <f t="shared" si="29"/>
        <v>0</v>
      </c>
      <c r="S71" s="178">
        <v>0</v>
      </c>
      <c r="T71" s="80">
        <f t="shared" si="30"/>
        <v>0</v>
      </c>
      <c r="U71" s="178">
        <v>0</v>
      </c>
      <c r="V71" s="80">
        <f t="shared" si="31"/>
        <v>0</v>
      </c>
      <c r="X71" s="192"/>
    </row>
    <row r="72" spans="1:24" ht="12.75" customHeight="1">
      <c r="A72" s="2" t="s">
        <v>416</v>
      </c>
      <c r="B72" s="35"/>
      <c r="C72" s="178">
        <v>0</v>
      </c>
      <c r="D72" s="80">
        <f t="shared" si="22"/>
        <v>0</v>
      </c>
      <c r="E72" s="178">
        <v>0</v>
      </c>
      <c r="F72" s="80">
        <f t="shared" si="23"/>
        <v>0</v>
      </c>
      <c r="G72" s="178">
        <v>0</v>
      </c>
      <c r="H72" s="80">
        <f t="shared" si="24"/>
        <v>0</v>
      </c>
      <c r="I72" s="178">
        <v>0</v>
      </c>
      <c r="J72" s="80">
        <f t="shared" si="25"/>
        <v>0</v>
      </c>
      <c r="K72" s="178">
        <v>0</v>
      </c>
      <c r="L72" s="80">
        <f t="shared" si="26"/>
        <v>0</v>
      </c>
      <c r="M72" s="178">
        <v>0</v>
      </c>
      <c r="N72" s="80">
        <f t="shared" si="27"/>
        <v>0</v>
      </c>
      <c r="O72" s="178">
        <v>0</v>
      </c>
      <c r="P72" s="80">
        <f t="shared" si="28"/>
        <v>0</v>
      </c>
      <c r="Q72" s="178">
        <v>0</v>
      </c>
      <c r="R72" s="80">
        <f t="shared" si="29"/>
        <v>0</v>
      </c>
      <c r="S72" s="178">
        <v>0</v>
      </c>
      <c r="T72" s="80">
        <f t="shared" si="30"/>
        <v>0</v>
      </c>
      <c r="U72" s="178">
        <v>0</v>
      </c>
      <c r="V72" s="80">
        <f t="shared" si="31"/>
        <v>0</v>
      </c>
      <c r="X72" s="192"/>
    </row>
    <row r="73" spans="1:24" ht="12.75" customHeight="1">
      <c r="A73" s="2" t="s">
        <v>417</v>
      </c>
      <c r="B73" s="35"/>
      <c r="C73" s="178">
        <v>0</v>
      </c>
      <c r="D73" s="80">
        <f t="shared" si="22"/>
        <v>0</v>
      </c>
      <c r="E73" s="178">
        <v>0</v>
      </c>
      <c r="F73" s="80">
        <f t="shared" si="23"/>
        <v>0</v>
      </c>
      <c r="G73" s="178">
        <v>0</v>
      </c>
      <c r="H73" s="80">
        <f t="shared" si="24"/>
        <v>0</v>
      </c>
      <c r="I73" s="178">
        <v>0</v>
      </c>
      <c r="J73" s="80">
        <f t="shared" si="25"/>
        <v>0</v>
      </c>
      <c r="K73" s="178">
        <v>0</v>
      </c>
      <c r="L73" s="80">
        <f t="shared" si="26"/>
        <v>0</v>
      </c>
      <c r="M73" s="178">
        <v>0</v>
      </c>
      <c r="N73" s="80">
        <f t="shared" si="27"/>
        <v>0</v>
      </c>
      <c r="O73" s="178">
        <v>0</v>
      </c>
      <c r="P73" s="80">
        <f t="shared" si="28"/>
        <v>0</v>
      </c>
      <c r="Q73" s="178">
        <v>0</v>
      </c>
      <c r="R73" s="80">
        <f t="shared" si="29"/>
        <v>0</v>
      </c>
      <c r="S73" s="178">
        <v>0</v>
      </c>
      <c r="T73" s="80">
        <f t="shared" si="30"/>
        <v>0</v>
      </c>
      <c r="U73" s="178">
        <v>0</v>
      </c>
      <c r="V73" s="80">
        <f t="shared" si="31"/>
        <v>0</v>
      </c>
      <c r="X73" s="192"/>
    </row>
    <row r="74" spans="1:24" ht="12.75" customHeight="1">
      <c r="A74" s="2" t="s">
        <v>418</v>
      </c>
      <c r="B74" s="35"/>
      <c r="C74" s="178">
        <v>0</v>
      </c>
      <c r="D74" s="80">
        <f t="shared" si="22"/>
        <v>0</v>
      </c>
      <c r="E74" s="178">
        <v>0</v>
      </c>
      <c r="F74" s="80">
        <f t="shared" si="23"/>
        <v>0</v>
      </c>
      <c r="G74" s="178">
        <v>0</v>
      </c>
      <c r="H74" s="80">
        <f t="shared" si="24"/>
        <v>0</v>
      </c>
      <c r="I74" s="178">
        <v>0</v>
      </c>
      <c r="J74" s="80">
        <f t="shared" si="25"/>
        <v>0</v>
      </c>
      <c r="K74" s="178">
        <v>0</v>
      </c>
      <c r="L74" s="80">
        <f t="shared" si="26"/>
        <v>0</v>
      </c>
      <c r="M74" s="178">
        <v>0</v>
      </c>
      <c r="N74" s="80">
        <f t="shared" si="27"/>
        <v>0</v>
      </c>
      <c r="O74" s="178">
        <v>0</v>
      </c>
      <c r="P74" s="80">
        <f t="shared" si="28"/>
        <v>0</v>
      </c>
      <c r="Q74" s="178">
        <v>0</v>
      </c>
      <c r="R74" s="80">
        <f t="shared" si="29"/>
        <v>0</v>
      </c>
      <c r="S74" s="178">
        <v>0</v>
      </c>
      <c r="T74" s="80">
        <f t="shared" si="30"/>
        <v>0</v>
      </c>
      <c r="U74" s="178">
        <v>0</v>
      </c>
      <c r="V74" s="80">
        <f t="shared" si="31"/>
        <v>0</v>
      </c>
      <c r="X74" s="192"/>
    </row>
    <row r="75" spans="1:24" ht="12.75" customHeight="1">
      <c r="A75" s="2" t="s">
        <v>419</v>
      </c>
      <c r="B75" s="35"/>
      <c r="C75" s="178">
        <v>5350.5</v>
      </c>
      <c r="D75" s="80">
        <f t="shared" si="22"/>
        <v>4.4999999999999997E-3</v>
      </c>
      <c r="E75" s="178">
        <v>6012</v>
      </c>
      <c r="F75" s="80">
        <f t="shared" si="23"/>
        <v>4.4999999999999997E-3</v>
      </c>
      <c r="G75" s="178">
        <v>0</v>
      </c>
      <c r="H75" s="80">
        <f t="shared" si="24"/>
        <v>0</v>
      </c>
      <c r="I75" s="178">
        <v>0</v>
      </c>
      <c r="J75" s="80">
        <f t="shared" si="25"/>
        <v>0</v>
      </c>
      <c r="K75" s="178">
        <v>0</v>
      </c>
      <c r="L75" s="80">
        <f t="shared" si="26"/>
        <v>0</v>
      </c>
      <c r="M75" s="178">
        <v>0</v>
      </c>
      <c r="N75" s="80">
        <f t="shared" si="27"/>
        <v>0</v>
      </c>
      <c r="O75" s="178">
        <v>0</v>
      </c>
      <c r="P75" s="80">
        <f t="shared" si="28"/>
        <v>0</v>
      </c>
      <c r="Q75" s="178">
        <v>0</v>
      </c>
      <c r="R75" s="80">
        <f t="shared" si="29"/>
        <v>0</v>
      </c>
      <c r="S75" s="178">
        <v>0</v>
      </c>
      <c r="T75" s="80">
        <f t="shared" si="30"/>
        <v>0</v>
      </c>
      <c r="U75" s="178">
        <v>0</v>
      </c>
      <c r="V75" s="80">
        <f t="shared" si="31"/>
        <v>0</v>
      </c>
      <c r="X75" s="192"/>
    </row>
    <row r="76" spans="1:24" ht="12.75" customHeight="1">
      <c r="A76" s="2" t="s">
        <v>420</v>
      </c>
      <c r="B76" s="35"/>
      <c r="C76" s="178">
        <v>475.6</v>
      </c>
      <c r="D76" s="80">
        <f t="shared" si="22"/>
        <v>4.0000000000000002E-4</v>
      </c>
      <c r="E76" s="178">
        <v>534.40000000000009</v>
      </c>
      <c r="F76" s="80">
        <f t="shared" si="23"/>
        <v>4.0000000000000007E-4</v>
      </c>
      <c r="G76" s="178">
        <v>0</v>
      </c>
      <c r="H76" s="80">
        <f t="shared" si="24"/>
        <v>0</v>
      </c>
      <c r="I76" s="178">
        <v>0</v>
      </c>
      <c r="J76" s="80">
        <f t="shared" si="25"/>
        <v>0</v>
      </c>
      <c r="K76" s="178">
        <v>0</v>
      </c>
      <c r="L76" s="80">
        <f t="shared" si="26"/>
        <v>0</v>
      </c>
      <c r="M76" s="178">
        <v>0</v>
      </c>
      <c r="N76" s="80">
        <f t="shared" si="27"/>
        <v>0</v>
      </c>
      <c r="O76" s="178">
        <v>0</v>
      </c>
      <c r="P76" s="80">
        <f t="shared" si="28"/>
        <v>0</v>
      </c>
      <c r="Q76" s="178">
        <v>0</v>
      </c>
      <c r="R76" s="80">
        <f t="shared" si="29"/>
        <v>0</v>
      </c>
      <c r="S76" s="178">
        <v>0</v>
      </c>
      <c r="T76" s="80">
        <f t="shared" si="30"/>
        <v>0</v>
      </c>
      <c r="U76" s="178">
        <v>0</v>
      </c>
      <c r="V76" s="80">
        <f t="shared" si="31"/>
        <v>0</v>
      </c>
      <c r="X76" s="192"/>
    </row>
    <row r="77" spans="1:24" ht="12.75" customHeight="1">
      <c r="A77" s="2" t="s">
        <v>421</v>
      </c>
      <c r="B77" s="35"/>
      <c r="C77" s="178">
        <v>1545.7</v>
      </c>
      <c r="D77" s="80">
        <f t="shared" si="22"/>
        <v>1.2999999999999999E-3</v>
      </c>
      <c r="E77" s="178">
        <v>1736.8</v>
      </c>
      <c r="F77" s="80">
        <f t="shared" si="23"/>
        <v>1.2999999999999999E-3</v>
      </c>
      <c r="G77" s="178">
        <v>0</v>
      </c>
      <c r="H77" s="80">
        <f t="shared" si="24"/>
        <v>0</v>
      </c>
      <c r="I77" s="178">
        <v>0</v>
      </c>
      <c r="J77" s="80">
        <f t="shared" si="25"/>
        <v>0</v>
      </c>
      <c r="K77" s="178">
        <v>0</v>
      </c>
      <c r="L77" s="80">
        <f t="shared" si="26"/>
        <v>0</v>
      </c>
      <c r="M77" s="178">
        <v>0</v>
      </c>
      <c r="N77" s="80">
        <f t="shared" si="27"/>
        <v>0</v>
      </c>
      <c r="O77" s="178">
        <v>0</v>
      </c>
      <c r="P77" s="80">
        <f t="shared" si="28"/>
        <v>0</v>
      </c>
      <c r="Q77" s="178">
        <v>0</v>
      </c>
      <c r="R77" s="80">
        <f t="shared" si="29"/>
        <v>0</v>
      </c>
      <c r="S77" s="178">
        <v>0</v>
      </c>
      <c r="T77" s="80">
        <f t="shared" si="30"/>
        <v>0</v>
      </c>
      <c r="U77" s="178">
        <v>0</v>
      </c>
      <c r="V77" s="80">
        <f t="shared" si="31"/>
        <v>0</v>
      </c>
      <c r="X77" s="192"/>
    </row>
    <row r="78" spans="1:24" ht="12.75" customHeight="1">
      <c r="A78" s="2" t="s">
        <v>422</v>
      </c>
      <c r="B78" s="35"/>
      <c r="C78" s="178">
        <v>26157.999999999996</v>
      </c>
      <c r="D78" s="80">
        <f t="shared" si="22"/>
        <v>2.1999999999999995E-2</v>
      </c>
      <c r="E78" s="178">
        <v>29391.999999999996</v>
      </c>
      <c r="F78" s="80">
        <f t="shared" si="23"/>
        <v>2.1999999999999999E-2</v>
      </c>
      <c r="G78" s="178">
        <v>0</v>
      </c>
      <c r="H78" s="80">
        <f t="shared" si="24"/>
        <v>0</v>
      </c>
      <c r="I78" s="178">
        <v>0</v>
      </c>
      <c r="J78" s="80">
        <f t="shared" si="25"/>
        <v>0</v>
      </c>
      <c r="K78" s="178">
        <v>0</v>
      </c>
      <c r="L78" s="80">
        <f t="shared" si="26"/>
        <v>0</v>
      </c>
      <c r="M78" s="178">
        <v>0</v>
      </c>
      <c r="N78" s="80">
        <f t="shared" si="27"/>
        <v>0</v>
      </c>
      <c r="O78" s="178">
        <v>0</v>
      </c>
      <c r="P78" s="80">
        <f t="shared" si="28"/>
        <v>0</v>
      </c>
      <c r="Q78" s="178">
        <v>0</v>
      </c>
      <c r="R78" s="80">
        <f t="shared" si="29"/>
        <v>0</v>
      </c>
      <c r="S78" s="178">
        <v>0</v>
      </c>
      <c r="T78" s="80">
        <f t="shared" si="30"/>
        <v>0</v>
      </c>
      <c r="U78" s="178">
        <v>0</v>
      </c>
      <c r="V78" s="80">
        <f t="shared" si="31"/>
        <v>0</v>
      </c>
      <c r="X78" s="192"/>
    </row>
    <row r="79" spans="1:24" ht="12.75" customHeight="1">
      <c r="A79" s="2" t="s">
        <v>423</v>
      </c>
      <c r="B79" s="35"/>
      <c r="C79" s="178">
        <v>0</v>
      </c>
      <c r="D79" s="80">
        <f t="shared" si="22"/>
        <v>0</v>
      </c>
      <c r="E79" s="178">
        <v>0</v>
      </c>
      <c r="F79" s="80">
        <f t="shared" si="23"/>
        <v>0</v>
      </c>
      <c r="G79" s="178">
        <v>0</v>
      </c>
      <c r="H79" s="80">
        <f t="shared" si="24"/>
        <v>0</v>
      </c>
      <c r="I79" s="178">
        <v>0</v>
      </c>
      <c r="J79" s="80">
        <f t="shared" si="25"/>
        <v>0</v>
      </c>
      <c r="K79" s="178">
        <v>0</v>
      </c>
      <c r="L79" s="80">
        <f t="shared" si="26"/>
        <v>0</v>
      </c>
      <c r="M79" s="178">
        <v>0</v>
      </c>
      <c r="N79" s="80">
        <f t="shared" si="27"/>
        <v>0</v>
      </c>
      <c r="O79" s="178">
        <v>0</v>
      </c>
      <c r="P79" s="80">
        <f t="shared" si="28"/>
        <v>0</v>
      </c>
      <c r="Q79" s="178">
        <v>0</v>
      </c>
      <c r="R79" s="80">
        <f t="shared" si="29"/>
        <v>0</v>
      </c>
      <c r="S79" s="178">
        <v>0</v>
      </c>
      <c r="T79" s="80">
        <f t="shared" si="30"/>
        <v>0</v>
      </c>
      <c r="U79" s="178">
        <v>0</v>
      </c>
      <c r="V79" s="80">
        <f t="shared" si="31"/>
        <v>0</v>
      </c>
      <c r="X79" s="192"/>
    </row>
    <row r="80" spans="1:24" ht="12.75" customHeight="1">
      <c r="A80" s="2" t="s">
        <v>424</v>
      </c>
      <c r="B80" s="35"/>
      <c r="C80" s="178">
        <v>0</v>
      </c>
      <c r="D80" s="80">
        <f t="shared" si="22"/>
        <v>0</v>
      </c>
      <c r="E80" s="178">
        <v>0</v>
      </c>
      <c r="F80" s="80">
        <f t="shared" si="23"/>
        <v>0</v>
      </c>
      <c r="G80" s="178">
        <v>0</v>
      </c>
      <c r="H80" s="80">
        <f t="shared" si="24"/>
        <v>0</v>
      </c>
      <c r="I80" s="178">
        <v>0</v>
      </c>
      <c r="J80" s="80">
        <f t="shared" si="25"/>
        <v>0</v>
      </c>
      <c r="K80" s="178">
        <v>0</v>
      </c>
      <c r="L80" s="80">
        <f t="shared" si="26"/>
        <v>0</v>
      </c>
      <c r="M80" s="178">
        <v>0</v>
      </c>
      <c r="N80" s="80">
        <f t="shared" si="27"/>
        <v>0</v>
      </c>
      <c r="O80" s="178">
        <v>0</v>
      </c>
      <c r="P80" s="80">
        <f t="shared" si="28"/>
        <v>0</v>
      </c>
      <c r="Q80" s="178">
        <v>0</v>
      </c>
      <c r="R80" s="80">
        <f t="shared" si="29"/>
        <v>0</v>
      </c>
      <c r="S80" s="178">
        <v>0</v>
      </c>
      <c r="T80" s="80">
        <f t="shared" si="30"/>
        <v>0</v>
      </c>
      <c r="U80" s="178">
        <v>0</v>
      </c>
      <c r="V80" s="80">
        <f t="shared" si="31"/>
        <v>0</v>
      </c>
      <c r="X80" s="192"/>
    </row>
    <row r="81" spans="1:24" ht="12.75" customHeight="1">
      <c r="A81" s="2" t="s">
        <v>425</v>
      </c>
      <c r="B81" s="35"/>
      <c r="C81" s="178">
        <v>0</v>
      </c>
      <c r="D81" s="80">
        <f t="shared" si="22"/>
        <v>0</v>
      </c>
      <c r="E81" s="178">
        <v>0</v>
      </c>
      <c r="F81" s="80">
        <f t="shared" si="23"/>
        <v>0</v>
      </c>
      <c r="G81" s="178">
        <v>0</v>
      </c>
      <c r="H81" s="80">
        <f t="shared" si="24"/>
        <v>0</v>
      </c>
      <c r="I81" s="178">
        <v>0</v>
      </c>
      <c r="J81" s="80">
        <f t="shared" si="25"/>
        <v>0</v>
      </c>
      <c r="K81" s="178">
        <v>0</v>
      </c>
      <c r="L81" s="80">
        <f t="shared" si="26"/>
        <v>0</v>
      </c>
      <c r="M81" s="178">
        <v>0</v>
      </c>
      <c r="N81" s="80">
        <f t="shared" si="27"/>
        <v>0</v>
      </c>
      <c r="O81" s="178">
        <v>0</v>
      </c>
      <c r="P81" s="80">
        <f t="shared" si="28"/>
        <v>0</v>
      </c>
      <c r="Q81" s="178">
        <v>0</v>
      </c>
      <c r="R81" s="80">
        <f t="shared" si="29"/>
        <v>0</v>
      </c>
      <c r="S81" s="178">
        <v>0</v>
      </c>
      <c r="T81" s="80">
        <f t="shared" si="30"/>
        <v>0</v>
      </c>
      <c r="U81" s="178">
        <v>0</v>
      </c>
      <c r="V81" s="80">
        <f t="shared" si="31"/>
        <v>0</v>
      </c>
      <c r="X81" s="192"/>
    </row>
    <row r="82" spans="1:24" ht="12.75" customHeight="1">
      <c r="A82" s="2" t="s">
        <v>426</v>
      </c>
      <c r="B82" s="35"/>
      <c r="C82" s="178">
        <v>0</v>
      </c>
      <c r="D82" s="80">
        <f t="shared" si="22"/>
        <v>0</v>
      </c>
      <c r="E82" s="178">
        <v>0</v>
      </c>
      <c r="F82" s="80">
        <f t="shared" si="23"/>
        <v>0</v>
      </c>
      <c r="G82" s="178">
        <v>0</v>
      </c>
      <c r="H82" s="80">
        <f t="shared" si="24"/>
        <v>0</v>
      </c>
      <c r="I82" s="178">
        <v>0</v>
      </c>
      <c r="J82" s="80">
        <f t="shared" si="25"/>
        <v>0</v>
      </c>
      <c r="K82" s="178">
        <v>0</v>
      </c>
      <c r="L82" s="80">
        <f t="shared" si="26"/>
        <v>0</v>
      </c>
      <c r="M82" s="178">
        <v>0</v>
      </c>
      <c r="N82" s="80">
        <f t="shared" si="27"/>
        <v>0</v>
      </c>
      <c r="O82" s="178">
        <v>0</v>
      </c>
      <c r="P82" s="80">
        <f t="shared" si="28"/>
        <v>0</v>
      </c>
      <c r="Q82" s="178">
        <v>0</v>
      </c>
      <c r="R82" s="80">
        <f t="shared" si="29"/>
        <v>0</v>
      </c>
      <c r="S82" s="178">
        <v>0</v>
      </c>
      <c r="T82" s="80">
        <f t="shared" si="30"/>
        <v>0</v>
      </c>
      <c r="U82" s="178">
        <v>0</v>
      </c>
      <c r="V82" s="80">
        <f t="shared" si="31"/>
        <v>0</v>
      </c>
      <c r="X82" s="192"/>
    </row>
    <row r="83" spans="1:24" ht="12.75" customHeight="1">
      <c r="A83" s="2" t="s">
        <v>427</v>
      </c>
      <c r="B83" s="35"/>
      <c r="C83" s="178">
        <v>0</v>
      </c>
      <c r="D83" s="80">
        <f t="shared" si="22"/>
        <v>0</v>
      </c>
      <c r="E83" s="178">
        <v>0</v>
      </c>
      <c r="F83" s="80">
        <f t="shared" si="23"/>
        <v>0</v>
      </c>
      <c r="G83" s="178">
        <v>0</v>
      </c>
      <c r="H83" s="80">
        <f t="shared" si="24"/>
        <v>0</v>
      </c>
      <c r="I83" s="178">
        <v>0</v>
      </c>
      <c r="J83" s="80">
        <f t="shared" si="25"/>
        <v>0</v>
      </c>
      <c r="K83" s="178">
        <v>0</v>
      </c>
      <c r="L83" s="80">
        <f t="shared" si="26"/>
        <v>0</v>
      </c>
      <c r="M83" s="178">
        <v>0</v>
      </c>
      <c r="N83" s="80">
        <f t="shared" si="27"/>
        <v>0</v>
      </c>
      <c r="O83" s="178">
        <v>0</v>
      </c>
      <c r="P83" s="80">
        <f t="shared" si="28"/>
        <v>0</v>
      </c>
      <c r="Q83" s="178">
        <v>0</v>
      </c>
      <c r="R83" s="80">
        <f t="shared" si="29"/>
        <v>0</v>
      </c>
      <c r="S83" s="178">
        <v>0</v>
      </c>
      <c r="T83" s="80">
        <f t="shared" si="30"/>
        <v>0</v>
      </c>
      <c r="U83" s="178">
        <v>0</v>
      </c>
      <c r="V83" s="80">
        <f t="shared" si="31"/>
        <v>0</v>
      </c>
      <c r="X83" s="192"/>
    </row>
    <row r="84" spans="1:24" ht="12.75" customHeight="1">
      <c r="A84" s="2" t="s">
        <v>428</v>
      </c>
      <c r="B84" s="35"/>
      <c r="C84" s="178">
        <v>0</v>
      </c>
      <c r="D84" s="80">
        <f t="shared" ref="D84:D105" si="32">IFERROR(C84/C$28,0)</f>
        <v>0</v>
      </c>
      <c r="E84" s="178">
        <v>0</v>
      </c>
      <c r="F84" s="80">
        <f t="shared" si="23"/>
        <v>0</v>
      </c>
      <c r="G84" s="178">
        <v>0</v>
      </c>
      <c r="H84" s="80">
        <f t="shared" si="24"/>
        <v>0</v>
      </c>
      <c r="I84" s="178">
        <v>0</v>
      </c>
      <c r="J84" s="80">
        <f t="shared" si="25"/>
        <v>0</v>
      </c>
      <c r="K84" s="178">
        <v>0</v>
      </c>
      <c r="L84" s="80">
        <f t="shared" si="26"/>
        <v>0</v>
      </c>
      <c r="M84" s="178">
        <v>0</v>
      </c>
      <c r="N84" s="80">
        <f t="shared" si="27"/>
        <v>0</v>
      </c>
      <c r="O84" s="178">
        <v>0</v>
      </c>
      <c r="P84" s="80">
        <f t="shared" si="28"/>
        <v>0</v>
      </c>
      <c r="Q84" s="178">
        <v>0</v>
      </c>
      <c r="R84" s="80">
        <f t="shared" si="29"/>
        <v>0</v>
      </c>
      <c r="S84" s="178">
        <v>0</v>
      </c>
      <c r="T84" s="80">
        <f t="shared" si="30"/>
        <v>0</v>
      </c>
      <c r="U84" s="178">
        <v>0</v>
      </c>
      <c r="V84" s="80">
        <f t="shared" si="31"/>
        <v>0</v>
      </c>
      <c r="X84" s="192"/>
    </row>
    <row r="85" spans="1:24" ht="12.75" customHeight="1">
      <c r="A85" s="2" t="s">
        <v>429</v>
      </c>
      <c r="B85" s="35"/>
      <c r="C85" s="178">
        <v>0</v>
      </c>
      <c r="D85" s="80">
        <f t="shared" si="32"/>
        <v>0</v>
      </c>
      <c r="E85" s="178">
        <v>0</v>
      </c>
      <c r="F85" s="80">
        <f t="shared" si="23"/>
        <v>0</v>
      </c>
      <c r="G85" s="178">
        <v>0</v>
      </c>
      <c r="H85" s="80">
        <f t="shared" si="24"/>
        <v>0</v>
      </c>
      <c r="I85" s="178">
        <v>0</v>
      </c>
      <c r="J85" s="80">
        <f t="shared" si="25"/>
        <v>0</v>
      </c>
      <c r="K85" s="178">
        <v>0</v>
      </c>
      <c r="L85" s="80">
        <f t="shared" si="26"/>
        <v>0</v>
      </c>
      <c r="M85" s="178">
        <v>0</v>
      </c>
      <c r="N85" s="80">
        <f t="shared" si="27"/>
        <v>0</v>
      </c>
      <c r="O85" s="178">
        <v>0</v>
      </c>
      <c r="P85" s="80">
        <f t="shared" si="28"/>
        <v>0</v>
      </c>
      <c r="Q85" s="178">
        <v>0</v>
      </c>
      <c r="R85" s="80">
        <f t="shared" si="29"/>
        <v>0</v>
      </c>
      <c r="S85" s="178">
        <v>0</v>
      </c>
      <c r="T85" s="80">
        <f t="shared" si="30"/>
        <v>0</v>
      </c>
      <c r="U85" s="178">
        <v>0</v>
      </c>
      <c r="V85" s="80">
        <f t="shared" si="31"/>
        <v>0</v>
      </c>
      <c r="X85" s="192"/>
    </row>
    <row r="86" spans="1:24" ht="12.75" customHeight="1">
      <c r="A86" s="2" t="s">
        <v>430</v>
      </c>
      <c r="B86" s="35"/>
      <c r="C86" s="178">
        <v>4756</v>
      </c>
      <c r="D86" s="80">
        <f t="shared" si="32"/>
        <v>4.0000000000000001E-3</v>
      </c>
      <c r="E86" s="178">
        <v>5344</v>
      </c>
      <c r="F86" s="80">
        <f t="shared" si="23"/>
        <v>4.0000000000000001E-3</v>
      </c>
      <c r="G86" s="178">
        <v>0</v>
      </c>
      <c r="H86" s="80">
        <f t="shared" si="24"/>
        <v>0</v>
      </c>
      <c r="I86" s="178">
        <v>0</v>
      </c>
      <c r="J86" s="80">
        <f t="shared" si="25"/>
        <v>0</v>
      </c>
      <c r="K86" s="178">
        <v>0</v>
      </c>
      <c r="L86" s="80">
        <f t="shared" si="26"/>
        <v>0</v>
      </c>
      <c r="M86" s="178">
        <v>0</v>
      </c>
      <c r="N86" s="80">
        <f t="shared" si="27"/>
        <v>0</v>
      </c>
      <c r="O86" s="178">
        <v>0</v>
      </c>
      <c r="P86" s="80">
        <f t="shared" si="28"/>
        <v>0</v>
      </c>
      <c r="Q86" s="178">
        <v>0</v>
      </c>
      <c r="R86" s="80">
        <f t="shared" si="29"/>
        <v>0</v>
      </c>
      <c r="S86" s="178">
        <v>0</v>
      </c>
      <c r="T86" s="80">
        <f t="shared" si="30"/>
        <v>0</v>
      </c>
      <c r="U86" s="178">
        <v>0</v>
      </c>
      <c r="V86" s="80">
        <f t="shared" si="31"/>
        <v>0</v>
      </c>
      <c r="X86" s="192"/>
    </row>
    <row r="87" spans="1:24" ht="12.75" customHeight="1">
      <c r="A87" s="2" t="s">
        <v>431</v>
      </c>
      <c r="B87" s="35"/>
      <c r="C87" s="178">
        <v>0</v>
      </c>
      <c r="D87" s="80">
        <f t="shared" si="32"/>
        <v>0</v>
      </c>
      <c r="E87" s="178">
        <v>0</v>
      </c>
      <c r="F87" s="80">
        <f t="shared" si="23"/>
        <v>0</v>
      </c>
      <c r="G87" s="178">
        <v>0</v>
      </c>
      <c r="H87" s="80">
        <f t="shared" si="24"/>
        <v>0</v>
      </c>
      <c r="I87" s="178">
        <v>0</v>
      </c>
      <c r="J87" s="80">
        <f t="shared" si="25"/>
        <v>0</v>
      </c>
      <c r="K87" s="178">
        <v>0</v>
      </c>
      <c r="L87" s="80">
        <f t="shared" si="26"/>
        <v>0</v>
      </c>
      <c r="M87" s="178">
        <v>0</v>
      </c>
      <c r="N87" s="80">
        <f t="shared" si="27"/>
        <v>0</v>
      </c>
      <c r="O87" s="178">
        <v>0</v>
      </c>
      <c r="P87" s="80">
        <f t="shared" si="28"/>
        <v>0</v>
      </c>
      <c r="Q87" s="178">
        <v>0</v>
      </c>
      <c r="R87" s="80">
        <f t="shared" si="29"/>
        <v>0</v>
      </c>
      <c r="S87" s="178">
        <v>0</v>
      </c>
      <c r="T87" s="80">
        <f t="shared" si="30"/>
        <v>0</v>
      </c>
      <c r="U87" s="178">
        <v>0</v>
      </c>
      <c r="V87" s="80">
        <f t="shared" si="31"/>
        <v>0</v>
      </c>
      <c r="X87" s="192"/>
    </row>
    <row r="88" spans="1:24" ht="12.75" customHeight="1">
      <c r="A88" s="2" t="s">
        <v>432</v>
      </c>
      <c r="B88" s="35"/>
      <c r="C88" s="178">
        <v>6063.9000000000005</v>
      </c>
      <c r="D88" s="80">
        <f t="shared" si="32"/>
        <v>5.1000000000000004E-3</v>
      </c>
      <c r="E88" s="178">
        <v>6813.6</v>
      </c>
      <c r="F88" s="80">
        <f t="shared" si="23"/>
        <v>5.1000000000000004E-3</v>
      </c>
      <c r="G88" s="178">
        <v>0</v>
      </c>
      <c r="H88" s="80">
        <f t="shared" si="24"/>
        <v>0</v>
      </c>
      <c r="I88" s="178">
        <v>0</v>
      </c>
      <c r="J88" s="80">
        <f t="shared" si="25"/>
        <v>0</v>
      </c>
      <c r="K88" s="178">
        <v>0</v>
      </c>
      <c r="L88" s="80">
        <f t="shared" si="26"/>
        <v>0</v>
      </c>
      <c r="M88" s="178">
        <v>0</v>
      </c>
      <c r="N88" s="80">
        <f t="shared" si="27"/>
        <v>0</v>
      </c>
      <c r="O88" s="178">
        <v>0</v>
      </c>
      <c r="P88" s="80">
        <f t="shared" si="28"/>
        <v>0</v>
      </c>
      <c r="Q88" s="178">
        <v>0</v>
      </c>
      <c r="R88" s="80">
        <f t="shared" si="29"/>
        <v>0</v>
      </c>
      <c r="S88" s="178">
        <v>0</v>
      </c>
      <c r="T88" s="80">
        <f t="shared" si="30"/>
        <v>0</v>
      </c>
      <c r="U88" s="178">
        <v>0</v>
      </c>
      <c r="V88" s="80">
        <f t="shared" si="31"/>
        <v>0</v>
      </c>
      <c r="X88" s="192"/>
    </row>
    <row r="89" spans="1:24" ht="12.75" customHeight="1">
      <c r="A89" s="2" t="s">
        <v>433</v>
      </c>
      <c r="B89" s="35"/>
      <c r="C89" s="178">
        <v>0</v>
      </c>
      <c r="D89" s="80">
        <f t="shared" si="32"/>
        <v>0</v>
      </c>
      <c r="E89" s="178">
        <v>0</v>
      </c>
      <c r="F89" s="80">
        <f t="shared" si="23"/>
        <v>0</v>
      </c>
      <c r="G89" s="178">
        <v>0</v>
      </c>
      <c r="H89" s="80">
        <f t="shared" si="24"/>
        <v>0</v>
      </c>
      <c r="I89" s="178">
        <v>0</v>
      </c>
      <c r="J89" s="80">
        <f t="shared" si="25"/>
        <v>0</v>
      </c>
      <c r="K89" s="178">
        <v>0</v>
      </c>
      <c r="L89" s="80">
        <f t="shared" si="26"/>
        <v>0</v>
      </c>
      <c r="M89" s="178">
        <v>0</v>
      </c>
      <c r="N89" s="80">
        <f t="shared" si="27"/>
        <v>0</v>
      </c>
      <c r="O89" s="178">
        <v>0</v>
      </c>
      <c r="P89" s="80">
        <f t="shared" si="28"/>
        <v>0</v>
      </c>
      <c r="Q89" s="178">
        <v>0</v>
      </c>
      <c r="R89" s="80">
        <f t="shared" si="29"/>
        <v>0</v>
      </c>
      <c r="S89" s="178">
        <v>0</v>
      </c>
      <c r="T89" s="80">
        <f t="shared" si="30"/>
        <v>0</v>
      </c>
      <c r="U89" s="178">
        <v>0</v>
      </c>
      <c r="V89" s="80">
        <f t="shared" si="31"/>
        <v>0</v>
      </c>
      <c r="X89" s="192"/>
    </row>
    <row r="90" spans="1:24" ht="12.75" customHeight="1">
      <c r="A90" s="2" t="s">
        <v>434</v>
      </c>
      <c r="B90" s="35"/>
      <c r="C90" s="178">
        <v>237.8</v>
      </c>
      <c r="D90" s="80">
        <f t="shared" si="32"/>
        <v>2.0000000000000001E-4</v>
      </c>
      <c r="E90" s="178">
        <v>267.20000000000005</v>
      </c>
      <c r="F90" s="80">
        <f t="shared" si="23"/>
        <v>2.0000000000000004E-4</v>
      </c>
      <c r="G90" s="178">
        <v>0</v>
      </c>
      <c r="H90" s="80">
        <f t="shared" si="24"/>
        <v>0</v>
      </c>
      <c r="I90" s="178">
        <v>0</v>
      </c>
      <c r="J90" s="80">
        <f t="shared" si="25"/>
        <v>0</v>
      </c>
      <c r="K90" s="178">
        <v>0</v>
      </c>
      <c r="L90" s="80">
        <f t="shared" si="26"/>
        <v>0</v>
      </c>
      <c r="M90" s="178">
        <v>0</v>
      </c>
      <c r="N90" s="80">
        <f t="shared" si="27"/>
        <v>0</v>
      </c>
      <c r="O90" s="178">
        <v>0</v>
      </c>
      <c r="P90" s="80">
        <f t="shared" si="28"/>
        <v>0</v>
      </c>
      <c r="Q90" s="178">
        <v>0</v>
      </c>
      <c r="R90" s="80">
        <f t="shared" si="29"/>
        <v>0</v>
      </c>
      <c r="S90" s="178">
        <v>0</v>
      </c>
      <c r="T90" s="80">
        <f t="shared" si="30"/>
        <v>0</v>
      </c>
      <c r="U90" s="178">
        <v>0</v>
      </c>
      <c r="V90" s="80">
        <f t="shared" si="31"/>
        <v>0</v>
      </c>
      <c r="X90" s="192"/>
    </row>
    <row r="91" spans="1:24" ht="12.75" customHeight="1">
      <c r="A91" s="2" t="s">
        <v>435</v>
      </c>
      <c r="C91" s="178">
        <v>0</v>
      </c>
      <c r="D91" s="80">
        <f t="shared" si="32"/>
        <v>0</v>
      </c>
      <c r="E91" s="178">
        <v>0</v>
      </c>
      <c r="F91" s="80">
        <f t="shared" si="23"/>
        <v>0</v>
      </c>
      <c r="G91" s="178">
        <v>0</v>
      </c>
      <c r="H91" s="80">
        <f t="shared" si="24"/>
        <v>0</v>
      </c>
      <c r="I91" s="178">
        <v>0</v>
      </c>
      <c r="J91" s="80">
        <f t="shared" si="25"/>
        <v>0</v>
      </c>
      <c r="K91" s="178">
        <v>0</v>
      </c>
      <c r="L91" s="80">
        <f t="shared" si="26"/>
        <v>0</v>
      </c>
      <c r="M91" s="178">
        <v>0</v>
      </c>
      <c r="N91" s="80">
        <f t="shared" si="27"/>
        <v>0</v>
      </c>
      <c r="O91" s="178">
        <v>0</v>
      </c>
      <c r="P91" s="80">
        <f t="shared" si="28"/>
        <v>0</v>
      </c>
      <c r="Q91" s="178">
        <v>0</v>
      </c>
      <c r="R91" s="80">
        <f t="shared" si="29"/>
        <v>0</v>
      </c>
      <c r="S91" s="178">
        <v>0</v>
      </c>
      <c r="T91" s="80">
        <f t="shared" si="30"/>
        <v>0</v>
      </c>
      <c r="U91" s="178">
        <v>0</v>
      </c>
      <c r="V91" s="80">
        <f t="shared" si="31"/>
        <v>0</v>
      </c>
      <c r="X91" s="192"/>
    </row>
    <row r="92" spans="1:24" ht="12.75" customHeight="1">
      <c r="A92" s="2" t="s">
        <v>436</v>
      </c>
      <c r="B92" s="35"/>
      <c r="C92" s="178">
        <v>6182.8</v>
      </c>
      <c r="D92" s="80">
        <f t="shared" si="32"/>
        <v>5.1999999999999998E-3</v>
      </c>
      <c r="E92" s="178">
        <v>6947.2</v>
      </c>
      <c r="F92" s="80">
        <f t="shared" si="23"/>
        <v>5.1999999999999998E-3</v>
      </c>
      <c r="G92" s="178">
        <v>0</v>
      </c>
      <c r="H92" s="80">
        <f t="shared" si="24"/>
        <v>0</v>
      </c>
      <c r="I92" s="178">
        <v>0</v>
      </c>
      <c r="J92" s="80">
        <f t="shared" si="25"/>
        <v>0</v>
      </c>
      <c r="K92" s="178">
        <v>0</v>
      </c>
      <c r="L92" s="80">
        <f t="shared" si="26"/>
        <v>0</v>
      </c>
      <c r="M92" s="178">
        <v>0</v>
      </c>
      <c r="N92" s="80">
        <f t="shared" si="27"/>
        <v>0</v>
      </c>
      <c r="O92" s="178">
        <v>0</v>
      </c>
      <c r="P92" s="80">
        <f t="shared" si="28"/>
        <v>0</v>
      </c>
      <c r="Q92" s="178">
        <v>0</v>
      </c>
      <c r="R92" s="80">
        <f t="shared" si="29"/>
        <v>0</v>
      </c>
      <c r="S92" s="178">
        <v>0</v>
      </c>
      <c r="T92" s="80">
        <f t="shared" si="30"/>
        <v>0</v>
      </c>
      <c r="U92" s="178">
        <v>0</v>
      </c>
      <c r="V92" s="80">
        <f t="shared" si="31"/>
        <v>0</v>
      </c>
      <c r="X92" s="192"/>
    </row>
    <row r="93" spans="1:24" ht="12.75" customHeight="1">
      <c r="A93" s="2" t="s">
        <v>437</v>
      </c>
      <c r="B93" s="35"/>
      <c r="C93" s="178">
        <v>0</v>
      </c>
      <c r="D93" s="80">
        <f t="shared" si="32"/>
        <v>0</v>
      </c>
      <c r="E93" s="178">
        <v>0</v>
      </c>
      <c r="F93" s="80">
        <f t="shared" si="23"/>
        <v>0</v>
      </c>
      <c r="G93" s="178">
        <v>0</v>
      </c>
      <c r="H93" s="80">
        <f t="shared" si="24"/>
        <v>0</v>
      </c>
      <c r="I93" s="178">
        <v>0</v>
      </c>
      <c r="J93" s="80">
        <f t="shared" si="25"/>
        <v>0</v>
      </c>
      <c r="K93" s="178">
        <v>0</v>
      </c>
      <c r="L93" s="80">
        <f t="shared" si="26"/>
        <v>0</v>
      </c>
      <c r="M93" s="178">
        <v>0</v>
      </c>
      <c r="N93" s="80">
        <f t="shared" si="27"/>
        <v>0</v>
      </c>
      <c r="O93" s="178">
        <v>0</v>
      </c>
      <c r="P93" s="80">
        <f t="shared" si="28"/>
        <v>0</v>
      </c>
      <c r="Q93" s="178">
        <v>0</v>
      </c>
      <c r="R93" s="80">
        <f t="shared" si="29"/>
        <v>0</v>
      </c>
      <c r="S93" s="178">
        <v>0</v>
      </c>
      <c r="T93" s="80">
        <f t="shared" si="30"/>
        <v>0</v>
      </c>
      <c r="U93" s="178">
        <v>0</v>
      </c>
      <c r="V93" s="80">
        <f t="shared" si="31"/>
        <v>0</v>
      </c>
      <c r="X93" s="192"/>
    </row>
    <row r="94" spans="1:24" ht="12.75" customHeight="1">
      <c r="A94" s="2" t="s">
        <v>438</v>
      </c>
      <c r="B94" s="35"/>
      <c r="C94" s="178">
        <v>0</v>
      </c>
      <c r="D94" s="80">
        <f t="shared" si="32"/>
        <v>0</v>
      </c>
      <c r="E94" s="178">
        <v>0</v>
      </c>
      <c r="F94" s="80">
        <f t="shared" si="23"/>
        <v>0</v>
      </c>
      <c r="G94" s="178">
        <v>0</v>
      </c>
      <c r="H94" s="80">
        <f t="shared" si="24"/>
        <v>0</v>
      </c>
      <c r="I94" s="178">
        <v>0</v>
      </c>
      <c r="J94" s="80">
        <f t="shared" si="25"/>
        <v>0</v>
      </c>
      <c r="K94" s="178">
        <v>0</v>
      </c>
      <c r="L94" s="80">
        <f t="shared" si="26"/>
        <v>0</v>
      </c>
      <c r="M94" s="178">
        <v>0</v>
      </c>
      <c r="N94" s="80">
        <f t="shared" si="27"/>
        <v>0</v>
      </c>
      <c r="O94" s="178">
        <v>0</v>
      </c>
      <c r="P94" s="80">
        <f t="shared" si="28"/>
        <v>0</v>
      </c>
      <c r="Q94" s="178">
        <v>0</v>
      </c>
      <c r="R94" s="80">
        <f t="shared" si="29"/>
        <v>0</v>
      </c>
      <c r="S94" s="178">
        <v>0</v>
      </c>
      <c r="T94" s="80">
        <f t="shared" si="30"/>
        <v>0</v>
      </c>
      <c r="U94" s="178">
        <v>0</v>
      </c>
      <c r="V94" s="80">
        <f t="shared" si="31"/>
        <v>0</v>
      </c>
      <c r="X94" s="192"/>
    </row>
    <row r="95" spans="1:24" ht="12.75" customHeight="1">
      <c r="A95" s="2" t="s">
        <v>439</v>
      </c>
      <c r="B95" s="35"/>
      <c r="C95" s="178">
        <v>0</v>
      </c>
      <c r="D95" s="80">
        <f t="shared" si="32"/>
        <v>0</v>
      </c>
      <c r="E95" s="178">
        <v>0</v>
      </c>
      <c r="F95" s="80">
        <f t="shared" si="23"/>
        <v>0</v>
      </c>
      <c r="G95" s="178">
        <v>0</v>
      </c>
      <c r="H95" s="80">
        <f t="shared" si="24"/>
        <v>0</v>
      </c>
      <c r="I95" s="178">
        <v>0</v>
      </c>
      <c r="J95" s="80">
        <f t="shared" si="25"/>
        <v>0</v>
      </c>
      <c r="K95" s="178">
        <v>0</v>
      </c>
      <c r="L95" s="80">
        <f t="shared" si="26"/>
        <v>0</v>
      </c>
      <c r="M95" s="178">
        <v>0</v>
      </c>
      <c r="N95" s="80">
        <f t="shared" si="27"/>
        <v>0</v>
      </c>
      <c r="O95" s="178">
        <v>0</v>
      </c>
      <c r="P95" s="80">
        <f t="shared" si="28"/>
        <v>0</v>
      </c>
      <c r="Q95" s="178">
        <v>0</v>
      </c>
      <c r="R95" s="80">
        <f t="shared" si="29"/>
        <v>0</v>
      </c>
      <c r="S95" s="178">
        <v>0</v>
      </c>
      <c r="T95" s="80">
        <f t="shared" si="30"/>
        <v>0</v>
      </c>
      <c r="U95" s="178">
        <v>0</v>
      </c>
      <c r="V95" s="80">
        <f t="shared" si="31"/>
        <v>0</v>
      </c>
      <c r="X95" s="192"/>
    </row>
    <row r="96" spans="1:24" ht="12.75" customHeight="1">
      <c r="A96" s="2" t="s">
        <v>440</v>
      </c>
      <c r="B96" s="35"/>
      <c r="C96" s="178">
        <v>0</v>
      </c>
      <c r="D96" s="80">
        <f t="shared" si="32"/>
        <v>0</v>
      </c>
      <c r="E96" s="178">
        <v>0</v>
      </c>
      <c r="F96" s="80">
        <f t="shared" si="23"/>
        <v>0</v>
      </c>
      <c r="G96" s="178">
        <v>0</v>
      </c>
      <c r="H96" s="80">
        <f t="shared" si="24"/>
        <v>0</v>
      </c>
      <c r="I96" s="178">
        <v>0</v>
      </c>
      <c r="J96" s="80">
        <f t="shared" si="25"/>
        <v>0</v>
      </c>
      <c r="K96" s="178">
        <v>0</v>
      </c>
      <c r="L96" s="80">
        <f t="shared" si="26"/>
        <v>0</v>
      </c>
      <c r="M96" s="178">
        <v>0</v>
      </c>
      <c r="N96" s="80">
        <f t="shared" si="27"/>
        <v>0</v>
      </c>
      <c r="O96" s="178">
        <v>0</v>
      </c>
      <c r="P96" s="80">
        <f t="shared" si="28"/>
        <v>0</v>
      </c>
      <c r="Q96" s="178">
        <v>0</v>
      </c>
      <c r="R96" s="80">
        <f t="shared" si="29"/>
        <v>0</v>
      </c>
      <c r="S96" s="178">
        <v>0</v>
      </c>
      <c r="T96" s="80">
        <f t="shared" si="30"/>
        <v>0</v>
      </c>
      <c r="U96" s="178">
        <v>0</v>
      </c>
      <c r="V96" s="80">
        <f t="shared" si="31"/>
        <v>0</v>
      </c>
      <c r="X96" s="192"/>
    </row>
    <row r="97" spans="1:24" ht="12.75" customHeight="1">
      <c r="A97" s="2" t="s">
        <v>441</v>
      </c>
      <c r="B97" s="35"/>
      <c r="C97" s="178">
        <v>6404.451</v>
      </c>
      <c r="D97" s="80">
        <f t="shared" si="32"/>
        <v>5.3864179983179146E-3</v>
      </c>
      <c r="E97" s="178">
        <v>7121.7495120000012</v>
      </c>
      <c r="F97" s="80">
        <f t="shared" si="23"/>
        <v>5.3306508323353301E-3</v>
      </c>
      <c r="G97" s="178">
        <v>0</v>
      </c>
      <c r="H97" s="80">
        <f t="shared" si="24"/>
        <v>0</v>
      </c>
      <c r="I97" s="178">
        <v>0</v>
      </c>
      <c r="J97" s="80">
        <f t="shared" si="25"/>
        <v>0</v>
      </c>
      <c r="K97" s="178">
        <v>0</v>
      </c>
      <c r="L97" s="80">
        <f t="shared" si="26"/>
        <v>0</v>
      </c>
      <c r="M97" s="178">
        <v>0</v>
      </c>
      <c r="N97" s="80">
        <f t="shared" si="27"/>
        <v>0</v>
      </c>
      <c r="O97" s="178">
        <v>0</v>
      </c>
      <c r="P97" s="80">
        <f t="shared" si="28"/>
        <v>0</v>
      </c>
      <c r="Q97" s="178">
        <v>0</v>
      </c>
      <c r="R97" s="80">
        <f t="shared" si="29"/>
        <v>0</v>
      </c>
      <c r="S97" s="178">
        <v>0</v>
      </c>
      <c r="T97" s="80">
        <f t="shared" si="30"/>
        <v>0</v>
      </c>
      <c r="U97" s="178">
        <v>0</v>
      </c>
      <c r="V97" s="80">
        <f t="shared" si="31"/>
        <v>0</v>
      </c>
      <c r="X97" s="192"/>
    </row>
    <row r="98" spans="1:24" ht="12.75" customHeight="1">
      <c r="A98" s="117" t="s">
        <v>444</v>
      </c>
      <c r="B98" s="35"/>
      <c r="C98" s="178">
        <v>1426.7999999999997</v>
      </c>
      <c r="D98" s="80">
        <f t="shared" si="32"/>
        <v>1.1999999999999997E-3</v>
      </c>
      <c r="E98" s="178">
        <v>1603.1999999999998</v>
      </c>
      <c r="F98" s="80">
        <f t="shared" si="23"/>
        <v>1.1999999999999999E-3</v>
      </c>
      <c r="G98" s="178">
        <v>0</v>
      </c>
      <c r="H98" s="80">
        <f t="shared" si="24"/>
        <v>0</v>
      </c>
      <c r="I98" s="178">
        <v>0</v>
      </c>
      <c r="J98" s="80">
        <f t="shared" si="25"/>
        <v>0</v>
      </c>
      <c r="K98" s="178">
        <v>0</v>
      </c>
      <c r="L98" s="80">
        <f t="shared" si="26"/>
        <v>0</v>
      </c>
      <c r="M98" s="178">
        <v>0</v>
      </c>
      <c r="N98" s="80">
        <f t="shared" si="27"/>
        <v>0</v>
      </c>
      <c r="O98" s="178">
        <v>0</v>
      </c>
      <c r="P98" s="80">
        <f t="shared" si="28"/>
        <v>0</v>
      </c>
      <c r="Q98" s="178">
        <v>0</v>
      </c>
      <c r="R98" s="80">
        <f t="shared" si="29"/>
        <v>0</v>
      </c>
      <c r="S98" s="178">
        <v>0</v>
      </c>
      <c r="T98" s="80">
        <f t="shared" si="30"/>
        <v>0</v>
      </c>
      <c r="U98" s="178">
        <v>0</v>
      </c>
      <c r="V98" s="80">
        <f t="shared" si="31"/>
        <v>0</v>
      </c>
      <c r="X98" s="192"/>
    </row>
    <row r="99" spans="1:24" ht="12.75" customHeight="1">
      <c r="A99" s="117" t="s">
        <v>444</v>
      </c>
      <c r="B99" s="35"/>
      <c r="C99" s="178">
        <v>0</v>
      </c>
      <c r="D99" s="80">
        <f t="shared" si="32"/>
        <v>0</v>
      </c>
      <c r="E99" s="178">
        <v>0</v>
      </c>
      <c r="F99" s="80">
        <f t="shared" si="23"/>
        <v>0</v>
      </c>
      <c r="G99" s="178">
        <v>0</v>
      </c>
      <c r="H99" s="80">
        <f t="shared" si="24"/>
        <v>0</v>
      </c>
      <c r="I99" s="178">
        <v>0</v>
      </c>
      <c r="J99" s="80">
        <f t="shared" si="25"/>
        <v>0</v>
      </c>
      <c r="K99" s="178">
        <v>0</v>
      </c>
      <c r="L99" s="80">
        <f t="shared" si="26"/>
        <v>0</v>
      </c>
      <c r="M99" s="178">
        <v>0</v>
      </c>
      <c r="N99" s="80">
        <f t="shared" si="27"/>
        <v>0</v>
      </c>
      <c r="O99" s="178">
        <v>0</v>
      </c>
      <c r="P99" s="80">
        <f t="shared" si="28"/>
        <v>0</v>
      </c>
      <c r="Q99" s="178">
        <v>0</v>
      </c>
      <c r="R99" s="80">
        <f t="shared" si="29"/>
        <v>0</v>
      </c>
      <c r="S99" s="178">
        <v>0</v>
      </c>
      <c r="T99" s="80">
        <f t="shared" si="30"/>
        <v>0</v>
      </c>
      <c r="U99" s="178">
        <v>0</v>
      </c>
      <c r="V99" s="80">
        <f t="shared" si="31"/>
        <v>0</v>
      </c>
      <c r="X99" s="192"/>
    </row>
    <row r="100" spans="1:24" ht="12.75" customHeight="1">
      <c r="A100" s="117" t="s">
        <v>444</v>
      </c>
      <c r="B100" s="35"/>
      <c r="C100" s="178">
        <v>0</v>
      </c>
      <c r="D100" s="80">
        <f t="shared" si="32"/>
        <v>0</v>
      </c>
      <c r="E100" s="178">
        <v>0</v>
      </c>
      <c r="F100" s="80">
        <f t="shared" si="23"/>
        <v>0</v>
      </c>
      <c r="G100" s="178">
        <v>0</v>
      </c>
      <c r="H100" s="80">
        <f t="shared" si="24"/>
        <v>0</v>
      </c>
      <c r="I100" s="178">
        <v>0</v>
      </c>
      <c r="J100" s="80">
        <f t="shared" si="25"/>
        <v>0</v>
      </c>
      <c r="K100" s="178">
        <v>0</v>
      </c>
      <c r="L100" s="80">
        <f t="shared" si="26"/>
        <v>0</v>
      </c>
      <c r="M100" s="178">
        <v>0</v>
      </c>
      <c r="N100" s="80">
        <f t="shared" si="27"/>
        <v>0</v>
      </c>
      <c r="O100" s="178">
        <v>0</v>
      </c>
      <c r="P100" s="80">
        <f t="shared" si="28"/>
        <v>0</v>
      </c>
      <c r="Q100" s="178">
        <v>0</v>
      </c>
      <c r="R100" s="80">
        <f t="shared" si="29"/>
        <v>0</v>
      </c>
      <c r="S100" s="178">
        <v>0</v>
      </c>
      <c r="T100" s="80">
        <f t="shared" si="30"/>
        <v>0</v>
      </c>
      <c r="U100" s="178">
        <v>0</v>
      </c>
      <c r="V100" s="80">
        <f t="shared" si="31"/>
        <v>0</v>
      </c>
      <c r="X100" s="192"/>
    </row>
    <row r="101" spans="1:24" ht="12.75" customHeight="1">
      <c r="A101" s="2" t="s">
        <v>445</v>
      </c>
      <c r="B101" s="35"/>
      <c r="C101" s="178"/>
      <c r="D101" s="80">
        <f t="shared" si="32"/>
        <v>0</v>
      </c>
      <c r="E101" s="178"/>
      <c r="F101" s="80">
        <f t="shared" si="23"/>
        <v>0</v>
      </c>
      <c r="G101" s="178"/>
      <c r="H101" s="80">
        <f t="shared" si="24"/>
        <v>0</v>
      </c>
      <c r="I101" s="178">
        <v>0</v>
      </c>
      <c r="J101" s="80">
        <f t="shared" si="25"/>
        <v>0</v>
      </c>
      <c r="K101" s="178">
        <v>0</v>
      </c>
      <c r="L101" s="80">
        <f t="shared" si="26"/>
        <v>0</v>
      </c>
      <c r="M101" s="178">
        <v>0</v>
      </c>
      <c r="N101" s="80">
        <f t="shared" si="27"/>
        <v>0</v>
      </c>
      <c r="O101" s="178">
        <v>0</v>
      </c>
      <c r="P101" s="80">
        <f t="shared" si="28"/>
        <v>0</v>
      </c>
      <c r="Q101" s="178">
        <v>0</v>
      </c>
      <c r="R101" s="80">
        <f t="shared" si="29"/>
        <v>0</v>
      </c>
      <c r="S101" s="178">
        <v>0</v>
      </c>
      <c r="T101" s="80">
        <f t="shared" si="30"/>
        <v>0</v>
      </c>
      <c r="U101" s="178">
        <v>0</v>
      </c>
      <c r="V101" s="80">
        <f t="shared" si="31"/>
        <v>0</v>
      </c>
      <c r="X101" s="192"/>
    </row>
    <row r="102" spans="1:24" ht="12.75" customHeight="1">
      <c r="A102" s="117" t="s">
        <v>446</v>
      </c>
      <c r="B102" s="35"/>
      <c r="C102" s="178">
        <v>11890</v>
      </c>
      <c r="D102" s="80">
        <f t="shared" si="32"/>
        <v>0.01</v>
      </c>
      <c r="E102" s="178">
        <v>13360</v>
      </c>
      <c r="F102" s="80">
        <f t="shared" si="23"/>
        <v>0.01</v>
      </c>
      <c r="G102" s="178">
        <v>0</v>
      </c>
      <c r="H102" s="80">
        <f t="shared" si="24"/>
        <v>0</v>
      </c>
      <c r="I102" s="178">
        <v>0</v>
      </c>
      <c r="J102" s="80">
        <f t="shared" si="25"/>
        <v>0</v>
      </c>
      <c r="K102" s="178">
        <v>0</v>
      </c>
      <c r="L102" s="80">
        <f t="shared" si="26"/>
        <v>0</v>
      </c>
      <c r="M102" s="178">
        <v>0</v>
      </c>
      <c r="N102" s="80">
        <f t="shared" si="27"/>
        <v>0</v>
      </c>
      <c r="O102" s="178">
        <v>0</v>
      </c>
      <c r="P102" s="80">
        <f t="shared" si="28"/>
        <v>0</v>
      </c>
      <c r="Q102" s="178">
        <v>0</v>
      </c>
      <c r="R102" s="80">
        <f t="shared" si="29"/>
        <v>0</v>
      </c>
      <c r="S102" s="178">
        <v>0</v>
      </c>
      <c r="T102" s="80">
        <f t="shared" si="30"/>
        <v>0</v>
      </c>
      <c r="U102" s="178">
        <v>0</v>
      </c>
      <c r="V102" s="80">
        <f t="shared" si="31"/>
        <v>0</v>
      </c>
      <c r="X102" s="192"/>
    </row>
    <row r="103" spans="1:24" ht="12.75" customHeight="1">
      <c r="A103" s="117" t="s">
        <v>446</v>
      </c>
      <c r="B103" s="35"/>
      <c r="C103" s="178">
        <v>0</v>
      </c>
      <c r="D103" s="80">
        <f t="shared" si="32"/>
        <v>0</v>
      </c>
      <c r="E103" s="178">
        <v>0</v>
      </c>
      <c r="F103" s="80">
        <f t="shared" si="23"/>
        <v>0</v>
      </c>
      <c r="G103" s="178">
        <v>0</v>
      </c>
      <c r="H103" s="80">
        <f t="shared" si="24"/>
        <v>0</v>
      </c>
      <c r="I103" s="178">
        <v>0</v>
      </c>
      <c r="J103" s="80">
        <f t="shared" si="25"/>
        <v>0</v>
      </c>
      <c r="K103" s="178">
        <v>0</v>
      </c>
      <c r="L103" s="80">
        <f t="shared" si="26"/>
        <v>0</v>
      </c>
      <c r="M103" s="178">
        <v>0</v>
      </c>
      <c r="N103" s="80">
        <f t="shared" si="27"/>
        <v>0</v>
      </c>
      <c r="O103" s="178">
        <v>0</v>
      </c>
      <c r="P103" s="80">
        <f t="shared" si="28"/>
        <v>0</v>
      </c>
      <c r="Q103" s="178">
        <v>0</v>
      </c>
      <c r="R103" s="80">
        <f t="shared" si="29"/>
        <v>0</v>
      </c>
      <c r="S103" s="178">
        <v>0</v>
      </c>
      <c r="T103" s="80">
        <f t="shared" si="30"/>
        <v>0</v>
      </c>
      <c r="U103" s="178">
        <v>0</v>
      </c>
      <c r="V103" s="80">
        <f t="shared" si="31"/>
        <v>0</v>
      </c>
      <c r="X103" s="192"/>
    </row>
    <row r="104" spans="1:24" ht="12.75" customHeight="1">
      <c r="A104" s="117" t="s">
        <v>446</v>
      </c>
      <c r="B104" s="35"/>
      <c r="C104" s="178">
        <v>0</v>
      </c>
      <c r="D104" s="80">
        <f t="shared" si="32"/>
        <v>0</v>
      </c>
      <c r="E104" s="178">
        <v>0</v>
      </c>
      <c r="F104" s="80">
        <f t="shared" si="23"/>
        <v>0</v>
      </c>
      <c r="G104" s="178">
        <v>0</v>
      </c>
      <c r="H104" s="80">
        <f t="shared" si="24"/>
        <v>0</v>
      </c>
      <c r="I104" s="178">
        <v>0</v>
      </c>
      <c r="J104" s="80">
        <f t="shared" si="25"/>
        <v>0</v>
      </c>
      <c r="K104" s="178">
        <v>0</v>
      </c>
      <c r="L104" s="80">
        <f t="shared" si="26"/>
        <v>0</v>
      </c>
      <c r="M104" s="178">
        <v>0</v>
      </c>
      <c r="N104" s="80">
        <f t="shared" si="27"/>
        <v>0</v>
      </c>
      <c r="O104" s="178">
        <v>0</v>
      </c>
      <c r="P104" s="80">
        <f t="shared" si="28"/>
        <v>0</v>
      </c>
      <c r="Q104" s="178">
        <v>0</v>
      </c>
      <c r="R104" s="80">
        <f t="shared" si="29"/>
        <v>0</v>
      </c>
      <c r="S104" s="178">
        <v>0</v>
      </c>
      <c r="T104" s="80">
        <f t="shared" si="30"/>
        <v>0</v>
      </c>
      <c r="U104" s="178">
        <v>0</v>
      </c>
      <c r="V104" s="80">
        <f t="shared" si="31"/>
        <v>0</v>
      </c>
      <c r="X104" s="192"/>
    </row>
    <row r="105" spans="1:24" ht="12.75" customHeight="1">
      <c r="A105" s="1" t="s">
        <v>447</v>
      </c>
      <c r="B105" s="53"/>
      <c r="C105" s="82">
        <f>SUM(C52:C104)</f>
        <v>116001.33433407664</v>
      </c>
      <c r="D105" s="83">
        <f t="shared" si="32"/>
        <v>9.75620978419484E-2</v>
      </c>
      <c r="E105" s="82">
        <f>SUM(E52:E104)</f>
        <v>130508.41832615265</v>
      </c>
      <c r="F105" s="83">
        <f t="shared" si="23"/>
        <v>9.7685941860892703E-2</v>
      </c>
      <c r="G105" s="82">
        <f>SUM(G52:G104)</f>
        <v>0</v>
      </c>
      <c r="H105" s="83">
        <f t="shared" si="24"/>
        <v>0</v>
      </c>
      <c r="I105" s="82">
        <f>SUM(I52:I104)</f>
        <v>0</v>
      </c>
      <c r="J105" s="83">
        <f t="shared" si="25"/>
        <v>0</v>
      </c>
      <c r="K105" s="82">
        <f>SUM(K52:K104)</f>
        <v>0</v>
      </c>
      <c r="L105" s="83">
        <f t="shared" si="26"/>
        <v>0</v>
      </c>
      <c r="M105" s="82">
        <f>SUM(M52:M104)</f>
        <v>0</v>
      </c>
      <c r="N105" s="83">
        <f t="shared" si="27"/>
        <v>0</v>
      </c>
      <c r="O105" s="82">
        <f>SUM(O52:O104)</f>
        <v>0</v>
      </c>
      <c r="P105" s="83">
        <f t="shared" si="28"/>
        <v>0</v>
      </c>
      <c r="Q105" s="82">
        <f>SUM(Q52:Q104)</f>
        <v>0</v>
      </c>
      <c r="R105" s="83">
        <f t="shared" si="29"/>
        <v>0</v>
      </c>
      <c r="S105" s="82">
        <f>SUM(S52:S104)</f>
        <v>0</v>
      </c>
      <c r="T105" s="83">
        <f t="shared" si="30"/>
        <v>0</v>
      </c>
      <c r="U105" s="82">
        <f>SUM(U52:U104)</f>
        <v>0</v>
      </c>
      <c r="V105" s="83">
        <f t="shared" si="31"/>
        <v>0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448</v>
      </c>
      <c r="B107" s="53"/>
      <c r="C107" s="82">
        <f>C28-C33-C46-C105</f>
        <v>608737.29366592341</v>
      </c>
      <c r="D107" s="83">
        <f>IFERROR(C107/C$28,0)</f>
        <v>0.51197417465594908</v>
      </c>
      <c r="E107" s="82">
        <f>E28-E33-E46-E105</f>
        <v>685747.27200984734</v>
      </c>
      <c r="F107" s="83">
        <f>IFERROR(E107/E$28,0)</f>
        <v>0.51328388623491572</v>
      </c>
      <c r="G107" s="82">
        <f>G28-G33-G46-G105</f>
        <v>0</v>
      </c>
      <c r="H107" s="83">
        <f>IFERROR(G107/G$28,0)</f>
        <v>0</v>
      </c>
      <c r="I107" s="82">
        <f>I28-I33-I46-I105</f>
        <v>0</v>
      </c>
      <c r="J107" s="83">
        <f>IFERROR(I107/I$28,0)</f>
        <v>0</v>
      </c>
      <c r="K107" s="82">
        <f>K28-K33-K46-K105</f>
        <v>0</v>
      </c>
      <c r="L107" s="83">
        <f>IFERROR(K107/K$28,0)</f>
        <v>0</v>
      </c>
      <c r="M107" s="82">
        <f>M28-M33-M46-M105</f>
        <v>0</v>
      </c>
      <c r="N107" s="83">
        <f>IFERROR(M107/M$28,0)</f>
        <v>0</v>
      </c>
      <c r="O107" s="82">
        <f>O28-O33-O46-O105</f>
        <v>0</v>
      </c>
      <c r="P107" s="83">
        <f>IFERROR(O107/O$28,0)</f>
        <v>0</v>
      </c>
      <c r="Q107" s="82">
        <f>Q28-Q33-Q46-Q105</f>
        <v>0</v>
      </c>
      <c r="R107" s="83">
        <f>IFERROR(Q107/Q$28,0)</f>
        <v>0</v>
      </c>
      <c r="S107" s="82">
        <f>S28-S33-S46-S105</f>
        <v>0</v>
      </c>
      <c r="T107" s="83">
        <f>IFERROR(S107/S$28,0)</f>
        <v>0</v>
      </c>
      <c r="U107" s="82">
        <f>U28-U33-U46-U105</f>
        <v>0</v>
      </c>
      <c r="V107" s="83">
        <f>IFERROR(U107/U$28,0)</f>
        <v>0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449</v>
      </c>
      <c r="B110" s="40"/>
      <c r="C110" s="86" t="str">
        <f>C50</f>
        <v>FY 2018-19</v>
      </c>
      <c r="D110" s="86" t="s">
        <v>366</v>
      </c>
      <c r="E110" s="86" t="str">
        <f>E50</f>
        <v>FY 2019-20</v>
      </c>
      <c r="F110" s="86" t="s">
        <v>366</v>
      </c>
      <c r="G110" s="86" t="str">
        <f>G50</f>
        <v>FY 2020-21</v>
      </c>
      <c r="H110" s="86" t="s">
        <v>366</v>
      </c>
      <c r="I110" s="86" t="str">
        <f>I50</f>
        <v>FY 2021-22</v>
      </c>
      <c r="J110" s="86" t="s">
        <v>366</v>
      </c>
      <c r="K110" s="86" t="str">
        <f>K50</f>
        <v>FY 2022-23</v>
      </c>
      <c r="L110" s="86" t="s">
        <v>366</v>
      </c>
      <c r="M110" s="86" t="str">
        <f>M50</f>
        <v>FY 2023-24</v>
      </c>
      <c r="N110" s="86" t="s">
        <v>366</v>
      </c>
      <c r="O110" s="86" t="str">
        <f>O50</f>
        <v>FY 2024-25</v>
      </c>
      <c r="P110" s="86" t="s">
        <v>366</v>
      </c>
      <c r="Q110" s="86" t="str">
        <f>Q50</f>
        <v>FY 2025-26</v>
      </c>
      <c r="R110" s="86" t="s">
        <v>366</v>
      </c>
      <c r="S110" s="86" t="str">
        <f>S50</f>
        <v>FY 2026-27</v>
      </c>
      <c r="T110" s="86" t="s">
        <v>366</v>
      </c>
      <c r="U110" s="86" t="str">
        <f>U50</f>
        <v>FY 2027-28</v>
      </c>
      <c r="V110" s="86" t="s">
        <v>366</v>
      </c>
    </row>
    <row r="111" spans="1:24" ht="12.75" customHeight="1">
      <c r="A111" s="2" t="s">
        <v>403</v>
      </c>
      <c r="B111" s="35"/>
      <c r="C111" s="79">
        <f>C59</f>
        <v>0</v>
      </c>
      <c r="D111" s="80">
        <f t="shared" ref="D111:D116" si="33">IFERROR(C111/C$28,0)</f>
        <v>0</v>
      </c>
      <c r="E111" s="79">
        <f>E59</f>
        <v>0</v>
      </c>
      <c r="F111" s="80">
        <f t="shared" ref="F111:F116" si="34">IFERROR(E111/E$28,0)</f>
        <v>0</v>
      </c>
      <c r="G111" s="79">
        <f>G59</f>
        <v>0</v>
      </c>
      <c r="H111" s="80">
        <f t="shared" ref="H111:H116" si="35">IFERROR(G111/G$28,0)</f>
        <v>0</v>
      </c>
      <c r="I111" s="79">
        <f>I59</f>
        <v>0</v>
      </c>
      <c r="J111" s="80">
        <f t="shared" ref="J111:J116" si="36">IFERROR(I111/I$28,0)</f>
        <v>0</v>
      </c>
      <c r="K111" s="79">
        <f>K59</f>
        <v>0</v>
      </c>
      <c r="L111" s="80">
        <f t="shared" ref="L111:L116" si="37">IFERROR(K111/K$28,0)</f>
        <v>0</v>
      </c>
      <c r="M111" s="79">
        <f>M59</f>
        <v>0</v>
      </c>
      <c r="N111" s="80">
        <f t="shared" ref="N111:N116" si="38">IFERROR(M111/M$28,0)</f>
        <v>0</v>
      </c>
      <c r="O111" s="79">
        <f>O59</f>
        <v>0</v>
      </c>
      <c r="P111" s="80">
        <f t="shared" ref="P111:P116" si="39">IFERROR(O111/O$28,0)</f>
        <v>0</v>
      </c>
      <c r="Q111" s="79">
        <f>Q59</f>
        <v>0</v>
      </c>
      <c r="R111" s="80">
        <f t="shared" ref="R111:R116" si="40">IFERROR(Q111/Q$28,0)</f>
        <v>0</v>
      </c>
      <c r="S111" s="79">
        <f>S59</f>
        <v>0</v>
      </c>
      <c r="T111" s="80">
        <f t="shared" ref="T111:T116" si="41">IFERROR(S111/S$28,0)</f>
        <v>0</v>
      </c>
      <c r="U111" s="79">
        <f>U59</f>
        <v>0</v>
      </c>
      <c r="V111" s="80">
        <f t="shared" ref="V111:V116" si="42">IFERROR(U111/U$28,0)</f>
        <v>0</v>
      </c>
    </row>
    <row r="112" spans="1:24" ht="12.75" customHeight="1">
      <c r="A112" s="2" t="s">
        <v>450</v>
      </c>
      <c r="B112" s="35"/>
      <c r="C112" s="79">
        <f>C62</f>
        <v>0</v>
      </c>
      <c r="D112" s="80">
        <f t="shared" si="33"/>
        <v>0</v>
      </c>
      <c r="E112" s="79">
        <f>E62</f>
        <v>0</v>
      </c>
      <c r="F112" s="80">
        <f t="shared" si="34"/>
        <v>0</v>
      </c>
      <c r="G112" s="79">
        <f>G62</f>
        <v>0</v>
      </c>
      <c r="H112" s="80">
        <f t="shared" si="35"/>
        <v>0</v>
      </c>
      <c r="I112" s="79">
        <f>I62</f>
        <v>0</v>
      </c>
      <c r="J112" s="80">
        <f t="shared" si="36"/>
        <v>0</v>
      </c>
      <c r="K112" s="79">
        <f>K62</f>
        <v>0</v>
      </c>
      <c r="L112" s="80">
        <f t="shared" si="37"/>
        <v>0</v>
      </c>
      <c r="M112" s="79">
        <f>M62</f>
        <v>0</v>
      </c>
      <c r="N112" s="80">
        <f t="shared" si="38"/>
        <v>0</v>
      </c>
      <c r="O112" s="79">
        <f>O62</f>
        <v>0</v>
      </c>
      <c r="P112" s="80">
        <f t="shared" si="39"/>
        <v>0</v>
      </c>
      <c r="Q112" s="79">
        <f>Q62</f>
        <v>0</v>
      </c>
      <c r="R112" s="80">
        <f t="shared" si="40"/>
        <v>0</v>
      </c>
      <c r="S112" s="79">
        <f>S62</f>
        <v>0</v>
      </c>
      <c r="T112" s="80">
        <f t="shared" si="41"/>
        <v>0</v>
      </c>
      <c r="U112" s="79">
        <f>U62</f>
        <v>0</v>
      </c>
      <c r="V112" s="80">
        <f t="shared" si="42"/>
        <v>0</v>
      </c>
    </row>
    <row r="113" spans="1:22" ht="12.75" customHeight="1">
      <c r="A113" s="117" t="s">
        <v>446</v>
      </c>
      <c r="B113" s="41"/>
      <c r="C113" s="111">
        <v>0</v>
      </c>
      <c r="D113" s="80">
        <f t="shared" si="33"/>
        <v>0</v>
      </c>
      <c r="E113" s="111">
        <v>0</v>
      </c>
      <c r="F113" s="80">
        <f t="shared" si="34"/>
        <v>0</v>
      </c>
      <c r="G113" s="111">
        <v>0</v>
      </c>
      <c r="H113" s="80">
        <f t="shared" si="35"/>
        <v>0</v>
      </c>
      <c r="I113" s="111">
        <v>0</v>
      </c>
      <c r="J113" s="80">
        <f t="shared" si="36"/>
        <v>0</v>
      </c>
      <c r="K113" s="111">
        <v>0</v>
      </c>
      <c r="L113" s="80">
        <f t="shared" si="37"/>
        <v>0</v>
      </c>
      <c r="M113" s="111">
        <v>0</v>
      </c>
      <c r="N113" s="80">
        <f t="shared" si="38"/>
        <v>0</v>
      </c>
      <c r="O113" s="111">
        <v>0</v>
      </c>
      <c r="P113" s="80">
        <f t="shared" si="39"/>
        <v>0</v>
      </c>
      <c r="Q113" s="111">
        <v>0</v>
      </c>
      <c r="R113" s="80">
        <f t="shared" si="40"/>
        <v>0</v>
      </c>
      <c r="S113" s="111">
        <v>0</v>
      </c>
      <c r="T113" s="80">
        <f t="shared" si="41"/>
        <v>0</v>
      </c>
      <c r="U113" s="111">
        <v>0</v>
      </c>
      <c r="V113" s="80">
        <f t="shared" si="42"/>
        <v>0</v>
      </c>
    </row>
    <row r="114" spans="1:22" ht="12.75" customHeight="1">
      <c r="A114" s="117" t="s">
        <v>446</v>
      </c>
      <c r="B114" s="41"/>
      <c r="C114" s="111">
        <v>0</v>
      </c>
      <c r="D114" s="80">
        <f t="shared" si="33"/>
        <v>0</v>
      </c>
      <c r="E114" s="111">
        <v>0</v>
      </c>
      <c r="F114" s="80">
        <f t="shared" si="34"/>
        <v>0</v>
      </c>
      <c r="G114" s="111">
        <v>0</v>
      </c>
      <c r="H114" s="80">
        <f t="shared" si="35"/>
        <v>0</v>
      </c>
      <c r="I114" s="111">
        <v>0</v>
      </c>
      <c r="J114" s="80">
        <f t="shared" si="36"/>
        <v>0</v>
      </c>
      <c r="K114" s="111">
        <v>0</v>
      </c>
      <c r="L114" s="80">
        <f t="shared" si="37"/>
        <v>0</v>
      </c>
      <c r="M114" s="111">
        <v>0</v>
      </c>
      <c r="N114" s="80">
        <f t="shared" si="38"/>
        <v>0</v>
      </c>
      <c r="O114" s="111">
        <v>0</v>
      </c>
      <c r="P114" s="80">
        <f t="shared" si="39"/>
        <v>0</v>
      </c>
      <c r="Q114" s="111">
        <v>0</v>
      </c>
      <c r="R114" s="80">
        <f t="shared" si="40"/>
        <v>0</v>
      </c>
      <c r="S114" s="111">
        <v>0</v>
      </c>
      <c r="T114" s="80">
        <f t="shared" si="41"/>
        <v>0</v>
      </c>
      <c r="U114" s="111">
        <v>0</v>
      </c>
      <c r="V114" s="80">
        <f t="shared" si="42"/>
        <v>0</v>
      </c>
    </row>
    <row r="115" spans="1:22" ht="12.75" customHeight="1">
      <c r="A115" s="117" t="s">
        <v>446</v>
      </c>
      <c r="B115" s="41"/>
      <c r="C115" s="112">
        <v>0</v>
      </c>
      <c r="D115" s="80">
        <f t="shared" si="33"/>
        <v>0</v>
      </c>
      <c r="E115" s="112">
        <v>0</v>
      </c>
      <c r="F115" s="80">
        <f t="shared" si="34"/>
        <v>0</v>
      </c>
      <c r="G115" s="112">
        <v>0</v>
      </c>
      <c r="H115" s="80">
        <f t="shared" si="35"/>
        <v>0</v>
      </c>
      <c r="I115" s="112">
        <v>0</v>
      </c>
      <c r="J115" s="80">
        <f t="shared" si="36"/>
        <v>0</v>
      </c>
      <c r="K115" s="112">
        <v>0</v>
      </c>
      <c r="L115" s="80">
        <f t="shared" si="37"/>
        <v>0</v>
      </c>
      <c r="M115" s="112">
        <v>0</v>
      </c>
      <c r="N115" s="80">
        <f t="shared" si="38"/>
        <v>0</v>
      </c>
      <c r="O115" s="112">
        <v>0</v>
      </c>
      <c r="P115" s="80">
        <f t="shared" si="39"/>
        <v>0</v>
      </c>
      <c r="Q115" s="112">
        <v>0</v>
      </c>
      <c r="R115" s="80">
        <f t="shared" si="40"/>
        <v>0</v>
      </c>
      <c r="S115" s="112">
        <v>0</v>
      </c>
      <c r="T115" s="80">
        <f t="shared" si="41"/>
        <v>0</v>
      </c>
      <c r="U115" s="112">
        <v>0</v>
      </c>
      <c r="V115" s="80">
        <f t="shared" si="42"/>
        <v>0</v>
      </c>
    </row>
    <row r="116" spans="1:22" ht="12.75" customHeight="1">
      <c r="A116" s="40" t="s">
        <v>451</v>
      </c>
      <c r="B116" s="42"/>
      <c r="C116" s="85">
        <f>SUM(C111:C115)</f>
        <v>0</v>
      </c>
      <c r="D116" s="83">
        <f t="shared" si="33"/>
        <v>0</v>
      </c>
      <c r="E116" s="85">
        <f>SUM(E111:E115)</f>
        <v>0</v>
      </c>
      <c r="F116" s="83">
        <f t="shared" si="34"/>
        <v>0</v>
      </c>
      <c r="G116" s="85">
        <f>SUM(G111:G115)</f>
        <v>0</v>
      </c>
      <c r="H116" s="83">
        <f t="shared" si="35"/>
        <v>0</v>
      </c>
      <c r="I116" s="85">
        <f>SUM(I111:I115)</f>
        <v>0</v>
      </c>
      <c r="J116" s="83">
        <f t="shared" si="36"/>
        <v>0</v>
      </c>
      <c r="K116" s="85">
        <f>SUM(K111:K115)</f>
        <v>0</v>
      </c>
      <c r="L116" s="83">
        <f t="shared" si="37"/>
        <v>0</v>
      </c>
      <c r="M116" s="85">
        <f>SUM(M111:M115)</f>
        <v>0</v>
      </c>
      <c r="N116" s="83">
        <f t="shared" si="38"/>
        <v>0</v>
      </c>
      <c r="O116" s="85">
        <f>SUM(O111:O115)</f>
        <v>0</v>
      </c>
      <c r="P116" s="83">
        <f t="shared" si="39"/>
        <v>0</v>
      </c>
      <c r="Q116" s="85">
        <f>SUM(Q111:Q115)</f>
        <v>0</v>
      </c>
      <c r="R116" s="83">
        <f t="shared" si="40"/>
        <v>0</v>
      </c>
      <c r="S116" s="85">
        <f>SUM(S111:S115)</f>
        <v>0</v>
      </c>
      <c r="T116" s="83">
        <f t="shared" si="41"/>
        <v>0</v>
      </c>
      <c r="U116" s="85">
        <f>SUM(U111:U115)</f>
        <v>0</v>
      </c>
      <c r="V116" s="83">
        <f t="shared" si="42"/>
        <v>0</v>
      </c>
    </row>
    <row r="118" spans="1:22" ht="12.75" customHeight="1">
      <c r="A118" s="43" t="s">
        <v>452</v>
      </c>
      <c r="B118" s="43"/>
    </row>
    <row r="119" spans="1:22" ht="12.75" customHeight="1">
      <c r="A119" s="47" t="s">
        <v>453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7" tint="0.59999389629810485"/>
  </sheetPr>
  <dimension ref="A1:X119"/>
  <sheetViews>
    <sheetView zoomScale="70" zoomScaleNormal="70" workbookViewId="0" xr3:uid="{C67EF94B-0B3B-5838-830C-E3A509766221}">
      <selection activeCell="W59" sqref="W59"/>
    </sheetView>
  </sheetViews>
  <sheetFormatPr defaultColWidth="9.140625" defaultRowHeight="12.75" customHeight="1"/>
  <cols>
    <col min="1" max="1" width="9.5703125" style="2" customWidth="1"/>
    <col min="2" max="2" width="39.5703125" style="2" customWidth="1"/>
    <col min="3" max="3" width="12.7109375" style="2" customWidth="1"/>
    <col min="4" max="4" width="8.7109375" style="2" customWidth="1"/>
    <col min="5" max="5" width="12.7109375" style="2" customWidth="1"/>
    <col min="6" max="6" width="8.7109375" style="2" customWidth="1"/>
    <col min="7" max="7" width="12.710937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355</v>
      </c>
      <c r="G2" s="33" t="s">
        <v>33</v>
      </c>
      <c r="H2" s="34"/>
      <c r="I2" s="34"/>
      <c r="V2" s="32"/>
    </row>
    <row r="3" spans="1:22" ht="12.75" customHeight="1">
      <c r="A3" s="1" t="s">
        <v>357</v>
      </c>
      <c r="D3" s="118" t="s">
        <v>358</v>
      </c>
      <c r="G3" s="115" t="str">
        <f>+G2</f>
        <v>Express (Green Library)</v>
      </c>
      <c r="H3" s="116"/>
      <c r="I3" s="116"/>
      <c r="V3" s="32"/>
    </row>
    <row r="4" spans="1:22" ht="12.75" customHeight="1">
      <c r="A4" s="1" t="s">
        <v>359</v>
      </c>
      <c r="B4" s="109" t="s">
        <v>221</v>
      </c>
      <c r="D4" s="118" t="s">
        <v>360</v>
      </c>
      <c r="G4" s="115" t="s">
        <v>65</v>
      </c>
      <c r="H4" s="116"/>
      <c r="I4" s="116"/>
      <c r="V4" s="32"/>
    </row>
    <row r="5" spans="1:22" ht="12.75" customHeight="1">
      <c r="A5" s="1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361</v>
      </c>
      <c r="B7" s="1"/>
    </row>
    <row r="8" spans="1:22" ht="12.75" customHeight="1">
      <c r="A8" s="2" t="s">
        <v>362</v>
      </c>
      <c r="C8" s="109">
        <v>160</v>
      </c>
      <c r="E8" s="109">
        <f>+C8</f>
        <v>160</v>
      </c>
      <c r="G8" s="109">
        <f>+E8</f>
        <v>160</v>
      </c>
      <c r="I8" s="109">
        <f>+G8</f>
        <v>160</v>
      </c>
      <c r="K8" s="109">
        <f>+I8</f>
        <v>160</v>
      </c>
      <c r="M8" s="109">
        <f>+K8</f>
        <v>160</v>
      </c>
      <c r="O8" s="109">
        <f>+M8</f>
        <v>160</v>
      </c>
      <c r="Q8" s="109">
        <f>+O8</f>
        <v>160</v>
      </c>
      <c r="S8" s="109">
        <f>+Q8</f>
        <v>160</v>
      </c>
      <c r="U8" s="109">
        <f>+S8</f>
        <v>160</v>
      </c>
    </row>
    <row r="10" spans="1:22" ht="12.75" customHeight="1">
      <c r="A10" s="2" t="s">
        <v>462</v>
      </c>
      <c r="C10" s="204">
        <f>+C14/C8/C12</f>
        <v>356.25</v>
      </c>
      <c r="D10" s="205"/>
      <c r="E10" s="206">
        <f>+E14/E8/E12</f>
        <v>357.8125</v>
      </c>
      <c r="F10" s="205"/>
      <c r="G10" s="206">
        <f>+G14/G8/G12</f>
        <v>371.875</v>
      </c>
      <c r="H10" s="205"/>
      <c r="I10" s="206">
        <f>+I14/I8/I12</f>
        <v>381.17283950617286</v>
      </c>
      <c r="J10" s="205"/>
      <c r="K10" s="206">
        <f>+K14/K8/K12</f>
        <v>393.51851851851853</v>
      </c>
      <c r="L10" s="205"/>
      <c r="M10" s="206">
        <f>+M14/M8/M12</f>
        <v>405.8641975308642</v>
      </c>
      <c r="N10" s="205"/>
      <c r="O10" s="206">
        <f>+O14/O8/O12</f>
        <v>416.66666666666669</v>
      </c>
      <c r="P10" s="205"/>
      <c r="Q10" s="206">
        <f>+Q14/Q8/Q12</f>
        <v>428.43980343980343</v>
      </c>
      <c r="R10" s="205"/>
      <c r="S10" s="206">
        <f>+S14/S8/S12</f>
        <v>439.64460784313724</v>
      </c>
      <c r="T10" s="205"/>
      <c r="U10" s="206">
        <f>+U14/U8/U12</f>
        <v>451.89950980392155</v>
      </c>
      <c r="V10" s="205"/>
    </row>
    <row r="12" spans="1:22" ht="12.75" customHeight="1">
      <c r="A12" s="2" t="s">
        <v>463</v>
      </c>
      <c r="C12" s="110">
        <v>3.85</v>
      </c>
      <c r="E12" s="110">
        <v>4</v>
      </c>
      <c r="G12" s="110">
        <v>4</v>
      </c>
      <c r="I12" s="110">
        <v>4.05</v>
      </c>
      <c r="K12" s="110">
        <v>4.05</v>
      </c>
      <c r="M12" s="110">
        <v>4.05</v>
      </c>
      <c r="O12" s="110">
        <v>4.05</v>
      </c>
      <c r="Q12" s="110">
        <v>4.07</v>
      </c>
      <c r="S12" s="110">
        <v>4.08</v>
      </c>
      <c r="U12" s="110">
        <v>4.08</v>
      </c>
    </row>
    <row r="14" spans="1:22" ht="12.75" customHeight="1">
      <c r="A14" s="2" t="s">
        <v>464</v>
      </c>
      <c r="C14" s="198">
        <v>219450</v>
      </c>
      <c r="D14" s="12"/>
      <c r="E14" s="198">
        <v>229000</v>
      </c>
      <c r="F14" s="12"/>
      <c r="G14" s="198">
        <v>238000</v>
      </c>
      <c r="H14" s="12"/>
      <c r="I14" s="198">
        <v>247000</v>
      </c>
      <c r="J14" s="12"/>
      <c r="K14" s="198">
        <v>255000</v>
      </c>
      <c r="L14" s="12"/>
      <c r="M14" s="198">
        <v>263000</v>
      </c>
      <c r="N14" s="12"/>
      <c r="O14" s="198">
        <v>270000</v>
      </c>
      <c r="P14" s="12"/>
      <c r="Q14" s="198">
        <v>279000</v>
      </c>
      <c r="R14" s="12"/>
      <c r="S14" s="198">
        <v>287000</v>
      </c>
      <c r="T14" s="12"/>
      <c r="U14" s="198">
        <v>295000</v>
      </c>
    </row>
    <row r="15" spans="1:22" ht="12.75" customHeight="1">
      <c r="A15" s="39">
        <v>0.1</v>
      </c>
    </row>
    <row r="16" spans="1:22" ht="12.75" customHeight="1">
      <c r="B16" s="35"/>
      <c r="C16" s="86" t="str">
        <f>C6</f>
        <v>FY 2018-19</v>
      </c>
      <c r="D16" s="86" t="s">
        <v>366</v>
      </c>
      <c r="E16" s="86" t="str">
        <f>E6</f>
        <v>FY 2019-20</v>
      </c>
      <c r="F16" s="86" t="s">
        <v>366</v>
      </c>
      <c r="G16" s="86" t="str">
        <f>G6</f>
        <v>FY 2020-21</v>
      </c>
      <c r="H16" s="86" t="s">
        <v>366</v>
      </c>
      <c r="I16" s="86" t="str">
        <f>I6</f>
        <v>FY 2021-22</v>
      </c>
      <c r="J16" s="86" t="s">
        <v>366</v>
      </c>
      <c r="K16" s="86" t="str">
        <f>K6</f>
        <v>FY 2022-23</v>
      </c>
      <c r="L16" s="86" t="s">
        <v>366</v>
      </c>
      <c r="M16" s="86" t="str">
        <f>M6</f>
        <v>FY 2023-24</v>
      </c>
      <c r="N16" s="86" t="s">
        <v>366</v>
      </c>
      <c r="O16" s="86" t="str">
        <f>O6</f>
        <v>FY 2024-25</v>
      </c>
      <c r="P16" s="86" t="s">
        <v>366</v>
      </c>
      <c r="Q16" s="86" t="str">
        <f>Q6</f>
        <v>FY 2025-26</v>
      </c>
      <c r="R16" s="86" t="s">
        <v>366</v>
      </c>
      <c r="S16" s="86" t="str">
        <f>S6</f>
        <v>FY 2026-27</v>
      </c>
      <c r="T16" s="86" t="s">
        <v>366</v>
      </c>
      <c r="U16" s="86" t="str">
        <f>U6</f>
        <v>FY 2027-28</v>
      </c>
      <c r="V16" s="86" t="s">
        <v>366</v>
      </c>
    </row>
    <row r="17" spans="1:24" ht="12.75" customHeight="1">
      <c r="A17" s="1" t="s">
        <v>367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368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369</v>
      </c>
      <c r="B19" s="35"/>
      <c r="C19" s="196">
        <f>+C14-C20</f>
        <v>192282.09</v>
      </c>
      <c r="D19" s="80">
        <f>IFERROR(C19/C$28,0)</f>
        <v>0.87619999999999998</v>
      </c>
      <c r="E19" s="196">
        <f>+E14-E20</f>
        <v>192360</v>
      </c>
      <c r="F19" s="80">
        <f>IFERROR(E19/E$28,0)</f>
        <v>0.84</v>
      </c>
      <c r="G19" s="111">
        <f>+G14-G20</f>
        <v>199920</v>
      </c>
      <c r="H19" s="80">
        <f>IFERROR(G19/G$28,0)</f>
        <v>0.84</v>
      </c>
      <c r="I19" s="111">
        <f>+I14-I20</f>
        <v>207480</v>
      </c>
      <c r="J19" s="80">
        <f>IFERROR(I19/I$28,0)</f>
        <v>0.84</v>
      </c>
      <c r="K19" s="111">
        <f>+K14-K20</f>
        <v>214200</v>
      </c>
      <c r="L19" s="80">
        <f>IFERROR(K19/K$28,0)</f>
        <v>0.84</v>
      </c>
      <c r="M19" s="111">
        <f>+M14-M20</f>
        <v>220920</v>
      </c>
      <c r="N19" s="80">
        <f>IFERROR(M19/M$28,0)</f>
        <v>0.84</v>
      </c>
      <c r="O19" s="111">
        <f>+O14-O20</f>
        <v>226800</v>
      </c>
      <c r="P19" s="80">
        <f>IFERROR(O19/O$28,0)</f>
        <v>0.84</v>
      </c>
      <c r="Q19" s="111">
        <f>+Q14-Q20</f>
        <v>234360</v>
      </c>
      <c r="R19" s="80">
        <f>IFERROR(Q19/Q$28,0)</f>
        <v>0.84</v>
      </c>
      <c r="S19" s="111">
        <f>+S14-S20</f>
        <v>241080</v>
      </c>
      <c r="T19" s="80">
        <f>IFERROR(S19/S$28,0)</f>
        <v>0.84</v>
      </c>
      <c r="U19" s="111">
        <f>+U14-U20</f>
        <v>247800</v>
      </c>
      <c r="V19" s="80">
        <f>IFERROR(U19/U$28,0)</f>
        <v>0.84</v>
      </c>
    </row>
    <row r="20" spans="1:24" ht="12.75" customHeight="1">
      <c r="A20" s="2" t="s">
        <v>370</v>
      </c>
      <c r="B20" s="35"/>
      <c r="C20" s="111">
        <f>+C14*12.38%</f>
        <v>27167.91</v>
      </c>
      <c r="D20" s="80">
        <f>IFERROR(C20/C$28,0)</f>
        <v>0.12379999999999999</v>
      </c>
      <c r="E20" s="111">
        <f>+E14*16%</f>
        <v>36640</v>
      </c>
      <c r="F20" s="80">
        <f>IFERROR(E20/E$28,0)</f>
        <v>0.16</v>
      </c>
      <c r="G20" s="111">
        <f>+G14*16%</f>
        <v>38080</v>
      </c>
      <c r="H20" s="80">
        <f>IFERROR(G20/G$28,0)</f>
        <v>0.16</v>
      </c>
      <c r="I20" s="111">
        <f>+I14*16%</f>
        <v>39520</v>
      </c>
      <c r="J20" s="80">
        <f>IFERROR(I20/I$28,0)</f>
        <v>0.16</v>
      </c>
      <c r="K20" s="111">
        <f>+K14*16%</f>
        <v>40800</v>
      </c>
      <c r="L20" s="80">
        <f>IFERROR(K20/K$28,0)</f>
        <v>0.16</v>
      </c>
      <c r="M20" s="111">
        <f>+M14*16%</f>
        <v>42080</v>
      </c>
      <c r="N20" s="80">
        <f>IFERROR(M20/M$28,0)</f>
        <v>0.16</v>
      </c>
      <c r="O20" s="111">
        <f>+O14*16%</f>
        <v>43200</v>
      </c>
      <c r="P20" s="80">
        <f>IFERROR(O20/O$28,0)</f>
        <v>0.16</v>
      </c>
      <c r="Q20" s="111">
        <f>+Q14*16%</f>
        <v>44640</v>
      </c>
      <c r="R20" s="80">
        <f>IFERROR(Q20/Q$28,0)</f>
        <v>0.16</v>
      </c>
      <c r="S20" s="111">
        <f>+S14*16%</f>
        <v>45920</v>
      </c>
      <c r="T20" s="80">
        <f>IFERROR(S20/S$28,0)</f>
        <v>0.16</v>
      </c>
      <c r="U20" s="111">
        <f>+U14*16%</f>
        <v>47200</v>
      </c>
      <c r="V20" s="80">
        <f>IFERROR(U20/U$28,0)</f>
        <v>0.16</v>
      </c>
    </row>
    <row r="21" spans="1:24" ht="12.75" customHeight="1">
      <c r="A21" s="2" t="s">
        <v>371</v>
      </c>
      <c r="B21" s="35"/>
      <c r="C21" s="111"/>
      <c r="D21" s="80">
        <f>IFERROR(C21/C$28,0)</f>
        <v>0</v>
      </c>
      <c r="E21" s="111">
        <v>0</v>
      </c>
      <c r="F21" s="80">
        <f>IFERROR(E21/E$28,0)</f>
        <v>0</v>
      </c>
      <c r="G21" s="111">
        <f t="shared" ref="G21:U21" si="0">E21*1.02</f>
        <v>0</v>
      </c>
      <c r="H21" s="80">
        <f>IFERROR(G21/G$28,0)</f>
        <v>0</v>
      </c>
      <c r="I21" s="111">
        <f t="shared" si="0"/>
        <v>0</v>
      </c>
      <c r="J21" s="80">
        <f>IFERROR(I21/I$28,0)</f>
        <v>0</v>
      </c>
      <c r="K21" s="111">
        <f t="shared" si="0"/>
        <v>0</v>
      </c>
      <c r="L21" s="80">
        <f>IFERROR(K21/K$28,0)</f>
        <v>0</v>
      </c>
      <c r="M21" s="111">
        <f t="shared" si="0"/>
        <v>0</v>
      </c>
      <c r="N21" s="80">
        <f>IFERROR(M21/M$28,0)</f>
        <v>0</v>
      </c>
      <c r="O21" s="111">
        <f t="shared" si="0"/>
        <v>0</v>
      </c>
      <c r="P21" s="80">
        <f>IFERROR(O21/O$28,0)</f>
        <v>0</v>
      </c>
      <c r="Q21" s="111">
        <f t="shared" si="0"/>
        <v>0</v>
      </c>
      <c r="R21" s="80">
        <f>IFERROR(Q21/Q$28,0)</f>
        <v>0</v>
      </c>
      <c r="S21" s="111">
        <f t="shared" si="0"/>
        <v>0</v>
      </c>
      <c r="T21" s="80">
        <f>IFERROR(S21/S$28,0)</f>
        <v>0</v>
      </c>
      <c r="U21" s="111">
        <f t="shared" si="0"/>
        <v>0</v>
      </c>
      <c r="V21" s="80">
        <f>IFERROR(U21/U$28,0)</f>
        <v>0</v>
      </c>
    </row>
    <row r="22" spans="1:24" ht="12.75" customHeight="1">
      <c r="A22" s="2" t="s">
        <v>372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373</v>
      </c>
      <c r="B23" s="123"/>
      <c r="C23" s="79"/>
      <c r="D23" s="80">
        <f t="shared" ref="D23:D28" si="1">IFERROR(C23/C$28,0)</f>
        <v>0</v>
      </c>
      <c r="E23" s="79"/>
      <c r="F23" s="80">
        <f t="shared" ref="F23:F28" si="2">IFERROR(E23/E$28,0)</f>
        <v>0</v>
      </c>
      <c r="G23" s="79"/>
      <c r="H23" s="80">
        <f t="shared" ref="H23:H28" si="3">IFERROR(G23/G$28,0)</f>
        <v>0</v>
      </c>
      <c r="I23" s="79"/>
      <c r="J23" s="80">
        <f t="shared" ref="J23:J28" si="4">IFERROR(I23/I$28,0)</f>
        <v>0</v>
      </c>
      <c r="K23" s="79"/>
      <c r="L23" s="80">
        <f t="shared" ref="L23:L28" si="5">IFERROR(K23/K$28,0)</f>
        <v>0</v>
      </c>
      <c r="M23" s="79"/>
      <c r="N23" s="80">
        <f t="shared" ref="N23:N28" si="6">IFERROR(M23/M$28,0)</f>
        <v>0</v>
      </c>
      <c r="O23" s="79"/>
      <c r="P23" s="80">
        <f t="shared" ref="P23:P28" si="7">IFERROR(O23/O$28,0)</f>
        <v>0</v>
      </c>
      <c r="Q23" s="79"/>
      <c r="R23" s="80">
        <f t="shared" ref="R23:R28" si="8">IFERROR(Q23/Q$28,0)</f>
        <v>0</v>
      </c>
      <c r="S23" s="79"/>
      <c r="T23" s="80">
        <f t="shared" ref="T23:T28" si="9">IFERROR(S23/S$28,0)</f>
        <v>0</v>
      </c>
      <c r="U23" s="79"/>
      <c r="V23" s="80">
        <f t="shared" ref="V23:V28" si="10">IFERROR(U23/U$28,0)</f>
        <v>0</v>
      </c>
    </row>
    <row r="24" spans="1:24" ht="12.75" customHeight="1">
      <c r="A24" s="122" t="s">
        <v>374</v>
      </c>
      <c r="B24" s="123"/>
      <c r="C24" s="79"/>
      <c r="D24" s="80">
        <f t="shared" si="1"/>
        <v>0</v>
      </c>
      <c r="E24" s="79"/>
      <c r="F24" s="80">
        <f t="shared" si="2"/>
        <v>0</v>
      </c>
      <c r="G24" s="79"/>
      <c r="H24" s="80">
        <f t="shared" si="3"/>
        <v>0</v>
      </c>
      <c r="I24" s="79"/>
      <c r="J24" s="80">
        <f t="shared" si="4"/>
        <v>0</v>
      </c>
      <c r="K24" s="79"/>
      <c r="L24" s="80">
        <f t="shared" si="5"/>
        <v>0</v>
      </c>
      <c r="M24" s="79"/>
      <c r="N24" s="80">
        <f t="shared" si="6"/>
        <v>0</v>
      </c>
      <c r="O24" s="79"/>
      <c r="P24" s="80">
        <f t="shared" si="7"/>
        <v>0</v>
      </c>
      <c r="Q24" s="79"/>
      <c r="R24" s="80">
        <f t="shared" si="8"/>
        <v>0</v>
      </c>
      <c r="S24" s="79"/>
      <c r="T24" s="80">
        <f t="shared" si="9"/>
        <v>0</v>
      </c>
      <c r="U24" s="79"/>
      <c r="V24" s="80">
        <f t="shared" si="10"/>
        <v>0</v>
      </c>
      <c r="X24" s="79"/>
    </row>
    <row r="25" spans="1:24" ht="12.75" customHeight="1">
      <c r="A25" s="2" t="s">
        <v>375</v>
      </c>
      <c r="B25" s="35"/>
      <c r="C25" s="111"/>
      <c r="D25" s="80">
        <f t="shared" si="1"/>
        <v>0</v>
      </c>
      <c r="E25" s="111"/>
      <c r="F25" s="80">
        <f t="shared" si="2"/>
        <v>0</v>
      </c>
      <c r="G25" s="111"/>
      <c r="H25" s="80">
        <f t="shared" si="3"/>
        <v>0</v>
      </c>
      <c r="I25" s="111"/>
      <c r="J25" s="80">
        <f t="shared" si="4"/>
        <v>0</v>
      </c>
      <c r="K25" s="111"/>
      <c r="L25" s="80">
        <f t="shared" si="5"/>
        <v>0</v>
      </c>
      <c r="M25" s="111"/>
      <c r="N25" s="80">
        <f t="shared" si="6"/>
        <v>0</v>
      </c>
      <c r="O25" s="111"/>
      <c r="P25" s="80">
        <f t="shared" si="7"/>
        <v>0</v>
      </c>
      <c r="Q25" s="111"/>
      <c r="R25" s="80">
        <f t="shared" si="8"/>
        <v>0</v>
      </c>
      <c r="S25" s="111"/>
      <c r="T25" s="80">
        <f t="shared" si="9"/>
        <v>0</v>
      </c>
      <c r="U25" s="111"/>
      <c r="V25" s="80">
        <f t="shared" si="10"/>
        <v>0</v>
      </c>
      <c r="X25" s="79"/>
    </row>
    <row r="26" spans="1:24" ht="12.75" customHeight="1">
      <c r="A26" s="122" t="s">
        <v>376</v>
      </c>
      <c r="B26" s="35"/>
      <c r="C26" s="79"/>
      <c r="D26" s="80">
        <f t="shared" si="1"/>
        <v>0</v>
      </c>
      <c r="E26" s="79"/>
      <c r="F26" s="80">
        <f t="shared" si="2"/>
        <v>0</v>
      </c>
      <c r="G26" s="79"/>
      <c r="H26" s="80">
        <f t="shared" si="3"/>
        <v>0</v>
      </c>
      <c r="I26" s="79"/>
      <c r="J26" s="80">
        <f t="shared" si="4"/>
        <v>0</v>
      </c>
      <c r="K26" s="79"/>
      <c r="L26" s="80">
        <f t="shared" si="5"/>
        <v>0</v>
      </c>
      <c r="M26" s="79"/>
      <c r="N26" s="80">
        <f t="shared" si="6"/>
        <v>0</v>
      </c>
      <c r="O26" s="79"/>
      <c r="P26" s="80">
        <f t="shared" si="7"/>
        <v>0</v>
      </c>
      <c r="Q26" s="79"/>
      <c r="R26" s="80">
        <f t="shared" si="8"/>
        <v>0</v>
      </c>
      <c r="S26" s="79"/>
      <c r="T26" s="80">
        <f t="shared" si="9"/>
        <v>0</v>
      </c>
      <c r="U26" s="79"/>
      <c r="V26" s="80">
        <f t="shared" si="10"/>
        <v>0</v>
      </c>
    </row>
    <row r="27" spans="1:24" ht="12.75" customHeight="1">
      <c r="A27" s="2" t="s">
        <v>377</v>
      </c>
      <c r="B27" s="35"/>
      <c r="C27" s="112"/>
      <c r="D27" s="80">
        <f t="shared" si="1"/>
        <v>0</v>
      </c>
      <c r="E27" s="112"/>
      <c r="F27" s="80">
        <f t="shared" si="2"/>
        <v>0</v>
      </c>
      <c r="G27" s="112"/>
      <c r="H27" s="80">
        <f t="shared" si="3"/>
        <v>0</v>
      </c>
      <c r="I27" s="112"/>
      <c r="J27" s="80">
        <f t="shared" si="4"/>
        <v>0</v>
      </c>
      <c r="K27" s="112"/>
      <c r="L27" s="80">
        <f t="shared" si="5"/>
        <v>0</v>
      </c>
      <c r="M27" s="112"/>
      <c r="N27" s="80">
        <f t="shared" si="6"/>
        <v>0</v>
      </c>
      <c r="O27" s="112"/>
      <c r="P27" s="80">
        <f t="shared" si="7"/>
        <v>0</v>
      </c>
      <c r="Q27" s="112"/>
      <c r="R27" s="80">
        <f t="shared" si="8"/>
        <v>0</v>
      </c>
      <c r="S27" s="112"/>
      <c r="T27" s="80">
        <f t="shared" si="9"/>
        <v>0</v>
      </c>
      <c r="U27" s="112"/>
      <c r="V27" s="80">
        <f t="shared" si="10"/>
        <v>0</v>
      </c>
    </row>
    <row r="28" spans="1:24" ht="12.75" customHeight="1">
      <c r="A28" s="1" t="s">
        <v>378</v>
      </c>
      <c r="B28" s="53"/>
      <c r="C28" s="82">
        <f>SUM(C19:C27)</f>
        <v>219450</v>
      </c>
      <c r="D28" s="83">
        <f t="shared" si="1"/>
        <v>1</v>
      </c>
      <c r="E28" s="82">
        <f>SUM(E19:E27)</f>
        <v>229000</v>
      </c>
      <c r="F28" s="83">
        <f t="shared" si="2"/>
        <v>1</v>
      </c>
      <c r="G28" s="82">
        <f>SUM(G19:G27)</f>
        <v>238000</v>
      </c>
      <c r="H28" s="83">
        <f t="shared" si="3"/>
        <v>1</v>
      </c>
      <c r="I28" s="82">
        <f>SUM(I19:I27)</f>
        <v>247000</v>
      </c>
      <c r="J28" s="83">
        <f t="shared" si="4"/>
        <v>1</v>
      </c>
      <c r="K28" s="82">
        <f>SUM(K19:K27)</f>
        <v>255000</v>
      </c>
      <c r="L28" s="83">
        <f t="shared" si="5"/>
        <v>1</v>
      </c>
      <c r="M28" s="82">
        <f>SUM(M19:M27)</f>
        <v>263000</v>
      </c>
      <c r="N28" s="83">
        <f t="shared" si="6"/>
        <v>1</v>
      </c>
      <c r="O28" s="82">
        <f>SUM(O19:O27)</f>
        <v>270000</v>
      </c>
      <c r="P28" s="83">
        <f t="shared" si="7"/>
        <v>1</v>
      </c>
      <c r="Q28" s="82">
        <f>SUM(Q19:Q27)</f>
        <v>279000</v>
      </c>
      <c r="R28" s="83">
        <f t="shared" si="8"/>
        <v>1</v>
      </c>
      <c r="S28" s="82">
        <f>SUM(S19:S27)</f>
        <v>287000</v>
      </c>
      <c r="T28" s="83">
        <f t="shared" si="9"/>
        <v>1</v>
      </c>
      <c r="U28" s="82">
        <f>SUM(U19:U27)</f>
        <v>295000</v>
      </c>
      <c r="V28" s="83">
        <f t="shared" si="10"/>
        <v>1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379</v>
      </c>
      <c r="B30" s="53"/>
      <c r="C30" s="197">
        <v>0.52400000000000002</v>
      </c>
      <c r="D30" s="78"/>
      <c r="E30" s="78">
        <v>0.52400000000000002</v>
      </c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380</v>
      </c>
      <c r="B31" s="35"/>
      <c r="C31" s="178">
        <f>$C$30*C14</f>
        <v>114991.8</v>
      </c>
      <c r="D31" s="80">
        <f>IFERROR(C31/C$28,0)</f>
        <v>0.52400000000000002</v>
      </c>
      <c r="E31" s="178">
        <f>$C$30*E14</f>
        <v>119996</v>
      </c>
      <c r="F31" s="80">
        <f>IFERROR(E31/E$28,0)</f>
        <v>0.52400000000000002</v>
      </c>
      <c r="G31" s="178">
        <f>$C$30*G14</f>
        <v>124712</v>
      </c>
      <c r="H31" s="80">
        <f>IFERROR(G31/G$28,0)</f>
        <v>0.52400000000000002</v>
      </c>
      <c r="I31" s="178">
        <f>$C$30*I14</f>
        <v>129428</v>
      </c>
      <c r="J31" s="80">
        <f>IFERROR(I31/I$28,0)</f>
        <v>0.52400000000000002</v>
      </c>
      <c r="K31" s="178">
        <f>$C$30*K14</f>
        <v>133620</v>
      </c>
      <c r="L31" s="80">
        <f>IFERROR(K31/K$28,0)</f>
        <v>0.52400000000000002</v>
      </c>
      <c r="M31" s="178">
        <f>$C$30*M14</f>
        <v>137812</v>
      </c>
      <c r="N31" s="80">
        <f>IFERROR(M31/M$28,0)</f>
        <v>0.52400000000000002</v>
      </c>
      <c r="O31" s="178">
        <f>$C$30*O14</f>
        <v>141480</v>
      </c>
      <c r="P31" s="80">
        <f>IFERROR(O31/O$28,0)</f>
        <v>0.52400000000000002</v>
      </c>
      <c r="Q31" s="178">
        <f>$C$30*Q14</f>
        <v>146196</v>
      </c>
      <c r="R31" s="80">
        <f>IFERROR(Q31/Q$28,0)</f>
        <v>0.52400000000000002</v>
      </c>
      <c r="S31" s="178">
        <f>$C$30*S14</f>
        <v>150388</v>
      </c>
      <c r="T31" s="80">
        <f>IFERROR(S31/S$28,0)</f>
        <v>0.52400000000000002</v>
      </c>
      <c r="U31" s="178">
        <f>$C$30*U14</f>
        <v>154580</v>
      </c>
      <c r="V31" s="80">
        <f>IFERROR(U31/U$28,0)</f>
        <v>0.52400000000000002</v>
      </c>
    </row>
    <row r="32" spans="1:24" ht="12.75" customHeight="1">
      <c r="A32" s="8" t="s">
        <v>381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382</v>
      </c>
      <c r="B33" s="53"/>
      <c r="C33" s="82">
        <f>SUM(C31:C32)</f>
        <v>114991.8</v>
      </c>
      <c r="D33" s="83">
        <f>IFERROR(C33/C$28,0)</f>
        <v>0.52400000000000002</v>
      </c>
      <c r="E33" s="82">
        <f>SUM(E31:E32)</f>
        <v>119996</v>
      </c>
      <c r="F33" s="83">
        <f>IFERROR(E33/E$28,0)</f>
        <v>0.52400000000000002</v>
      </c>
      <c r="G33" s="82">
        <f>SUM(G31:G32)</f>
        <v>124712</v>
      </c>
      <c r="H33" s="83">
        <f>IFERROR(G33/G$28,0)</f>
        <v>0.52400000000000002</v>
      </c>
      <c r="I33" s="82">
        <f>SUM(I31:I32)</f>
        <v>129428</v>
      </c>
      <c r="J33" s="83">
        <f>IFERROR(I33/I$28,0)</f>
        <v>0.52400000000000002</v>
      </c>
      <c r="K33" s="82">
        <f>SUM(K31:K32)</f>
        <v>133620</v>
      </c>
      <c r="L33" s="83">
        <f>IFERROR(K33/K$28,0)</f>
        <v>0.52400000000000002</v>
      </c>
      <c r="M33" s="82">
        <f>SUM(M31:M32)</f>
        <v>137812</v>
      </c>
      <c r="N33" s="83">
        <f>IFERROR(M33/M$28,0)</f>
        <v>0.52400000000000002</v>
      </c>
      <c r="O33" s="82">
        <f>SUM(O31:O32)</f>
        <v>141480</v>
      </c>
      <c r="P33" s="83">
        <f>IFERROR(O33/O$28,0)</f>
        <v>0.52400000000000002</v>
      </c>
      <c r="Q33" s="82">
        <f>SUM(Q31:Q32)</f>
        <v>146196</v>
      </c>
      <c r="R33" s="83">
        <f>IFERROR(Q33/Q$28,0)</f>
        <v>0.52400000000000002</v>
      </c>
      <c r="S33" s="82">
        <f>SUM(S31:S32)</f>
        <v>150388</v>
      </c>
      <c r="T33" s="83">
        <f>IFERROR(S33/S$28,0)</f>
        <v>0.52400000000000002</v>
      </c>
      <c r="U33" s="82">
        <f>SUM(U31:U32)</f>
        <v>154580</v>
      </c>
      <c r="V33" s="83">
        <f>IFERROR(U33/U$28,0)</f>
        <v>0.52400000000000002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383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384</v>
      </c>
      <c r="B36" s="35"/>
      <c r="C36" s="178">
        <v>0</v>
      </c>
      <c r="D36" s="80">
        <f t="shared" ref="D36:D46" si="11">IFERROR(C36/C$28,0)</f>
        <v>0</v>
      </c>
      <c r="E36" s="178"/>
      <c r="F36" s="80">
        <f t="shared" ref="F36:F46" si="12">IFERROR(E36/E$28,0)</f>
        <v>0</v>
      </c>
      <c r="G36" s="178"/>
      <c r="H36" s="80">
        <f t="shared" ref="H36:H46" si="13">IFERROR(G36/G$28,0)</f>
        <v>0</v>
      </c>
      <c r="I36" s="178"/>
      <c r="J36" s="80">
        <f t="shared" ref="J36:J46" si="14">IFERROR(I36/I$28,0)</f>
        <v>0</v>
      </c>
      <c r="K36" s="178"/>
      <c r="L36" s="80">
        <f t="shared" ref="L36:L46" si="15">IFERROR(K36/K$28,0)</f>
        <v>0</v>
      </c>
      <c r="M36" s="178"/>
      <c r="N36" s="80">
        <f t="shared" ref="N36:N46" si="16">IFERROR(M36/M$28,0)</f>
        <v>0</v>
      </c>
      <c r="O36" s="178"/>
      <c r="P36" s="80">
        <f t="shared" ref="P36:P46" si="17">IFERROR(O36/O$28,0)</f>
        <v>0</v>
      </c>
      <c r="Q36" s="178"/>
      <c r="R36" s="80">
        <f t="shared" ref="R36:R46" si="18">IFERROR(Q36/Q$28,0)</f>
        <v>0</v>
      </c>
      <c r="S36" s="178"/>
      <c r="T36" s="80">
        <f t="shared" ref="T36:T46" si="19">IFERROR(S36/S$28,0)</f>
        <v>0</v>
      </c>
      <c r="U36" s="178">
        <v>0</v>
      </c>
      <c r="V36" s="80">
        <f t="shared" ref="V36:V46" si="20">IFERROR(U36/U$28,0)</f>
        <v>0</v>
      </c>
    </row>
    <row r="37" spans="1:22" ht="12.75" customHeight="1">
      <c r="A37" s="2" t="s">
        <v>385</v>
      </c>
      <c r="B37" s="35"/>
      <c r="C37" s="178">
        <v>20359</v>
      </c>
      <c r="D37" s="80">
        <f t="shared" si="11"/>
        <v>9.2772841193893826E-2</v>
      </c>
      <c r="E37" s="178">
        <f>+C37*1.112</f>
        <v>22639.208000000002</v>
      </c>
      <c r="F37" s="80">
        <f t="shared" si="12"/>
        <v>9.8861170305676871E-2</v>
      </c>
      <c r="G37" s="178">
        <f>+E37*1.035</f>
        <v>23431.580280000002</v>
      </c>
      <c r="H37" s="80">
        <f t="shared" si="13"/>
        <v>9.845201798319328E-2</v>
      </c>
      <c r="I37" s="178">
        <f>+G37*1.032</f>
        <v>24181.390848960003</v>
      </c>
      <c r="J37" s="80">
        <f t="shared" si="14"/>
        <v>9.7900367809554675E-2</v>
      </c>
      <c r="K37" s="178">
        <f>+I37*1.025</f>
        <v>24785.925620184</v>
      </c>
      <c r="L37" s="80">
        <f t="shared" si="15"/>
        <v>9.7199708314447061E-2</v>
      </c>
      <c r="M37" s="178">
        <f>+K37*1.025</f>
        <v>25405.573760688596</v>
      </c>
      <c r="N37" s="80">
        <f t="shared" si="16"/>
        <v>9.6599139774481355E-2</v>
      </c>
      <c r="O37" s="178">
        <f>+M37*1.025</f>
        <v>26040.71310470581</v>
      </c>
      <c r="P37" s="80">
        <f t="shared" si="17"/>
        <v>9.6447085572984481E-2</v>
      </c>
      <c r="Q37" s="178">
        <f>+O37*1.025</f>
        <v>26691.730932323451</v>
      </c>
      <c r="R37" s="80">
        <f t="shared" si="18"/>
        <v>9.5669286495782976E-2</v>
      </c>
      <c r="S37" s="178">
        <f>+Q37*1.025</f>
        <v>27359.024205631536</v>
      </c>
      <c r="T37" s="80">
        <f t="shared" si="19"/>
        <v>9.5327610472583757E-2</v>
      </c>
      <c r="U37" s="178">
        <f>+S37*1.025</f>
        <v>28042.999810772322</v>
      </c>
      <c r="V37" s="80">
        <f t="shared" si="20"/>
        <v>9.5061016307702792E-2</v>
      </c>
    </row>
    <row r="38" spans="1:22" ht="12.75" customHeight="1">
      <c r="A38" s="2" t="s">
        <v>386</v>
      </c>
      <c r="B38" s="35"/>
      <c r="C38" s="178">
        <v>6468</v>
      </c>
      <c r="D38" s="80">
        <f t="shared" si="11"/>
        <v>2.9473684210526315E-2</v>
      </c>
      <c r="E38" s="178">
        <f t="shared" ref="E38:E39" si="21">+C38*1.112</f>
        <v>7192.4160000000011</v>
      </c>
      <c r="F38" s="80">
        <f t="shared" si="12"/>
        <v>3.1407930131004375E-2</v>
      </c>
      <c r="G38" s="178">
        <f>+E38*1.035</f>
        <v>7444.150560000001</v>
      </c>
      <c r="H38" s="80">
        <f t="shared" si="13"/>
        <v>3.1277943529411767E-2</v>
      </c>
      <c r="I38" s="178">
        <f>+G38*1.032</f>
        <v>7682.3633779200009</v>
      </c>
      <c r="J38" s="80">
        <f t="shared" si="14"/>
        <v>3.1102685740566804E-2</v>
      </c>
      <c r="K38" s="178">
        <f>+I38*1.025</f>
        <v>7874.4224623680002</v>
      </c>
      <c r="L38" s="80">
        <f t="shared" si="15"/>
        <v>3.0880088087717649E-2</v>
      </c>
      <c r="M38" s="178">
        <f>+K38*1.025</f>
        <v>8071.2830239271998</v>
      </c>
      <c r="N38" s="80">
        <f t="shared" si="16"/>
        <v>3.0689289064361976E-2</v>
      </c>
      <c r="O38" s="178">
        <f>+M38*1.025</f>
        <v>8273.0650995253782</v>
      </c>
      <c r="P38" s="80">
        <f t="shared" si="17"/>
        <v>3.0640981850093993E-2</v>
      </c>
      <c r="Q38" s="178">
        <f>+O38*1.025</f>
        <v>8479.8917270135116</v>
      </c>
      <c r="R38" s="80">
        <f t="shared" si="18"/>
        <v>3.0393877157754521E-2</v>
      </c>
      <c r="S38" s="178">
        <f>+Q38*1.025</f>
        <v>8691.889020188848</v>
      </c>
      <c r="T38" s="80">
        <f t="shared" si="19"/>
        <v>3.0285327596476824E-2</v>
      </c>
      <c r="U38" s="178">
        <f>+S38*1.025</f>
        <v>8909.1862456935687</v>
      </c>
      <c r="V38" s="80">
        <f t="shared" si="20"/>
        <v>3.020063134133413E-2</v>
      </c>
    </row>
    <row r="39" spans="1:22" ht="12.75" customHeight="1">
      <c r="A39" s="2" t="s">
        <v>387</v>
      </c>
      <c r="B39" s="35"/>
      <c r="C39" s="178"/>
      <c r="D39" s="80">
        <f t="shared" si="11"/>
        <v>0</v>
      </c>
      <c r="E39" s="178">
        <f t="shared" si="21"/>
        <v>0</v>
      </c>
      <c r="F39" s="80">
        <f t="shared" si="12"/>
        <v>0</v>
      </c>
      <c r="G39" s="178">
        <f>+E39*1.035</f>
        <v>0</v>
      </c>
      <c r="H39" s="80">
        <f t="shared" si="13"/>
        <v>0</v>
      </c>
      <c r="I39" s="178">
        <f>+G39*1.032</f>
        <v>0</v>
      </c>
      <c r="J39" s="80">
        <f t="shared" si="14"/>
        <v>0</v>
      </c>
      <c r="K39" s="178">
        <f>+I39*1.025</f>
        <v>0</v>
      </c>
      <c r="L39" s="80">
        <f t="shared" si="15"/>
        <v>0</v>
      </c>
      <c r="M39" s="178">
        <f>+K39*1.025</f>
        <v>0</v>
      </c>
      <c r="N39" s="80">
        <f t="shared" si="16"/>
        <v>0</v>
      </c>
      <c r="O39" s="178">
        <f>+M39*1.025</f>
        <v>0</v>
      </c>
      <c r="P39" s="80">
        <f t="shared" si="17"/>
        <v>0</v>
      </c>
      <c r="Q39" s="178">
        <f>+O39*1.025</f>
        <v>0</v>
      </c>
      <c r="R39" s="80">
        <f t="shared" si="18"/>
        <v>0</v>
      </c>
      <c r="S39" s="178">
        <f>+Q39*1.025</f>
        <v>0</v>
      </c>
      <c r="T39" s="80">
        <f t="shared" si="19"/>
        <v>0</v>
      </c>
      <c r="U39" s="178">
        <f>+S39*1.025</f>
        <v>0</v>
      </c>
      <c r="V39" s="80">
        <f t="shared" si="20"/>
        <v>0</v>
      </c>
    </row>
    <row r="40" spans="1:22" ht="12.75" customHeight="1">
      <c r="A40" s="2" t="s">
        <v>388</v>
      </c>
      <c r="B40" s="35"/>
      <c r="C40" s="178"/>
      <c r="D40" s="80">
        <f t="shared" si="11"/>
        <v>0</v>
      </c>
      <c r="E40" s="178"/>
      <c r="F40" s="80">
        <f t="shared" si="12"/>
        <v>0</v>
      </c>
      <c r="G40" s="178"/>
      <c r="H40" s="80">
        <f t="shared" si="13"/>
        <v>0</v>
      </c>
      <c r="I40" s="178"/>
      <c r="J40" s="80">
        <f t="shared" si="14"/>
        <v>0</v>
      </c>
      <c r="K40" s="178"/>
      <c r="L40" s="80">
        <f t="shared" si="15"/>
        <v>0</v>
      </c>
      <c r="M40" s="178"/>
      <c r="N40" s="80">
        <f t="shared" si="16"/>
        <v>0</v>
      </c>
      <c r="O40" s="178"/>
      <c r="P40" s="80">
        <f t="shared" si="17"/>
        <v>0</v>
      </c>
      <c r="Q40" s="178"/>
      <c r="R40" s="80">
        <f t="shared" si="18"/>
        <v>0</v>
      </c>
      <c r="S40" s="178"/>
      <c r="T40" s="80">
        <f t="shared" si="19"/>
        <v>0</v>
      </c>
      <c r="U40" s="178"/>
      <c r="V40" s="80">
        <f t="shared" si="20"/>
        <v>0</v>
      </c>
    </row>
    <row r="41" spans="1:22" ht="12.75" customHeight="1">
      <c r="A41" s="2" t="s">
        <v>389</v>
      </c>
      <c r="B41" s="35"/>
      <c r="C41" s="178">
        <f>C37*12.4%</f>
        <v>2524.5160000000001</v>
      </c>
      <c r="D41" s="80">
        <f t="shared" si="11"/>
        <v>1.1503832308042835E-2</v>
      </c>
      <c r="E41" s="178">
        <f>E37*12.4%</f>
        <v>2807.2617920000002</v>
      </c>
      <c r="F41" s="80">
        <f t="shared" si="12"/>
        <v>1.2258785117903931E-2</v>
      </c>
      <c r="G41" s="178">
        <f>G37*12.4%</f>
        <v>2905.5159547200001</v>
      </c>
      <c r="H41" s="80">
        <f t="shared" si="13"/>
        <v>1.2208050229915966E-2</v>
      </c>
      <c r="I41" s="178">
        <f>I37*12.4%</f>
        <v>2998.4924652710406</v>
      </c>
      <c r="J41" s="80">
        <f t="shared" si="14"/>
        <v>1.2139645608384779E-2</v>
      </c>
      <c r="K41" s="178">
        <f>K37*12.4%</f>
        <v>3073.4547769028159</v>
      </c>
      <c r="L41" s="80">
        <f t="shared" si="15"/>
        <v>1.2052763830991435E-2</v>
      </c>
      <c r="M41" s="178">
        <f>M37*12.4%</f>
        <v>3150.2911463253859</v>
      </c>
      <c r="N41" s="80">
        <f t="shared" si="16"/>
        <v>1.1978293332035688E-2</v>
      </c>
      <c r="O41" s="178">
        <f>O37*12.4%</f>
        <v>3229.0484249835204</v>
      </c>
      <c r="P41" s="80">
        <f t="shared" si="17"/>
        <v>1.1959438611050076E-2</v>
      </c>
      <c r="Q41" s="178">
        <f>Q37*12.4%</f>
        <v>3309.7746356081079</v>
      </c>
      <c r="R41" s="80">
        <f t="shared" si="18"/>
        <v>1.1862991525477089E-2</v>
      </c>
      <c r="S41" s="178">
        <f>S37*12.4%</f>
        <v>3392.5190014983104</v>
      </c>
      <c r="T41" s="80">
        <f t="shared" si="19"/>
        <v>1.1820623698600385E-2</v>
      </c>
      <c r="U41" s="178">
        <f>U37*12.4%</f>
        <v>3477.3319765357678</v>
      </c>
      <c r="V41" s="80">
        <f t="shared" si="20"/>
        <v>1.1787566022155145E-2</v>
      </c>
    </row>
    <row r="42" spans="1:22" ht="12.75" customHeight="1">
      <c r="A42" s="2" t="s">
        <v>390</v>
      </c>
      <c r="B42" s="35"/>
      <c r="C42" s="178"/>
      <c r="D42" s="80">
        <f t="shared" si="11"/>
        <v>0</v>
      </c>
      <c r="E42" s="178"/>
      <c r="F42" s="80">
        <f t="shared" si="12"/>
        <v>0</v>
      </c>
      <c r="G42" s="178"/>
      <c r="H42" s="80">
        <f t="shared" si="13"/>
        <v>0</v>
      </c>
      <c r="I42" s="178"/>
      <c r="J42" s="80">
        <f t="shared" si="14"/>
        <v>0</v>
      </c>
      <c r="K42" s="178"/>
      <c r="L42" s="80">
        <f t="shared" si="15"/>
        <v>0</v>
      </c>
      <c r="M42" s="178"/>
      <c r="N42" s="80">
        <f t="shared" si="16"/>
        <v>0</v>
      </c>
      <c r="O42" s="178"/>
      <c r="P42" s="80">
        <f t="shared" si="17"/>
        <v>0</v>
      </c>
      <c r="Q42" s="178"/>
      <c r="R42" s="80">
        <f t="shared" si="18"/>
        <v>0</v>
      </c>
      <c r="S42" s="178"/>
      <c r="T42" s="80">
        <f t="shared" si="19"/>
        <v>0</v>
      </c>
      <c r="U42" s="178"/>
      <c r="V42" s="80">
        <f t="shared" si="20"/>
        <v>0</v>
      </c>
    </row>
    <row r="43" spans="1:22" ht="12.75" customHeight="1">
      <c r="A43" s="2" t="s">
        <v>391</v>
      </c>
      <c r="B43" s="35"/>
      <c r="C43" s="178"/>
      <c r="D43" s="80">
        <f t="shared" si="11"/>
        <v>0</v>
      </c>
      <c r="E43" s="178"/>
      <c r="F43" s="80">
        <f t="shared" si="12"/>
        <v>0</v>
      </c>
      <c r="G43" s="178"/>
      <c r="H43" s="80">
        <f t="shared" si="13"/>
        <v>0</v>
      </c>
      <c r="I43" s="178"/>
      <c r="J43" s="80">
        <f t="shared" si="14"/>
        <v>0</v>
      </c>
      <c r="K43" s="178"/>
      <c r="L43" s="80">
        <f t="shared" si="15"/>
        <v>0</v>
      </c>
      <c r="M43" s="178"/>
      <c r="N43" s="80">
        <f t="shared" si="16"/>
        <v>0</v>
      </c>
      <c r="O43" s="178"/>
      <c r="P43" s="80">
        <f t="shared" si="17"/>
        <v>0</v>
      </c>
      <c r="Q43" s="178"/>
      <c r="R43" s="80">
        <f t="shared" si="18"/>
        <v>0</v>
      </c>
      <c r="S43" s="178"/>
      <c r="T43" s="80">
        <f t="shared" si="19"/>
        <v>0</v>
      </c>
      <c r="U43" s="178"/>
      <c r="V43" s="80">
        <f t="shared" si="20"/>
        <v>0</v>
      </c>
    </row>
    <row r="44" spans="1:22" ht="12.75" customHeight="1">
      <c r="A44" s="2" t="s">
        <v>392</v>
      </c>
      <c r="B44" s="35"/>
      <c r="C44" s="178"/>
      <c r="D44" s="80">
        <f t="shared" si="11"/>
        <v>0</v>
      </c>
      <c r="E44" s="178"/>
      <c r="F44" s="80">
        <f t="shared" si="12"/>
        <v>0</v>
      </c>
      <c r="G44" s="178"/>
      <c r="H44" s="80">
        <f t="shared" si="13"/>
        <v>0</v>
      </c>
      <c r="I44" s="178"/>
      <c r="J44" s="80">
        <f t="shared" si="14"/>
        <v>0</v>
      </c>
      <c r="K44" s="178"/>
      <c r="L44" s="80">
        <f t="shared" si="15"/>
        <v>0</v>
      </c>
      <c r="M44" s="178"/>
      <c r="N44" s="80">
        <f t="shared" si="16"/>
        <v>0</v>
      </c>
      <c r="O44" s="178"/>
      <c r="P44" s="80">
        <f t="shared" si="17"/>
        <v>0</v>
      </c>
      <c r="Q44" s="178"/>
      <c r="R44" s="80">
        <f t="shared" si="18"/>
        <v>0</v>
      </c>
      <c r="S44" s="178"/>
      <c r="T44" s="80">
        <f t="shared" si="19"/>
        <v>0</v>
      </c>
      <c r="U44" s="178"/>
      <c r="V44" s="80">
        <f t="shared" si="20"/>
        <v>0</v>
      </c>
    </row>
    <row r="45" spans="1:22" ht="12.75" customHeight="1">
      <c r="A45" s="2" t="s">
        <v>393</v>
      </c>
      <c r="B45" s="35"/>
      <c r="C45" s="181">
        <v>1914</v>
      </c>
      <c r="D45" s="80">
        <f t="shared" si="11"/>
        <v>8.7218045112781948E-3</v>
      </c>
      <c r="E45" s="181">
        <v>1914</v>
      </c>
      <c r="F45" s="80">
        <f t="shared" si="12"/>
        <v>8.3580786026200872E-3</v>
      </c>
      <c r="G45" s="181">
        <v>1914</v>
      </c>
      <c r="H45" s="80">
        <f t="shared" si="13"/>
        <v>8.0420168067226894E-3</v>
      </c>
      <c r="I45" s="181">
        <v>1914</v>
      </c>
      <c r="J45" s="80">
        <f t="shared" si="14"/>
        <v>7.7489878542510125E-3</v>
      </c>
      <c r="K45" s="181">
        <v>1914</v>
      </c>
      <c r="L45" s="80">
        <f t="shared" si="15"/>
        <v>7.5058823529411765E-3</v>
      </c>
      <c r="M45" s="181">
        <v>1914</v>
      </c>
      <c r="N45" s="80">
        <f t="shared" si="16"/>
        <v>7.2775665399239546E-3</v>
      </c>
      <c r="O45" s="181">
        <v>1914</v>
      </c>
      <c r="P45" s="80">
        <f t="shared" si="17"/>
        <v>7.0888888888888885E-3</v>
      </c>
      <c r="Q45" s="181">
        <v>1914</v>
      </c>
      <c r="R45" s="80">
        <f t="shared" si="18"/>
        <v>6.860215053763441E-3</v>
      </c>
      <c r="S45" s="181">
        <v>1914</v>
      </c>
      <c r="T45" s="80">
        <f t="shared" si="19"/>
        <v>6.6689895470383271E-3</v>
      </c>
      <c r="U45" s="181">
        <v>1914</v>
      </c>
      <c r="V45" s="80">
        <f t="shared" si="20"/>
        <v>6.4881355932203391E-3</v>
      </c>
    </row>
    <row r="46" spans="1:22" ht="12.75" customHeight="1">
      <c r="A46" s="1" t="s">
        <v>394</v>
      </c>
      <c r="B46" s="53"/>
      <c r="C46" s="82">
        <f>SUM(C36:C45)</f>
        <v>31265.516</v>
      </c>
      <c r="D46" s="83">
        <f t="shared" si="11"/>
        <v>0.14247216222374118</v>
      </c>
      <c r="E46" s="82">
        <f>SUM(E36:E45)</f>
        <v>34552.885792000001</v>
      </c>
      <c r="F46" s="83">
        <f t="shared" si="12"/>
        <v>0.15088596415720523</v>
      </c>
      <c r="G46" s="82">
        <f>SUM(G36:G45)</f>
        <v>35695.246794720006</v>
      </c>
      <c r="H46" s="83">
        <f t="shared" si="13"/>
        <v>0.14998002854924372</v>
      </c>
      <c r="I46" s="82">
        <f>SUM(I36:I45)</f>
        <v>36776.246692151042</v>
      </c>
      <c r="J46" s="83">
        <f t="shared" si="14"/>
        <v>0.14889168701275726</v>
      </c>
      <c r="K46" s="82">
        <f>SUM(K36:K45)</f>
        <v>37647.802859454816</v>
      </c>
      <c r="L46" s="83">
        <f t="shared" si="15"/>
        <v>0.14763844258609732</v>
      </c>
      <c r="M46" s="82">
        <f>SUM(M36:M45)</f>
        <v>38541.147930941181</v>
      </c>
      <c r="N46" s="83">
        <f t="shared" si="16"/>
        <v>0.14654428871080297</v>
      </c>
      <c r="O46" s="82">
        <f>SUM(O36:O45)</f>
        <v>39456.826629214709</v>
      </c>
      <c r="P46" s="83">
        <f t="shared" si="17"/>
        <v>0.14613639492301744</v>
      </c>
      <c r="Q46" s="82">
        <f>SUM(Q36:Q45)</f>
        <v>40395.397294945069</v>
      </c>
      <c r="R46" s="83">
        <f t="shared" si="18"/>
        <v>0.14478637023277802</v>
      </c>
      <c r="S46" s="82">
        <f>SUM(S36:S45)</f>
        <v>41357.432227318692</v>
      </c>
      <c r="T46" s="83">
        <f t="shared" si="19"/>
        <v>0.14410255131469926</v>
      </c>
      <c r="U46" s="82">
        <f>SUM(U36:U45)</f>
        <v>42343.518033001659</v>
      </c>
      <c r="V46" s="83">
        <f t="shared" si="20"/>
        <v>0.14353734926441242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366</v>
      </c>
      <c r="E50" s="86" t="str">
        <f>E6</f>
        <v>FY 2019-20</v>
      </c>
      <c r="F50" s="86" t="s">
        <v>366</v>
      </c>
      <c r="G50" s="86" t="str">
        <f>G6</f>
        <v>FY 2020-21</v>
      </c>
      <c r="H50" s="86" t="s">
        <v>366</v>
      </c>
      <c r="I50" s="86" t="str">
        <f>I6</f>
        <v>FY 2021-22</v>
      </c>
      <c r="J50" s="86" t="s">
        <v>366</v>
      </c>
      <c r="K50" s="86" t="str">
        <f>K6</f>
        <v>FY 2022-23</v>
      </c>
      <c r="L50" s="86" t="s">
        <v>366</v>
      </c>
      <c r="M50" s="86" t="str">
        <f>M6</f>
        <v>FY 2023-24</v>
      </c>
      <c r="N50" s="86" t="s">
        <v>366</v>
      </c>
      <c r="O50" s="86" t="str">
        <f>O6</f>
        <v>FY 2024-25</v>
      </c>
      <c r="P50" s="86" t="s">
        <v>366</v>
      </c>
      <c r="Q50" s="86" t="str">
        <f>Q6</f>
        <v>FY 2025-26</v>
      </c>
      <c r="R50" s="86" t="s">
        <v>366</v>
      </c>
      <c r="S50" s="86" t="str">
        <f>S6</f>
        <v>FY 2026-27</v>
      </c>
      <c r="T50" s="86" t="s">
        <v>366</v>
      </c>
      <c r="U50" s="86" t="str">
        <f>U6</f>
        <v>FY 2027-28</v>
      </c>
      <c r="V50" s="86" t="s">
        <v>366</v>
      </c>
    </row>
    <row r="51" spans="1:24" ht="12.75" customHeight="1">
      <c r="A51" s="1" t="s">
        <v>395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396</v>
      </c>
      <c r="B52" s="35"/>
      <c r="C52" s="178">
        <v>0</v>
      </c>
      <c r="D52" s="80">
        <f t="shared" ref="D52:D83" si="22">IFERROR(C52/C$28,0)</f>
        <v>0</v>
      </c>
      <c r="E52" s="178">
        <v>0</v>
      </c>
      <c r="F52" s="80">
        <f t="shared" ref="F52:F105" si="23">IFERROR(E52/E$28,0)</f>
        <v>0</v>
      </c>
      <c r="G52" s="178">
        <v>0</v>
      </c>
      <c r="H52" s="80">
        <f t="shared" ref="H52:H105" si="24">IFERROR(G52/G$28,0)</f>
        <v>0</v>
      </c>
      <c r="I52" s="178">
        <v>0</v>
      </c>
      <c r="J52" s="80">
        <f t="shared" ref="J52:J105" si="25">IFERROR(I52/I$28,0)</f>
        <v>0</v>
      </c>
      <c r="K52" s="178">
        <v>0</v>
      </c>
      <c r="L52" s="80">
        <f t="shared" ref="L52:L105" si="26">IFERROR(K52/K$28,0)</f>
        <v>0</v>
      </c>
      <c r="M52" s="178">
        <v>0</v>
      </c>
      <c r="N52" s="80">
        <f t="shared" ref="N52:N105" si="27">IFERROR(M52/M$28,0)</f>
        <v>0</v>
      </c>
      <c r="O52" s="178">
        <v>0</v>
      </c>
      <c r="P52" s="80">
        <f t="shared" ref="P52:P105" si="28">IFERROR(O52/O$28,0)</f>
        <v>0</v>
      </c>
      <c r="Q52" s="178">
        <v>0</v>
      </c>
      <c r="R52" s="80">
        <f t="shared" ref="R52:R105" si="29">IFERROR(Q52/Q$28,0)</f>
        <v>0</v>
      </c>
      <c r="S52" s="178">
        <v>0</v>
      </c>
      <c r="T52" s="80">
        <f t="shared" ref="T52:T105" si="30">IFERROR(S52/S$28,0)</f>
        <v>0</v>
      </c>
      <c r="U52" s="178">
        <v>0</v>
      </c>
      <c r="V52" s="80">
        <f t="shared" ref="V52:V105" si="31">IFERROR(U52/U$28,0)</f>
        <v>0</v>
      </c>
      <c r="X52" s="192"/>
    </row>
    <row r="53" spans="1:24" ht="12.75" customHeight="1">
      <c r="A53" s="2" t="s">
        <v>397</v>
      </c>
      <c r="B53" s="35"/>
      <c r="C53" s="178">
        <v>0</v>
      </c>
      <c r="D53" s="80">
        <f t="shared" si="22"/>
        <v>0</v>
      </c>
      <c r="E53" s="178">
        <v>0</v>
      </c>
      <c r="F53" s="80">
        <f t="shared" si="23"/>
        <v>0</v>
      </c>
      <c r="G53" s="178">
        <v>0</v>
      </c>
      <c r="H53" s="80">
        <f t="shared" si="24"/>
        <v>0</v>
      </c>
      <c r="I53" s="178">
        <v>0</v>
      </c>
      <c r="J53" s="80">
        <f t="shared" si="25"/>
        <v>0</v>
      </c>
      <c r="K53" s="178">
        <v>0</v>
      </c>
      <c r="L53" s="80">
        <f t="shared" si="26"/>
        <v>0</v>
      </c>
      <c r="M53" s="178">
        <v>0</v>
      </c>
      <c r="N53" s="80">
        <f t="shared" si="27"/>
        <v>0</v>
      </c>
      <c r="O53" s="178">
        <v>0</v>
      </c>
      <c r="P53" s="80">
        <f t="shared" si="28"/>
        <v>0</v>
      </c>
      <c r="Q53" s="178">
        <v>0</v>
      </c>
      <c r="R53" s="80">
        <f t="shared" si="29"/>
        <v>0</v>
      </c>
      <c r="S53" s="178">
        <v>0</v>
      </c>
      <c r="T53" s="80">
        <f t="shared" si="30"/>
        <v>0</v>
      </c>
      <c r="U53" s="178">
        <v>0</v>
      </c>
      <c r="V53" s="80">
        <f t="shared" si="31"/>
        <v>0</v>
      </c>
      <c r="X53" s="192"/>
    </row>
    <row r="54" spans="1:24" ht="12.75" customHeight="1">
      <c r="A54" s="2" t="s">
        <v>398</v>
      </c>
      <c r="B54" s="35"/>
      <c r="C54" s="178">
        <v>153.61500000000001</v>
      </c>
      <c r="D54" s="80">
        <f t="shared" si="22"/>
        <v>6.9999999999999999E-4</v>
      </c>
      <c r="E54" s="178">
        <v>160.29999999999998</v>
      </c>
      <c r="F54" s="80">
        <f t="shared" si="23"/>
        <v>6.9999999999999988E-4</v>
      </c>
      <c r="G54" s="178">
        <v>166.6</v>
      </c>
      <c r="H54" s="80">
        <f t="shared" si="24"/>
        <v>6.9999999999999999E-4</v>
      </c>
      <c r="I54" s="178">
        <v>172.9</v>
      </c>
      <c r="J54" s="80">
        <f t="shared" si="25"/>
        <v>6.9999999999999999E-4</v>
      </c>
      <c r="K54" s="178">
        <v>178.5</v>
      </c>
      <c r="L54" s="80">
        <f t="shared" si="26"/>
        <v>6.9999999999999999E-4</v>
      </c>
      <c r="M54" s="178">
        <v>184.1</v>
      </c>
      <c r="N54" s="80">
        <f t="shared" si="27"/>
        <v>6.9999999999999999E-4</v>
      </c>
      <c r="O54" s="178">
        <v>189</v>
      </c>
      <c r="P54" s="80">
        <f t="shared" si="28"/>
        <v>6.9999999999999999E-4</v>
      </c>
      <c r="Q54" s="178">
        <v>195.30000000000004</v>
      </c>
      <c r="R54" s="80">
        <f t="shared" si="29"/>
        <v>7.000000000000001E-4</v>
      </c>
      <c r="S54" s="178">
        <v>200.89999999999998</v>
      </c>
      <c r="T54" s="80">
        <f t="shared" si="30"/>
        <v>6.9999999999999988E-4</v>
      </c>
      <c r="U54" s="178">
        <v>206.5</v>
      </c>
      <c r="V54" s="80">
        <f t="shared" si="31"/>
        <v>6.9999999999999999E-4</v>
      </c>
      <c r="X54" s="192"/>
    </row>
    <row r="55" spans="1:24" ht="12.75" customHeight="1">
      <c r="A55" s="2" t="s">
        <v>399</v>
      </c>
      <c r="B55" s="35"/>
      <c r="C55" s="178"/>
      <c r="D55" s="80">
        <f t="shared" si="22"/>
        <v>0</v>
      </c>
      <c r="E55" s="178"/>
      <c r="F55" s="80">
        <f t="shared" si="23"/>
        <v>0</v>
      </c>
      <c r="G55" s="178"/>
      <c r="H55" s="80">
        <f t="shared" si="24"/>
        <v>0</v>
      </c>
      <c r="I55" s="178"/>
      <c r="J55" s="80">
        <f t="shared" si="25"/>
        <v>0</v>
      </c>
      <c r="K55" s="178"/>
      <c r="L55" s="80">
        <f t="shared" si="26"/>
        <v>0</v>
      </c>
      <c r="M55" s="178"/>
      <c r="N55" s="80">
        <f t="shared" si="27"/>
        <v>0</v>
      </c>
      <c r="O55" s="178"/>
      <c r="P55" s="80">
        <f t="shared" si="28"/>
        <v>0</v>
      </c>
      <c r="Q55" s="178"/>
      <c r="R55" s="80">
        <f t="shared" si="29"/>
        <v>0</v>
      </c>
      <c r="S55" s="178"/>
      <c r="T55" s="80">
        <f t="shared" si="30"/>
        <v>0</v>
      </c>
      <c r="U55" s="178"/>
      <c r="V55" s="80">
        <f t="shared" si="31"/>
        <v>0</v>
      </c>
      <c r="X55" s="192"/>
    </row>
    <row r="56" spans="1:24" ht="12.75" customHeight="1">
      <c r="A56" s="2" t="s">
        <v>400</v>
      </c>
      <c r="B56" s="35"/>
      <c r="C56" s="178">
        <v>111.91950000000001</v>
      </c>
      <c r="D56" s="80">
        <f t="shared" si="22"/>
        <v>5.1000000000000004E-4</v>
      </c>
      <c r="E56" s="178">
        <v>116.78999999999999</v>
      </c>
      <c r="F56" s="80">
        <f t="shared" si="23"/>
        <v>5.0999999999999993E-4</v>
      </c>
      <c r="G56" s="178">
        <v>121.38000000000001</v>
      </c>
      <c r="H56" s="80">
        <f t="shared" si="24"/>
        <v>5.1000000000000004E-4</v>
      </c>
      <c r="I56" s="178">
        <v>125.97000000000001</v>
      </c>
      <c r="J56" s="80">
        <f t="shared" si="25"/>
        <v>5.1000000000000004E-4</v>
      </c>
      <c r="K56" s="178">
        <v>130.05000000000001</v>
      </c>
      <c r="L56" s="80">
        <f t="shared" si="26"/>
        <v>5.1000000000000004E-4</v>
      </c>
      <c r="M56" s="178">
        <v>134.13</v>
      </c>
      <c r="N56" s="80">
        <f t="shared" si="27"/>
        <v>5.1000000000000004E-4</v>
      </c>
      <c r="O56" s="178">
        <v>137.70000000000002</v>
      </c>
      <c r="P56" s="80">
        <f t="shared" si="28"/>
        <v>5.1000000000000004E-4</v>
      </c>
      <c r="Q56" s="178">
        <v>142.29000000000002</v>
      </c>
      <c r="R56" s="80">
        <f t="shared" si="29"/>
        <v>5.1000000000000004E-4</v>
      </c>
      <c r="S56" s="178">
        <v>146.37</v>
      </c>
      <c r="T56" s="80">
        <f t="shared" si="30"/>
        <v>5.1000000000000004E-4</v>
      </c>
      <c r="U56" s="178">
        <v>150.44999999999999</v>
      </c>
      <c r="V56" s="80">
        <f t="shared" si="31"/>
        <v>5.0999999999999993E-4</v>
      </c>
      <c r="X56" s="192"/>
    </row>
    <row r="57" spans="1:24" ht="12.75" customHeight="1">
      <c r="A57" s="2" t="s">
        <v>401</v>
      </c>
      <c r="B57" s="35"/>
      <c r="C57" s="178">
        <v>0</v>
      </c>
      <c r="D57" s="80">
        <f t="shared" si="22"/>
        <v>0</v>
      </c>
      <c r="E57" s="178">
        <v>0</v>
      </c>
      <c r="F57" s="80">
        <f t="shared" si="23"/>
        <v>0</v>
      </c>
      <c r="G57" s="178">
        <v>0</v>
      </c>
      <c r="H57" s="80">
        <f t="shared" si="24"/>
        <v>0</v>
      </c>
      <c r="I57" s="178">
        <v>0</v>
      </c>
      <c r="J57" s="80">
        <f t="shared" si="25"/>
        <v>0</v>
      </c>
      <c r="K57" s="178">
        <v>0</v>
      </c>
      <c r="L57" s="80">
        <f t="shared" si="26"/>
        <v>0</v>
      </c>
      <c r="M57" s="178">
        <v>0</v>
      </c>
      <c r="N57" s="80">
        <f t="shared" si="27"/>
        <v>0</v>
      </c>
      <c r="O57" s="178">
        <v>0</v>
      </c>
      <c r="P57" s="80">
        <f t="shared" si="28"/>
        <v>0</v>
      </c>
      <c r="Q57" s="178">
        <v>0</v>
      </c>
      <c r="R57" s="80">
        <f t="shared" si="29"/>
        <v>0</v>
      </c>
      <c r="S57" s="178">
        <v>0</v>
      </c>
      <c r="T57" s="80">
        <f t="shared" si="30"/>
        <v>0</v>
      </c>
      <c r="U57" s="178">
        <v>0</v>
      </c>
      <c r="V57" s="80">
        <f t="shared" si="31"/>
        <v>0</v>
      </c>
      <c r="X57" s="192"/>
    </row>
    <row r="58" spans="1:24" ht="12.75" customHeight="1">
      <c r="A58" s="2" t="s">
        <v>402</v>
      </c>
      <c r="B58" s="35"/>
      <c r="C58" s="178">
        <v>0</v>
      </c>
      <c r="D58" s="80">
        <f t="shared" si="22"/>
        <v>0</v>
      </c>
      <c r="E58" s="178">
        <v>0</v>
      </c>
      <c r="F58" s="80">
        <f t="shared" si="23"/>
        <v>0</v>
      </c>
      <c r="G58" s="178">
        <v>0</v>
      </c>
      <c r="H58" s="80">
        <f t="shared" si="24"/>
        <v>0</v>
      </c>
      <c r="I58" s="178">
        <v>0</v>
      </c>
      <c r="J58" s="80">
        <f t="shared" si="25"/>
        <v>0</v>
      </c>
      <c r="K58" s="178">
        <v>0</v>
      </c>
      <c r="L58" s="80">
        <f t="shared" si="26"/>
        <v>0</v>
      </c>
      <c r="M58" s="178">
        <v>0</v>
      </c>
      <c r="N58" s="80">
        <f t="shared" si="27"/>
        <v>0</v>
      </c>
      <c r="O58" s="178">
        <v>0</v>
      </c>
      <c r="P58" s="80">
        <f t="shared" si="28"/>
        <v>0</v>
      </c>
      <c r="Q58" s="178">
        <v>0</v>
      </c>
      <c r="R58" s="80">
        <f t="shared" si="29"/>
        <v>0</v>
      </c>
      <c r="S58" s="178">
        <v>0</v>
      </c>
      <c r="T58" s="80">
        <f t="shared" si="30"/>
        <v>0</v>
      </c>
      <c r="U58" s="178">
        <v>0</v>
      </c>
      <c r="V58" s="80">
        <f t="shared" si="31"/>
        <v>0</v>
      </c>
      <c r="X58" s="192"/>
    </row>
    <row r="59" spans="1:24" ht="12.75" customHeight="1">
      <c r="A59" s="2" t="s">
        <v>403</v>
      </c>
      <c r="B59" s="35"/>
      <c r="C59" s="178"/>
      <c r="D59" s="80">
        <f t="shared" si="22"/>
        <v>0</v>
      </c>
      <c r="E59" s="178"/>
      <c r="F59" s="80">
        <f t="shared" si="23"/>
        <v>0</v>
      </c>
      <c r="G59" s="178"/>
      <c r="H59" s="80">
        <f t="shared" si="24"/>
        <v>0</v>
      </c>
      <c r="I59" s="178"/>
      <c r="J59" s="80">
        <f t="shared" si="25"/>
        <v>0</v>
      </c>
      <c r="K59" s="178"/>
      <c r="L59" s="80">
        <f t="shared" si="26"/>
        <v>0</v>
      </c>
      <c r="M59" s="178"/>
      <c r="N59" s="80">
        <f t="shared" si="27"/>
        <v>0</v>
      </c>
      <c r="O59" s="178"/>
      <c r="P59" s="80">
        <f t="shared" si="28"/>
        <v>0</v>
      </c>
      <c r="Q59" s="178"/>
      <c r="R59" s="80">
        <f t="shared" si="29"/>
        <v>0</v>
      </c>
      <c r="S59" s="178"/>
      <c r="T59" s="80">
        <f t="shared" si="30"/>
        <v>0</v>
      </c>
      <c r="U59" s="178"/>
      <c r="V59" s="80">
        <f t="shared" si="31"/>
        <v>0</v>
      </c>
      <c r="X59" s="192"/>
    </row>
    <row r="60" spans="1:24" ht="12.75" customHeight="1">
      <c r="A60" s="2" t="s">
        <v>404</v>
      </c>
      <c r="B60" s="35"/>
      <c r="C60" s="178">
        <v>0</v>
      </c>
      <c r="D60" s="80">
        <f t="shared" si="22"/>
        <v>0</v>
      </c>
      <c r="E60" s="178">
        <v>0</v>
      </c>
      <c r="F60" s="80">
        <f t="shared" si="23"/>
        <v>0</v>
      </c>
      <c r="G60" s="178">
        <v>0</v>
      </c>
      <c r="H60" s="80">
        <f t="shared" si="24"/>
        <v>0</v>
      </c>
      <c r="I60" s="178">
        <v>0</v>
      </c>
      <c r="J60" s="80">
        <f t="shared" si="25"/>
        <v>0</v>
      </c>
      <c r="K60" s="178">
        <v>0</v>
      </c>
      <c r="L60" s="80">
        <f t="shared" si="26"/>
        <v>0</v>
      </c>
      <c r="M60" s="178">
        <v>0</v>
      </c>
      <c r="N60" s="80">
        <f t="shared" si="27"/>
        <v>0</v>
      </c>
      <c r="O60" s="178">
        <v>0</v>
      </c>
      <c r="P60" s="80">
        <f t="shared" si="28"/>
        <v>0</v>
      </c>
      <c r="Q60" s="178">
        <v>0</v>
      </c>
      <c r="R60" s="80">
        <f t="shared" si="29"/>
        <v>0</v>
      </c>
      <c r="S60" s="178">
        <v>0</v>
      </c>
      <c r="T60" s="80">
        <f t="shared" si="30"/>
        <v>0</v>
      </c>
      <c r="U60" s="178">
        <v>0</v>
      </c>
      <c r="V60" s="80">
        <f t="shared" si="31"/>
        <v>0</v>
      </c>
      <c r="X60" s="192"/>
    </row>
    <row r="61" spans="1:24" ht="12.75" customHeight="1">
      <c r="A61" s="2" t="s">
        <v>405</v>
      </c>
      <c r="B61" s="35"/>
      <c r="C61" s="178">
        <v>0</v>
      </c>
      <c r="D61" s="80">
        <f t="shared" si="22"/>
        <v>0</v>
      </c>
      <c r="E61" s="178">
        <v>0</v>
      </c>
      <c r="F61" s="80">
        <f t="shared" si="23"/>
        <v>0</v>
      </c>
      <c r="G61" s="178">
        <v>0</v>
      </c>
      <c r="H61" s="80">
        <f t="shared" si="24"/>
        <v>0</v>
      </c>
      <c r="I61" s="178">
        <v>0</v>
      </c>
      <c r="J61" s="80">
        <f t="shared" si="25"/>
        <v>0</v>
      </c>
      <c r="K61" s="178">
        <v>0</v>
      </c>
      <c r="L61" s="80">
        <f t="shared" si="26"/>
        <v>0</v>
      </c>
      <c r="M61" s="178">
        <v>0</v>
      </c>
      <c r="N61" s="80">
        <f t="shared" si="27"/>
        <v>0</v>
      </c>
      <c r="O61" s="178">
        <v>0</v>
      </c>
      <c r="P61" s="80">
        <f t="shared" si="28"/>
        <v>0</v>
      </c>
      <c r="Q61" s="178">
        <v>0</v>
      </c>
      <c r="R61" s="80">
        <f t="shared" si="29"/>
        <v>0</v>
      </c>
      <c r="S61" s="178">
        <v>0</v>
      </c>
      <c r="T61" s="80">
        <f t="shared" si="30"/>
        <v>0</v>
      </c>
      <c r="U61" s="178">
        <v>0</v>
      </c>
      <c r="V61" s="80">
        <f t="shared" si="31"/>
        <v>0</v>
      </c>
      <c r="X61" s="192"/>
    </row>
    <row r="62" spans="1:24" ht="12.75" customHeight="1">
      <c r="A62" s="2" t="s">
        <v>406</v>
      </c>
      <c r="B62" s="35"/>
      <c r="C62" s="178">
        <v>0</v>
      </c>
      <c r="D62" s="80">
        <f t="shared" si="22"/>
        <v>0</v>
      </c>
      <c r="E62" s="178">
        <v>0</v>
      </c>
      <c r="F62" s="80">
        <f t="shared" si="23"/>
        <v>0</v>
      </c>
      <c r="G62" s="178">
        <v>0</v>
      </c>
      <c r="H62" s="80">
        <f t="shared" si="24"/>
        <v>0</v>
      </c>
      <c r="I62" s="178">
        <v>0</v>
      </c>
      <c r="J62" s="80">
        <f t="shared" si="25"/>
        <v>0</v>
      </c>
      <c r="K62" s="178">
        <v>0</v>
      </c>
      <c r="L62" s="80">
        <f t="shared" si="26"/>
        <v>0</v>
      </c>
      <c r="M62" s="178">
        <v>0</v>
      </c>
      <c r="N62" s="80">
        <f t="shared" si="27"/>
        <v>0</v>
      </c>
      <c r="O62" s="178">
        <v>0</v>
      </c>
      <c r="P62" s="80">
        <f t="shared" si="28"/>
        <v>0</v>
      </c>
      <c r="Q62" s="178">
        <v>0</v>
      </c>
      <c r="R62" s="80">
        <f t="shared" si="29"/>
        <v>0</v>
      </c>
      <c r="S62" s="178">
        <v>0</v>
      </c>
      <c r="T62" s="80">
        <f t="shared" si="30"/>
        <v>0</v>
      </c>
      <c r="U62" s="178">
        <v>0</v>
      </c>
      <c r="V62" s="80">
        <f t="shared" si="31"/>
        <v>0</v>
      </c>
      <c r="X62" s="192"/>
    </row>
    <row r="63" spans="1:24" ht="12.75" customHeight="1">
      <c r="A63" s="2" t="s">
        <v>407</v>
      </c>
      <c r="B63" s="35"/>
      <c r="C63" s="178">
        <v>2669.7584416847094</v>
      </c>
      <c r="D63" s="80">
        <f t="shared" si="22"/>
        <v>1.2165679843630482E-2</v>
      </c>
      <c r="E63" s="178">
        <v>2827.0716455396405</v>
      </c>
      <c r="F63" s="80">
        <f t="shared" si="23"/>
        <v>1.2345291028557382E-2</v>
      </c>
      <c r="G63" s="178">
        <v>2907.0786700998392</v>
      </c>
      <c r="H63" s="80">
        <f t="shared" si="24"/>
        <v>1.2214616260923693E-2</v>
      </c>
      <c r="I63" s="178">
        <v>3024.7572180846241</v>
      </c>
      <c r="J63" s="80">
        <f t="shared" si="25"/>
        <v>1.224598064001872E-2</v>
      </c>
      <c r="K63" s="178">
        <v>3113.1009389669825</v>
      </c>
      <c r="L63" s="80">
        <f t="shared" si="26"/>
        <v>1.2208238976341108E-2</v>
      </c>
      <c r="M63" s="178">
        <v>3216.1798841374907</v>
      </c>
      <c r="N63" s="80">
        <f t="shared" si="27"/>
        <v>1.2228820852233806E-2</v>
      </c>
      <c r="O63" s="178">
        <v>3308.5886091719631</v>
      </c>
      <c r="P63" s="80">
        <f t="shared" si="28"/>
        <v>1.2254031885822086E-2</v>
      </c>
      <c r="Q63" s="178">
        <v>3428.9155302655286</v>
      </c>
      <c r="R63" s="80">
        <f t="shared" si="29"/>
        <v>1.2290019821740246E-2</v>
      </c>
      <c r="S63" s="178">
        <v>3537.3119737867</v>
      </c>
      <c r="T63" s="80">
        <f t="shared" si="30"/>
        <v>1.2325128828525087E-2</v>
      </c>
      <c r="U63" s="178">
        <v>3646.9804996799089</v>
      </c>
      <c r="V63" s="80">
        <f t="shared" si="31"/>
        <v>1.236264576162681E-2</v>
      </c>
      <c r="X63" s="192"/>
    </row>
    <row r="64" spans="1:24" ht="12.75" customHeight="1">
      <c r="A64" s="2" t="s">
        <v>408</v>
      </c>
      <c r="B64" s="35"/>
      <c r="C64" s="178">
        <v>1053.3599999999999</v>
      </c>
      <c r="D64" s="80">
        <f t="shared" si="22"/>
        <v>4.7999999999999996E-3</v>
      </c>
      <c r="E64" s="178">
        <v>1099.1999999999998</v>
      </c>
      <c r="F64" s="80">
        <f t="shared" si="23"/>
        <v>4.7999999999999996E-3</v>
      </c>
      <c r="G64" s="178">
        <v>1142.3999999999999</v>
      </c>
      <c r="H64" s="80">
        <f t="shared" si="24"/>
        <v>4.7999999999999996E-3</v>
      </c>
      <c r="I64" s="178">
        <v>1185.5999999999999</v>
      </c>
      <c r="J64" s="80">
        <f t="shared" si="25"/>
        <v>4.7999999999999996E-3</v>
      </c>
      <c r="K64" s="178">
        <v>1224</v>
      </c>
      <c r="L64" s="80">
        <f t="shared" si="26"/>
        <v>4.7999999999999996E-3</v>
      </c>
      <c r="M64" s="178">
        <v>1262.3999999999999</v>
      </c>
      <c r="N64" s="80">
        <f t="shared" si="27"/>
        <v>4.7999999999999996E-3</v>
      </c>
      <c r="O64" s="178">
        <v>1296</v>
      </c>
      <c r="P64" s="80">
        <f t="shared" si="28"/>
        <v>4.7999999999999996E-3</v>
      </c>
      <c r="Q64" s="178">
        <v>1339.1999999999998</v>
      </c>
      <c r="R64" s="80">
        <f t="shared" si="29"/>
        <v>4.7999999999999996E-3</v>
      </c>
      <c r="S64" s="178">
        <v>1377.5999999999997</v>
      </c>
      <c r="T64" s="80">
        <f t="shared" si="30"/>
        <v>4.7999999999999987E-3</v>
      </c>
      <c r="U64" s="178">
        <v>1415.9999999999998</v>
      </c>
      <c r="V64" s="80">
        <f t="shared" si="31"/>
        <v>4.7999999999999996E-3</v>
      </c>
      <c r="X64" s="192"/>
    </row>
    <row r="65" spans="1:24" ht="12.75" customHeight="1">
      <c r="A65" s="2" t="s">
        <v>409</v>
      </c>
      <c r="B65" s="35"/>
      <c r="C65" s="178">
        <v>109.72500000000001</v>
      </c>
      <c r="D65" s="80">
        <f t="shared" si="22"/>
        <v>5.0000000000000001E-4</v>
      </c>
      <c r="E65" s="178">
        <v>114.49999999999999</v>
      </c>
      <c r="F65" s="80">
        <f t="shared" si="23"/>
        <v>4.999999999999999E-4</v>
      </c>
      <c r="G65" s="178">
        <v>119.00000000000001</v>
      </c>
      <c r="H65" s="80">
        <f t="shared" si="24"/>
        <v>5.0000000000000001E-4</v>
      </c>
      <c r="I65" s="178">
        <v>123.50000000000001</v>
      </c>
      <c r="J65" s="80">
        <f t="shared" si="25"/>
        <v>5.0000000000000001E-4</v>
      </c>
      <c r="K65" s="178">
        <v>127.5</v>
      </c>
      <c r="L65" s="80">
        <f t="shared" si="26"/>
        <v>5.0000000000000001E-4</v>
      </c>
      <c r="M65" s="178">
        <v>131.5</v>
      </c>
      <c r="N65" s="80">
        <f t="shared" si="27"/>
        <v>5.0000000000000001E-4</v>
      </c>
      <c r="O65" s="178">
        <v>135</v>
      </c>
      <c r="P65" s="80">
        <f t="shared" si="28"/>
        <v>5.0000000000000001E-4</v>
      </c>
      <c r="Q65" s="178">
        <v>139.50000000000003</v>
      </c>
      <c r="R65" s="80">
        <f t="shared" si="29"/>
        <v>5.0000000000000012E-4</v>
      </c>
      <c r="S65" s="178">
        <v>143.5</v>
      </c>
      <c r="T65" s="80">
        <f t="shared" si="30"/>
        <v>5.0000000000000001E-4</v>
      </c>
      <c r="U65" s="178">
        <v>147.49999999999997</v>
      </c>
      <c r="V65" s="80">
        <f t="shared" si="31"/>
        <v>4.999999999999999E-4</v>
      </c>
      <c r="X65" s="192"/>
    </row>
    <row r="66" spans="1:24" ht="12.75" customHeight="1">
      <c r="A66" s="2" t="s">
        <v>410</v>
      </c>
      <c r="B66" s="35"/>
      <c r="C66" s="178">
        <v>614.46</v>
      </c>
      <c r="D66" s="80">
        <f t="shared" si="22"/>
        <v>2.8E-3</v>
      </c>
      <c r="E66" s="178">
        <v>641.19999999999993</v>
      </c>
      <c r="F66" s="80">
        <f t="shared" si="23"/>
        <v>2.7999999999999995E-3</v>
      </c>
      <c r="G66" s="178">
        <v>666.4</v>
      </c>
      <c r="H66" s="80">
        <f t="shared" si="24"/>
        <v>2.8E-3</v>
      </c>
      <c r="I66" s="178">
        <v>691.6</v>
      </c>
      <c r="J66" s="80">
        <f t="shared" si="25"/>
        <v>2.8E-3</v>
      </c>
      <c r="K66" s="178">
        <v>714</v>
      </c>
      <c r="L66" s="80">
        <f t="shared" si="26"/>
        <v>2.8E-3</v>
      </c>
      <c r="M66" s="178">
        <v>736.4</v>
      </c>
      <c r="N66" s="80">
        <f t="shared" si="27"/>
        <v>2.8E-3</v>
      </c>
      <c r="O66" s="178">
        <v>756</v>
      </c>
      <c r="P66" s="80">
        <f t="shared" si="28"/>
        <v>2.8E-3</v>
      </c>
      <c r="Q66" s="178">
        <v>781.20000000000016</v>
      </c>
      <c r="R66" s="80">
        <f t="shared" si="29"/>
        <v>2.8000000000000004E-3</v>
      </c>
      <c r="S66" s="178">
        <v>803.59999999999991</v>
      </c>
      <c r="T66" s="80">
        <f t="shared" si="30"/>
        <v>2.7999999999999995E-3</v>
      </c>
      <c r="U66" s="178">
        <v>826</v>
      </c>
      <c r="V66" s="80">
        <f t="shared" si="31"/>
        <v>2.8E-3</v>
      </c>
      <c r="X66" s="192"/>
    </row>
    <row r="67" spans="1:24" ht="12.75" customHeight="1">
      <c r="A67" s="2" t="s">
        <v>411</v>
      </c>
      <c r="B67" s="35"/>
      <c r="C67" s="178">
        <v>3291.75</v>
      </c>
      <c r="D67" s="80">
        <f t="shared" si="22"/>
        <v>1.4999999999999999E-2</v>
      </c>
      <c r="E67" s="178">
        <v>3434.9999999999995</v>
      </c>
      <c r="F67" s="80">
        <f t="shared" si="23"/>
        <v>1.4999999999999998E-2</v>
      </c>
      <c r="G67" s="178">
        <v>3570</v>
      </c>
      <c r="H67" s="80">
        <f t="shared" si="24"/>
        <v>1.4999999999999999E-2</v>
      </c>
      <c r="I67" s="178">
        <v>3705</v>
      </c>
      <c r="J67" s="80">
        <f t="shared" si="25"/>
        <v>1.4999999999999999E-2</v>
      </c>
      <c r="K67" s="178">
        <v>3825</v>
      </c>
      <c r="L67" s="80">
        <f t="shared" si="26"/>
        <v>1.4999999999999999E-2</v>
      </c>
      <c r="M67" s="178">
        <v>3944.9999999999995</v>
      </c>
      <c r="N67" s="80">
        <f t="shared" si="27"/>
        <v>1.4999999999999998E-2</v>
      </c>
      <c r="O67" s="178">
        <v>4049.9999999999995</v>
      </c>
      <c r="P67" s="80">
        <f t="shared" si="28"/>
        <v>1.4999999999999998E-2</v>
      </c>
      <c r="Q67" s="178">
        <v>4185</v>
      </c>
      <c r="R67" s="80">
        <f t="shared" si="29"/>
        <v>1.4999999999999999E-2</v>
      </c>
      <c r="S67" s="178">
        <v>4305</v>
      </c>
      <c r="T67" s="80">
        <f t="shared" si="30"/>
        <v>1.4999999999999999E-2</v>
      </c>
      <c r="U67" s="178">
        <v>4424.9999999999991</v>
      </c>
      <c r="V67" s="80">
        <f t="shared" si="31"/>
        <v>1.4999999999999998E-2</v>
      </c>
      <c r="X67" s="192"/>
    </row>
    <row r="68" spans="1:24" ht="12.75" customHeight="1">
      <c r="A68" s="2" t="s">
        <v>412</v>
      </c>
      <c r="B68" s="35"/>
      <c r="C68" s="178">
        <v>373.065</v>
      </c>
      <c r="D68" s="80">
        <f t="shared" si="22"/>
        <v>1.6999999999999999E-3</v>
      </c>
      <c r="E68" s="178">
        <v>389.29999999999995</v>
      </c>
      <c r="F68" s="80">
        <f t="shared" si="23"/>
        <v>1.6999999999999999E-3</v>
      </c>
      <c r="G68" s="178">
        <v>404.59999999999997</v>
      </c>
      <c r="H68" s="80">
        <f t="shared" si="24"/>
        <v>1.6999999999999999E-3</v>
      </c>
      <c r="I68" s="178">
        <v>419.9</v>
      </c>
      <c r="J68" s="80">
        <f t="shared" si="25"/>
        <v>1.6999999999999999E-3</v>
      </c>
      <c r="K68" s="178">
        <v>433.5</v>
      </c>
      <c r="L68" s="80">
        <f t="shared" si="26"/>
        <v>1.6999999999999999E-3</v>
      </c>
      <c r="M68" s="178">
        <v>447.09999999999997</v>
      </c>
      <c r="N68" s="80">
        <f t="shared" si="27"/>
        <v>1.6999999999999999E-3</v>
      </c>
      <c r="O68" s="178">
        <v>458.99999999999994</v>
      </c>
      <c r="P68" s="80">
        <f t="shared" si="28"/>
        <v>1.6999999999999997E-3</v>
      </c>
      <c r="Q68" s="178">
        <v>474.3</v>
      </c>
      <c r="R68" s="80">
        <f t="shared" si="29"/>
        <v>1.7000000000000001E-3</v>
      </c>
      <c r="S68" s="178">
        <v>487.89999999999992</v>
      </c>
      <c r="T68" s="80">
        <f t="shared" si="30"/>
        <v>1.6999999999999997E-3</v>
      </c>
      <c r="U68" s="178">
        <v>501.49999999999994</v>
      </c>
      <c r="V68" s="80">
        <f t="shared" si="31"/>
        <v>1.6999999999999999E-3</v>
      </c>
      <c r="X68" s="192"/>
    </row>
    <row r="69" spans="1:24" ht="12.75" customHeight="1">
      <c r="A69" s="2" t="s">
        <v>413</v>
      </c>
      <c r="B69" s="35"/>
      <c r="C69" s="178">
        <v>0</v>
      </c>
      <c r="D69" s="80">
        <f t="shared" si="22"/>
        <v>0</v>
      </c>
      <c r="E69" s="178">
        <v>0</v>
      </c>
      <c r="F69" s="80">
        <f t="shared" si="23"/>
        <v>0</v>
      </c>
      <c r="G69" s="178">
        <v>0</v>
      </c>
      <c r="H69" s="80">
        <f t="shared" si="24"/>
        <v>0</v>
      </c>
      <c r="I69" s="178">
        <v>0</v>
      </c>
      <c r="J69" s="80">
        <f t="shared" si="25"/>
        <v>0</v>
      </c>
      <c r="K69" s="178">
        <v>0</v>
      </c>
      <c r="L69" s="80">
        <f t="shared" si="26"/>
        <v>0</v>
      </c>
      <c r="M69" s="178">
        <v>0</v>
      </c>
      <c r="N69" s="80">
        <f t="shared" si="27"/>
        <v>0</v>
      </c>
      <c r="O69" s="178">
        <v>0</v>
      </c>
      <c r="P69" s="80">
        <f t="shared" si="28"/>
        <v>0</v>
      </c>
      <c r="Q69" s="178">
        <v>0</v>
      </c>
      <c r="R69" s="80">
        <f t="shared" si="29"/>
        <v>0</v>
      </c>
      <c r="S69" s="178">
        <v>0</v>
      </c>
      <c r="T69" s="80">
        <f t="shared" si="30"/>
        <v>0</v>
      </c>
      <c r="U69" s="178">
        <v>0</v>
      </c>
      <c r="V69" s="80">
        <f t="shared" si="31"/>
        <v>0</v>
      </c>
      <c r="X69" s="192"/>
    </row>
    <row r="70" spans="1:24" ht="12.75" customHeight="1">
      <c r="A70" s="2" t="s">
        <v>414</v>
      </c>
      <c r="B70" s="35"/>
      <c r="C70" s="178">
        <v>21.945000000000004</v>
      </c>
      <c r="D70" s="80">
        <f t="shared" si="22"/>
        <v>1.0000000000000002E-4</v>
      </c>
      <c r="E70" s="178">
        <v>22.9</v>
      </c>
      <c r="F70" s="80">
        <f t="shared" si="23"/>
        <v>9.9999999999999991E-5</v>
      </c>
      <c r="G70" s="178">
        <v>23.800000000000004</v>
      </c>
      <c r="H70" s="80">
        <f t="shared" si="24"/>
        <v>1.0000000000000002E-4</v>
      </c>
      <c r="I70" s="178">
        <v>24.700000000000003</v>
      </c>
      <c r="J70" s="80">
        <f t="shared" si="25"/>
        <v>1E-4</v>
      </c>
      <c r="K70" s="178">
        <v>25.5</v>
      </c>
      <c r="L70" s="80">
        <f t="shared" si="26"/>
        <v>1E-4</v>
      </c>
      <c r="M70" s="178">
        <v>26.3</v>
      </c>
      <c r="N70" s="80">
        <f t="shared" si="27"/>
        <v>1E-4</v>
      </c>
      <c r="O70" s="178">
        <v>27</v>
      </c>
      <c r="P70" s="80">
        <f t="shared" si="28"/>
        <v>1E-4</v>
      </c>
      <c r="Q70" s="178">
        <v>27.900000000000006</v>
      </c>
      <c r="R70" s="80">
        <f t="shared" si="29"/>
        <v>1.0000000000000002E-4</v>
      </c>
      <c r="S70" s="178">
        <v>28.7</v>
      </c>
      <c r="T70" s="80">
        <f t="shared" si="30"/>
        <v>9.9999999999999991E-5</v>
      </c>
      <c r="U70" s="178">
        <v>29.499999999999996</v>
      </c>
      <c r="V70" s="80">
        <f t="shared" si="31"/>
        <v>9.9999999999999991E-5</v>
      </c>
      <c r="X70" s="192"/>
    </row>
    <row r="71" spans="1:24" ht="12.75" customHeight="1">
      <c r="A71" s="2" t="s">
        <v>415</v>
      </c>
      <c r="B71" s="35"/>
      <c r="C71" s="178">
        <v>0</v>
      </c>
      <c r="D71" s="80">
        <f t="shared" si="22"/>
        <v>0</v>
      </c>
      <c r="E71" s="178">
        <v>0</v>
      </c>
      <c r="F71" s="80">
        <f t="shared" si="23"/>
        <v>0</v>
      </c>
      <c r="G71" s="178">
        <v>0</v>
      </c>
      <c r="H71" s="80">
        <f t="shared" si="24"/>
        <v>0</v>
      </c>
      <c r="I71" s="178">
        <v>0</v>
      </c>
      <c r="J71" s="80">
        <f t="shared" si="25"/>
        <v>0</v>
      </c>
      <c r="K71" s="178">
        <v>0</v>
      </c>
      <c r="L71" s="80">
        <f t="shared" si="26"/>
        <v>0</v>
      </c>
      <c r="M71" s="178">
        <v>0</v>
      </c>
      <c r="N71" s="80">
        <f t="shared" si="27"/>
        <v>0</v>
      </c>
      <c r="O71" s="178">
        <v>0</v>
      </c>
      <c r="P71" s="80">
        <f t="shared" si="28"/>
        <v>0</v>
      </c>
      <c r="Q71" s="178">
        <v>0</v>
      </c>
      <c r="R71" s="80">
        <f t="shared" si="29"/>
        <v>0</v>
      </c>
      <c r="S71" s="178">
        <v>0</v>
      </c>
      <c r="T71" s="80">
        <f t="shared" si="30"/>
        <v>0</v>
      </c>
      <c r="U71" s="178">
        <v>0</v>
      </c>
      <c r="V71" s="80">
        <f t="shared" si="31"/>
        <v>0</v>
      </c>
      <c r="X71" s="192"/>
    </row>
    <row r="72" spans="1:24" ht="12.75" customHeight="1">
      <c r="A72" s="2" t="s">
        <v>416</v>
      </c>
      <c r="B72" s="35"/>
      <c r="C72" s="178">
        <v>0</v>
      </c>
      <c r="D72" s="80">
        <f t="shared" si="22"/>
        <v>0</v>
      </c>
      <c r="E72" s="178">
        <v>0</v>
      </c>
      <c r="F72" s="80">
        <f t="shared" si="23"/>
        <v>0</v>
      </c>
      <c r="G72" s="178">
        <v>0</v>
      </c>
      <c r="H72" s="80">
        <f t="shared" si="24"/>
        <v>0</v>
      </c>
      <c r="I72" s="178">
        <v>0</v>
      </c>
      <c r="J72" s="80">
        <f t="shared" si="25"/>
        <v>0</v>
      </c>
      <c r="K72" s="178">
        <v>0</v>
      </c>
      <c r="L72" s="80">
        <f t="shared" si="26"/>
        <v>0</v>
      </c>
      <c r="M72" s="178">
        <v>0</v>
      </c>
      <c r="N72" s="80">
        <f t="shared" si="27"/>
        <v>0</v>
      </c>
      <c r="O72" s="178">
        <v>0</v>
      </c>
      <c r="P72" s="80">
        <f t="shared" si="28"/>
        <v>0</v>
      </c>
      <c r="Q72" s="178">
        <v>0</v>
      </c>
      <c r="R72" s="80">
        <f t="shared" si="29"/>
        <v>0</v>
      </c>
      <c r="S72" s="178">
        <v>0</v>
      </c>
      <c r="T72" s="80">
        <f t="shared" si="30"/>
        <v>0</v>
      </c>
      <c r="U72" s="178">
        <v>0</v>
      </c>
      <c r="V72" s="80">
        <f t="shared" si="31"/>
        <v>0</v>
      </c>
      <c r="X72" s="192"/>
    </row>
    <row r="73" spans="1:24" ht="12.75" customHeight="1">
      <c r="A73" s="2" t="s">
        <v>417</v>
      </c>
      <c r="B73" s="35"/>
      <c r="C73" s="178">
        <v>0</v>
      </c>
      <c r="D73" s="80">
        <f t="shared" si="22"/>
        <v>0</v>
      </c>
      <c r="E73" s="178">
        <v>0</v>
      </c>
      <c r="F73" s="80">
        <f t="shared" si="23"/>
        <v>0</v>
      </c>
      <c r="G73" s="178">
        <v>0</v>
      </c>
      <c r="H73" s="80">
        <f t="shared" si="24"/>
        <v>0</v>
      </c>
      <c r="I73" s="178">
        <v>0</v>
      </c>
      <c r="J73" s="80">
        <f t="shared" si="25"/>
        <v>0</v>
      </c>
      <c r="K73" s="178">
        <v>0</v>
      </c>
      <c r="L73" s="80">
        <f t="shared" si="26"/>
        <v>0</v>
      </c>
      <c r="M73" s="178">
        <v>0</v>
      </c>
      <c r="N73" s="80">
        <f t="shared" si="27"/>
        <v>0</v>
      </c>
      <c r="O73" s="178">
        <v>0</v>
      </c>
      <c r="P73" s="80">
        <f t="shared" si="28"/>
        <v>0</v>
      </c>
      <c r="Q73" s="178">
        <v>0</v>
      </c>
      <c r="R73" s="80">
        <f t="shared" si="29"/>
        <v>0</v>
      </c>
      <c r="S73" s="178">
        <v>0</v>
      </c>
      <c r="T73" s="80">
        <f t="shared" si="30"/>
        <v>0</v>
      </c>
      <c r="U73" s="178">
        <v>0</v>
      </c>
      <c r="V73" s="80">
        <f t="shared" si="31"/>
        <v>0</v>
      </c>
      <c r="X73" s="192"/>
    </row>
    <row r="74" spans="1:24" ht="12.75" customHeight="1">
      <c r="A74" s="2" t="s">
        <v>418</v>
      </c>
      <c r="B74" s="35"/>
      <c r="C74" s="178">
        <v>0</v>
      </c>
      <c r="D74" s="80">
        <f t="shared" si="22"/>
        <v>0</v>
      </c>
      <c r="E74" s="178">
        <v>0</v>
      </c>
      <c r="F74" s="80">
        <f t="shared" si="23"/>
        <v>0</v>
      </c>
      <c r="G74" s="178">
        <v>0</v>
      </c>
      <c r="H74" s="80">
        <f t="shared" si="24"/>
        <v>0</v>
      </c>
      <c r="I74" s="178">
        <v>0</v>
      </c>
      <c r="J74" s="80">
        <f t="shared" si="25"/>
        <v>0</v>
      </c>
      <c r="K74" s="178">
        <v>0</v>
      </c>
      <c r="L74" s="80">
        <f t="shared" si="26"/>
        <v>0</v>
      </c>
      <c r="M74" s="178">
        <v>0</v>
      </c>
      <c r="N74" s="80">
        <f t="shared" si="27"/>
        <v>0</v>
      </c>
      <c r="O74" s="178">
        <v>0</v>
      </c>
      <c r="P74" s="80">
        <f t="shared" si="28"/>
        <v>0</v>
      </c>
      <c r="Q74" s="178">
        <v>0</v>
      </c>
      <c r="R74" s="80">
        <f t="shared" si="29"/>
        <v>0</v>
      </c>
      <c r="S74" s="178">
        <v>0</v>
      </c>
      <c r="T74" s="80">
        <f t="shared" si="30"/>
        <v>0</v>
      </c>
      <c r="U74" s="178">
        <v>0</v>
      </c>
      <c r="V74" s="80">
        <f t="shared" si="31"/>
        <v>0</v>
      </c>
      <c r="X74" s="192"/>
    </row>
    <row r="75" spans="1:24" ht="12.75" customHeight="1">
      <c r="A75" s="2" t="s">
        <v>419</v>
      </c>
      <c r="B75" s="35"/>
      <c r="C75" s="178">
        <v>987.52499999999998</v>
      </c>
      <c r="D75" s="80">
        <f t="shared" si="22"/>
        <v>4.4999999999999997E-3</v>
      </c>
      <c r="E75" s="178">
        <v>1030.4999999999998</v>
      </c>
      <c r="F75" s="80">
        <f t="shared" si="23"/>
        <v>4.4999999999999988E-3</v>
      </c>
      <c r="G75" s="178">
        <v>1071</v>
      </c>
      <c r="H75" s="80">
        <f t="shared" si="24"/>
        <v>4.4999999999999997E-3</v>
      </c>
      <c r="I75" s="178">
        <v>1111.5</v>
      </c>
      <c r="J75" s="80">
        <f t="shared" si="25"/>
        <v>4.4999999999999997E-3</v>
      </c>
      <c r="K75" s="178">
        <v>1147.5</v>
      </c>
      <c r="L75" s="80">
        <f t="shared" si="26"/>
        <v>4.4999999999999997E-3</v>
      </c>
      <c r="M75" s="178">
        <v>1183.5</v>
      </c>
      <c r="N75" s="80">
        <f t="shared" si="27"/>
        <v>4.4999999999999997E-3</v>
      </c>
      <c r="O75" s="178">
        <v>1214.9999999999998</v>
      </c>
      <c r="P75" s="80">
        <f t="shared" si="28"/>
        <v>4.4999999999999988E-3</v>
      </c>
      <c r="Q75" s="178">
        <v>1255.5</v>
      </c>
      <c r="R75" s="80">
        <f t="shared" si="29"/>
        <v>4.4999999999999997E-3</v>
      </c>
      <c r="S75" s="178">
        <v>1291.4999999999998</v>
      </c>
      <c r="T75" s="80">
        <f t="shared" si="30"/>
        <v>4.4999999999999988E-3</v>
      </c>
      <c r="U75" s="178">
        <v>1327.4999999999998</v>
      </c>
      <c r="V75" s="80">
        <f t="shared" si="31"/>
        <v>4.4999999999999997E-3</v>
      </c>
      <c r="X75" s="192"/>
    </row>
    <row r="76" spans="1:24" ht="12.75" customHeight="1">
      <c r="A76" s="2" t="s">
        <v>420</v>
      </c>
      <c r="B76" s="35"/>
      <c r="C76" s="178">
        <v>87.780000000000015</v>
      </c>
      <c r="D76" s="80">
        <f t="shared" si="22"/>
        <v>4.0000000000000007E-4</v>
      </c>
      <c r="E76" s="178">
        <v>91.6</v>
      </c>
      <c r="F76" s="80">
        <f t="shared" si="23"/>
        <v>3.9999999999999996E-4</v>
      </c>
      <c r="G76" s="178">
        <v>95.200000000000017</v>
      </c>
      <c r="H76" s="80">
        <f t="shared" si="24"/>
        <v>4.0000000000000007E-4</v>
      </c>
      <c r="I76" s="178">
        <v>98.800000000000011</v>
      </c>
      <c r="J76" s="80">
        <f t="shared" si="25"/>
        <v>4.0000000000000002E-4</v>
      </c>
      <c r="K76" s="178">
        <v>102</v>
      </c>
      <c r="L76" s="80">
        <f t="shared" si="26"/>
        <v>4.0000000000000002E-4</v>
      </c>
      <c r="M76" s="178">
        <v>105.2</v>
      </c>
      <c r="N76" s="80">
        <f t="shared" si="27"/>
        <v>4.0000000000000002E-4</v>
      </c>
      <c r="O76" s="178">
        <v>108</v>
      </c>
      <c r="P76" s="80">
        <f t="shared" si="28"/>
        <v>4.0000000000000002E-4</v>
      </c>
      <c r="Q76" s="178">
        <v>111.60000000000002</v>
      </c>
      <c r="R76" s="80">
        <f t="shared" si="29"/>
        <v>4.0000000000000007E-4</v>
      </c>
      <c r="S76" s="178">
        <v>114.8</v>
      </c>
      <c r="T76" s="80">
        <f t="shared" si="30"/>
        <v>3.9999999999999996E-4</v>
      </c>
      <c r="U76" s="178">
        <v>117.99999999999999</v>
      </c>
      <c r="V76" s="80">
        <f t="shared" si="31"/>
        <v>3.9999999999999996E-4</v>
      </c>
      <c r="X76" s="192"/>
    </row>
    <row r="77" spans="1:24" ht="12.75" customHeight="1">
      <c r="A77" s="2" t="s">
        <v>421</v>
      </c>
      <c r="B77" s="35"/>
      <c r="C77" s="178">
        <v>285.28500000000003</v>
      </c>
      <c r="D77" s="80">
        <f t="shared" si="22"/>
        <v>1.3000000000000002E-3</v>
      </c>
      <c r="E77" s="178">
        <v>297.7</v>
      </c>
      <c r="F77" s="80">
        <f t="shared" si="23"/>
        <v>1.2999999999999999E-3</v>
      </c>
      <c r="G77" s="178">
        <v>309.39999999999998</v>
      </c>
      <c r="H77" s="80">
        <f t="shared" si="24"/>
        <v>1.2999999999999999E-3</v>
      </c>
      <c r="I77" s="178">
        <v>321.10000000000002</v>
      </c>
      <c r="J77" s="80">
        <f t="shared" si="25"/>
        <v>1.3000000000000002E-3</v>
      </c>
      <c r="K77" s="178">
        <v>331.5</v>
      </c>
      <c r="L77" s="80">
        <f t="shared" si="26"/>
        <v>1.2999999999999999E-3</v>
      </c>
      <c r="M77" s="178">
        <v>341.9</v>
      </c>
      <c r="N77" s="80">
        <f t="shared" si="27"/>
        <v>1.2999999999999999E-3</v>
      </c>
      <c r="O77" s="178">
        <v>350.99999999999994</v>
      </c>
      <c r="P77" s="80">
        <f t="shared" si="28"/>
        <v>1.2999999999999997E-3</v>
      </c>
      <c r="Q77" s="178">
        <v>362.7</v>
      </c>
      <c r="R77" s="80">
        <f t="shared" si="29"/>
        <v>1.2999999999999999E-3</v>
      </c>
      <c r="S77" s="178">
        <v>373.09999999999997</v>
      </c>
      <c r="T77" s="80">
        <f t="shared" si="30"/>
        <v>1.2999999999999999E-3</v>
      </c>
      <c r="U77" s="178">
        <v>383.49999999999994</v>
      </c>
      <c r="V77" s="80">
        <f t="shared" si="31"/>
        <v>1.2999999999999997E-3</v>
      </c>
      <c r="X77" s="192"/>
    </row>
    <row r="78" spans="1:24" ht="12.75" customHeight="1">
      <c r="A78" s="2" t="s">
        <v>422</v>
      </c>
      <c r="B78" s="35"/>
      <c r="C78" s="178">
        <v>4827.8999999999996</v>
      </c>
      <c r="D78" s="80">
        <f t="shared" si="22"/>
        <v>2.1999999999999999E-2</v>
      </c>
      <c r="E78" s="178">
        <v>5037.9999999999991</v>
      </c>
      <c r="F78" s="80">
        <f t="shared" si="23"/>
        <v>2.1999999999999995E-2</v>
      </c>
      <c r="G78" s="178">
        <v>5236</v>
      </c>
      <c r="H78" s="80">
        <f t="shared" si="24"/>
        <v>2.1999999999999999E-2</v>
      </c>
      <c r="I78" s="178">
        <v>5434</v>
      </c>
      <c r="J78" s="80">
        <f t="shared" si="25"/>
        <v>2.1999999999999999E-2</v>
      </c>
      <c r="K78" s="178">
        <v>5610</v>
      </c>
      <c r="L78" s="80">
        <f t="shared" si="26"/>
        <v>2.1999999999999999E-2</v>
      </c>
      <c r="M78" s="178">
        <v>5785.9999999999991</v>
      </c>
      <c r="N78" s="80">
        <f t="shared" si="27"/>
        <v>2.1999999999999995E-2</v>
      </c>
      <c r="O78" s="178">
        <v>5939.9999999999991</v>
      </c>
      <c r="P78" s="80">
        <f t="shared" si="28"/>
        <v>2.1999999999999995E-2</v>
      </c>
      <c r="Q78" s="178">
        <v>6138</v>
      </c>
      <c r="R78" s="80">
        <f t="shared" si="29"/>
        <v>2.1999999999999999E-2</v>
      </c>
      <c r="S78" s="178">
        <v>6314</v>
      </c>
      <c r="T78" s="80">
        <f t="shared" si="30"/>
        <v>2.1999999999999999E-2</v>
      </c>
      <c r="U78" s="178">
        <v>6489.9999999999991</v>
      </c>
      <c r="V78" s="80">
        <f t="shared" si="31"/>
        <v>2.1999999999999995E-2</v>
      </c>
      <c r="X78" s="192"/>
    </row>
    <row r="79" spans="1:24" ht="12.75" customHeight="1">
      <c r="A79" s="2" t="s">
        <v>423</v>
      </c>
      <c r="B79" s="35"/>
      <c r="C79" s="178">
        <v>0</v>
      </c>
      <c r="D79" s="80">
        <f t="shared" si="22"/>
        <v>0</v>
      </c>
      <c r="E79" s="178">
        <v>0</v>
      </c>
      <c r="F79" s="80">
        <f t="shared" si="23"/>
        <v>0</v>
      </c>
      <c r="G79" s="178">
        <v>0</v>
      </c>
      <c r="H79" s="80">
        <f t="shared" si="24"/>
        <v>0</v>
      </c>
      <c r="I79" s="178">
        <v>0</v>
      </c>
      <c r="J79" s="80">
        <f t="shared" si="25"/>
        <v>0</v>
      </c>
      <c r="K79" s="178">
        <v>0</v>
      </c>
      <c r="L79" s="80">
        <f t="shared" si="26"/>
        <v>0</v>
      </c>
      <c r="M79" s="178">
        <v>0</v>
      </c>
      <c r="N79" s="80">
        <f t="shared" si="27"/>
        <v>0</v>
      </c>
      <c r="O79" s="178">
        <v>0</v>
      </c>
      <c r="P79" s="80">
        <f t="shared" si="28"/>
        <v>0</v>
      </c>
      <c r="Q79" s="178">
        <v>0</v>
      </c>
      <c r="R79" s="80">
        <f t="shared" si="29"/>
        <v>0</v>
      </c>
      <c r="S79" s="178">
        <v>0</v>
      </c>
      <c r="T79" s="80">
        <f t="shared" si="30"/>
        <v>0</v>
      </c>
      <c r="U79" s="178">
        <v>0</v>
      </c>
      <c r="V79" s="80">
        <f t="shared" si="31"/>
        <v>0</v>
      </c>
      <c r="X79" s="192"/>
    </row>
    <row r="80" spans="1:24" ht="12.75" customHeight="1">
      <c r="A80" s="2" t="s">
        <v>424</v>
      </c>
      <c r="B80" s="35"/>
      <c r="C80" s="178">
        <v>0</v>
      </c>
      <c r="D80" s="80">
        <f t="shared" si="22"/>
        <v>0</v>
      </c>
      <c r="E80" s="178">
        <v>0</v>
      </c>
      <c r="F80" s="80">
        <f t="shared" si="23"/>
        <v>0</v>
      </c>
      <c r="G80" s="178">
        <v>0</v>
      </c>
      <c r="H80" s="80">
        <f t="shared" si="24"/>
        <v>0</v>
      </c>
      <c r="I80" s="178">
        <v>0</v>
      </c>
      <c r="J80" s="80">
        <f t="shared" si="25"/>
        <v>0</v>
      </c>
      <c r="K80" s="178">
        <v>0</v>
      </c>
      <c r="L80" s="80">
        <f t="shared" si="26"/>
        <v>0</v>
      </c>
      <c r="M80" s="178">
        <v>0</v>
      </c>
      <c r="N80" s="80">
        <f t="shared" si="27"/>
        <v>0</v>
      </c>
      <c r="O80" s="178">
        <v>0</v>
      </c>
      <c r="P80" s="80">
        <f t="shared" si="28"/>
        <v>0</v>
      </c>
      <c r="Q80" s="178">
        <v>0</v>
      </c>
      <c r="R80" s="80">
        <f t="shared" si="29"/>
        <v>0</v>
      </c>
      <c r="S80" s="178">
        <v>0</v>
      </c>
      <c r="T80" s="80">
        <f t="shared" si="30"/>
        <v>0</v>
      </c>
      <c r="U80" s="178">
        <v>0</v>
      </c>
      <c r="V80" s="80">
        <f t="shared" si="31"/>
        <v>0</v>
      </c>
      <c r="X80" s="192"/>
    </row>
    <row r="81" spans="1:24" ht="12.75" customHeight="1">
      <c r="A81" s="2" t="s">
        <v>425</v>
      </c>
      <c r="B81" s="35"/>
      <c r="C81" s="178">
        <v>0</v>
      </c>
      <c r="D81" s="80">
        <f t="shared" si="22"/>
        <v>0</v>
      </c>
      <c r="E81" s="178">
        <v>0</v>
      </c>
      <c r="F81" s="80">
        <f t="shared" si="23"/>
        <v>0</v>
      </c>
      <c r="G81" s="178">
        <v>0</v>
      </c>
      <c r="H81" s="80">
        <f t="shared" si="24"/>
        <v>0</v>
      </c>
      <c r="I81" s="178">
        <v>0</v>
      </c>
      <c r="J81" s="80">
        <f t="shared" si="25"/>
        <v>0</v>
      </c>
      <c r="K81" s="178">
        <v>0</v>
      </c>
      <c r="L81" s="80">
        <f t="shared" si="26"/>
        <v>0</v>
      </c>
      <c r="M81" s="178">
        <v>0</v>
      </c>
      <c r="N81" s="80">
        <f t="shared" si="27"/>
        <v>0</v>
      </c>
      <c r="O81" s="178">
        <v>0</v>
      </c>
      <c r="P81" s="80">
        <f t="shared" si="28"/>
        <v>0</v>
      </c>
      <c r="Q81" s="178">
        <v>0</v>
      </c>
      <c r="R81" s="80">
        <f t="shared" si="29"/>
        <v>0</v>
      </c>
      <c r="S81" s="178">
        <v>0</v>
      </c>
      <c r="T81" s="80">
        <f t="shared" si="30"/>
        <v>0</v>
      </c>
      <c r="U81" s="178">
        <v>0</v>
      </c>
      <c r="V81" s="80">
        <f t="shared" si="31"/>
        <v>0</v>
      </c>
      <c r="X81" s="192"/>
    </row>
    <row r="82" spans="1:24" ht="12.75" customHeight="1">
      <c r="A82" s="2" t="s">
        <v>426</v>
      </c>
      <c r="B82" s="35"/>
      <c r="C82" s="178">
        <v>0</v>
      </c>
      <c r="D82" s="80">
        <f t="shared" si="22"/>
        <v>0</v>
      </c>
      <c r="E82" s="178">
        <v>0</v>
      </c>
      <c r="F82" s="80">
        <f t="shared" si="23"/>
        <v>0</v>
      </c>
      <c r="G82" s="178">
        <v>0</v>
      </c>
      <c r="H82" s="80">
        <f t="shared" si="24"/>
        <v>0</v>
      </c>
      <c r="I82" s="178">
        <v>0</v>
      </c>
      <c r="J82" s="80">
        <f t="shared" si="25"/>
        <v>0</v>
      </c>
      <c r="K82" s="178">
        <v>0</v>
      </c>
      <c r="L82" s="80">
        <f t="shared" si="26"/>
        <v>0</v>
      </c>
      <c r="M82" s="178">
        <v>0</v>
      </c>
      <c r="N82" s="80">
        <f t="shared" si="27"/>
        <v>0</v>
      </c>
      <c r="O82" s="178">
        <v>0</v>
      </c>
      <c r="P82" s="80">
        <f t="shared" si="28"/>
        <v>0</v>
      </c>
      <c r="Q82" s="178">
        <v>0</v>
      </c>
      <c r="R82" s="80">
        <f t="shared" si="29"/>
        <v>0</v>
      </c>
      <c r="S82" s="178">
        <v>0</v>
      </c>
      <c r="T82" s="80">
        <f t="shared" si="30"/>
        <v>0</v>
      </c>
      <c r="U82" s="178">
        <v>0</v>
      </c>
      <c r="V82" s="80">
        <f t="shared" si="31"/>
        <v>0</v>
      </c>
      <c r="X82" s="192"/>
    </row>
    <row r="83" spans="1:24" ht="12.75" customHeight="1">
      <c r="A83" s="2" t="s">
        <v>427</v>
      </c>
      <c r="B83" s="35"/>
      <c r="C83" s="178">
        <v>0</v>
      </c>
      <c r="D83" s="80">
        <f t="shared" si="22"/>
        <v>0</v>
      </c>
      <c r="E83" s="178">
        <v>0</v>
      </c>
      <c r="F83" s="80">
        <f t="shared" si="23"/>
        <v>0</v>
      </c>
      <c r="G83" s="178">
        <v>0</v>
      </c>
      <c r="H83" s="80">
        <f t="shared" si="24"/>
        <v>0</v>
      </c>
      <c r="I83" s="178">
        <v>0</v>
      </c>
      <c r="J83" s="80">
        <f t="shared" si="25"/>
        <v>0</v>
      </c>
      <c r="K83" s="178">
        <v>0</v>
      </c>
      <c r="L83" s="80">
        <f t="shared" si="26"/>
        <v>0</v>
      </c>
      <c r="M83" s="178">
        <v>0</v>
      </c>
      <c r="N83" s="80">
        <f t="shared" si="27"/>
        <v>0</v>
      </c>
      <c r="O83" s="178">
        <v>0</v>
      </c>
      <c r="P83" s="80">
        <f t="shared" si="28"/>
        <v>0</v>
      </c>
      <c r="Q83" s="178">
        <v>0</v>
      </c>
      <c r="R83" s="80">
        <f t="shared" si="29"/>
        <v>0</v>
      </c>
      <c r="S83" s="178">
        <v>0</v>
      </c>
      <c r="T83" s="80">
        <f t="shared" si="30"/>
        <v>0</v>
      </c>
      <c r="U83" s="178">
        <v>0</v>
      </c>
      <c r="V83" s="80">
        <f t="shared" si="31"/>
        <v>0</v>
      </c>
      <c r="X83" s="192"/>
    </row>
    <row r="84" spans="1:24" ht="12.75" customHeight="1">
      <c r="A84" s="2" t="s">
        <v>428</v>
      </c>
      <c r="B84" s="35"/>
      <c r="C84" s="178">
        <v>0</v>
      </c>
      <c r="D84" s="80">
        <f t="shared" ref="D84:D105" si="32">IFERROR(C84/C$28,0)</f>
        <v>0</v>
      </c>
      <c r="E84" s="178">
        <v>0</v>
      </c>
      <c r="F84" s="80">
        <f t="shared" si="23"/>
        <v>0</v>
      </c>
      <c r="G84" s="178">
        <v>0</v>
      </c>
      <c r="H84" s="80">
        <f t="shared" si="24"/>
        <v>0</v>
      </c>
      <c r="I84" s="178">
        <v>0</v>
      </c>
      <c r="J84" s="80">
        <f t="shared" si="25"/>
        <v>0</v>
      </c>
      <c r="K84" s="178">
        <v>0</v>
      </c>
      <c r="L84" s="80">
        <f t="shared" si="26"/>
        <v>0</v>
      </c>
      <c r="M84" s="178">
        <v>0</v>
      </c>
      <c r="N84" s="80">
        <f t="shared" si="27"/>
        <v>0</v>
      </c>
      <c r="O84" s="178">
        <v>0</v>
      </c>
      <c r="P84" s="80">
        <f t="shared" si="28"/>
        <v>0</v>
      </c>
      <c r="Q84" s="178">
        <v>0</v>
      </c>
      <c r="R84" s="80">
        <f t="shared" si="29"/>
        <v>0</v>
      </c>
      <c r="S84" s="178">
        <v>0</v>
      </c>
      <c r="T84" s="80">
        <f t="shared" si="30"/>
        <v>0</v>
      </c>
      <c r="U84" s="178">
        <v>0</v>
      </c>
      <c r="V84" s="80">
        <f t="shared" si="31"/>
        <v>0</v>
      </c>
      <c r="X84" s="192"/>
    </row>
    <row r="85" spans="1:24" ht="12.75" customHeight="1">
      <c r="A85" s="2" t="s">
        <v>429</v>
      </c>
      <c r="B85" s="35"/>
      <c r="C85" s="178">
        <v>0</v>
      </c>
      <c r="D85" s="80">
        <f t="shared" si="32"/>
        <v>0</v>
      </c>
      <c r="E85" s="178">
        <v>0</v>
      </c>
      <c r="F85" s="80">
        <f t="shared" si="23"/>
        <v>0</v>
      </c>
      <c r="G85" s="178">
        <v>0</v>
      </c>
      <c r="H85" s="80">
        <f t="shared" si="24"/>
        <v>0</v>
      </c>
      <c r="I85" s="178">
        <v>0</v>
      </c>
      <c r="J85" s="80">
        <f t="shared" si="25"/>
        <v>0</v>
      </c>
      <c r="K85" s="178">
        <v>0</v>
      </c>
      <c r="L85" s="80">
        <f t="shared" si="26"/>
        <v>0</v>
      </c>
      <c r="M85" s="178">
        <v>0</v>
      </c>
      <c r="N85" s="80">
        <f t="shared" si="27"/>
        <v>0</v>
      </c>
      <c r="O85" s="178">
        <v>0</v>
      </c>
      <c r="P85" s="80">
        <f t="shared" si="28"/>
        <v>0</v>
      </c>
      <c r="Q85" s="178">
        <v>0</v>
      </c>
      <c r="R85" s="80">
        <f t="shared" si="29"/>
        <v>0</v>
      </c>
      <c r="S85" s="178">
        <v>0</v>
      </c>
      <c r="T85" s="80">
        <f t="shared" si="30"/>
        <v>0</v>
      </c>
      <c r="U85" s="178">
        <v>0</v>
      </c>
      <c r="V85" s="80">
        <f t="shared" si="31"/>
        <v>0</v>
      </c>
      <c r="X85" s="192"/>
    </row>
    <row r="86" spans="1:24" ht="12.75" customHeight="1">
      <c r="A86" s="2" t="s">
        <v>430</v>
      </c>
      <c r="B86" s="35"/>
      <c r="C86" s="178">
        <v>877.80000000000007</v>
      </c>
      <c r="D86" s="80">
        <f t="shared" si="32"/>
        <v>4.0000000000000001E-3</v>
      </c>
      <c r="E86" s="178">
        <v>915.99999999999989</v>
      </c>
      <c r="F86" s="80">
        <f t="shared" si="23"/>
        <v>3.9999999999999992E-3</v>
      </c>
      <c r="G86" s="178">
        <v>952.00000000000011</v>
      </c>
      <c r="H86" s="80">
        <f t="shared" si="24"/>
        <v>4.0000000000000001E-3</v>
      </c>
      <c r="I86" s="178">
        <v>988.00000000000011</v>
      </c>
      <c r="J86" s="80">
        <f t="shared" si="25"/>
        <v>4.0000000000000001E-3</v>
      </c>
      <c r="K86" s="178">
        <v>1020</v>
      </c>
      <c r="L86" s="80">
        <f t="shared" si="26"/>
        <v>4.0000000000000001E-3</v>
      </c>
      <c r="M86" s="178">
        <v>1052</v>
      </c>
      <c r="N86" s="80">
        <f t="shared" si="27"/>
        <v>4.0000000000000001E-3</v>
      </c>
      <c r="O86" s="178">
        <v>1080</v>
      </c>
      <c r="P86" s="80">
        <f t="shared" si="28"/>
        <v>4.0000000000000001E-3</v>
      </c>
      <c r="Q86" s="178">
        <v>1116.0000000000002</v>
      </c>
      <c r="R86" s="80">
        <f t="shared" si="29"/>
        <v>4.000000000000001E-3</v>
      </c>
      <c r="S86" s="178">
        <v>1148</v>
      </c>
      <c r="T86" s="80">
        <f t="shared" si="30"/>
        <v>4.0000000000000001E-3</v>
      </c>
      <c r="U86" s="178">
        <v>1179.9999999999998</v>
      </c>
      <c r="V86" s="80">
        <f t="shared" si="31"/>
        <v>3.9999999999999992E-3</v>
      </c>
      <c r="X86" s="192"/>
    </row>
    <row r="87" spans="1:24" ht="12.75" customHeight="1">
      <c r="A87" s="2" t="s">
        <v>431</v>
      </c>
      <c r="B87" s="35"/>
      <c r="C87" s="178">
        <v>0</v>
      </c>
      <c r="D87" s="80">
        <f t="shared" si="32"/>
        <v>0</v>
      </c>
      <c r="E87" s="178">
        <v>0</v>
      </c>
      <c r="F87" s="80">
        <f t="shared" si="23"/>
        <v>0</v>
      </c>
      <c r="G87" s="178">
        <v>0</v>
      </c>
      <c r="H87" s="80">
        <f t="shared" si="24"/>
        <v>0</v>
      </c>
      <c r="I87" s="178">
        <v>0</v>
      </c>
      <c r="J87" s="80">
        <f t="shared" si="25"/>
        <v>0</v>
      </c>
      <c r="K87" s="178">
        <v>0</v>
      </c>
      <c r="L87" s="80">
        <f t="shared" si="26"/>
        <v>0</v>
      </c>
      <c r="M87" s="178">
        <v>0</v>
      </c>
      <c r="N87" s="80">
        <f t="shared" si="27"/>
        <v>0</v>
      </c>
      <c r="O87" s="178">
        <v>0</v>
      </c>
      <c r="P87" s="80">
        <f t="shared" si="28"/>
        <v>0</v>
      </c>
      <c r="Q87" s="178">
        <v>0</v>
      </c>
      <c r="R87" s="80">
        <f t="shared" si="29"/>
        <v>0</v>
      </c>
      <c r="S87" s="178">
        <v>0</v>
      </c>
      <c r="T87" s="80">
        <f t="shared" si="30"/>
        <v>0</v>
      </c>
      <c r="U87" s="178">
        <v>0</v>
      </c>
      <c r="V87" s="80">
        <f t="shared" si="31"/>
        <v>0</v>
      </c>
      <c r="X87" s="192"/>
    </row>
    <row r="88" spans="1:24" ht="12.75" customHeight="1">
      <c r="A88" s="2" t="s">
        <v>432</v>
      </c>
      <c r="B88" s="35"/>
      <c r="C88" s="178">
        <v>1119.1950000000002</v>
      </c>
      <c r="D88" s="80">
        <f t="shared" si="32"/>
        <v>5.1000000000000004E-3</v>
      </c>
      <c r="E88" s="178">
        <v>1167.8999999999999</v>
      </c>
      <c r="F88" s="80">
        <f t="shared" si="23"/>
        <v>5.0999999999999995E-3</v>
      </c>
      <c r="G88" s="178">
        <v>1213.8000000000002</v>
      </c>
      <c r="H88" s="80">
        <f t="shared" si="24"/>
        <v>5.1000000000000004E-3</v>
      </c>
      <c r="I88" s="178">
        <v>1259.7000000000003</v>
      </c>
      <c r="J88" s="80">
        <f t="shared" si="25"/>
        <v>5.1000000000000012E-3</v>
      </c>
      <c r="K88" s="178">
        <v>1300.5000000000002</v>
      </c>
      <c r="L88" s="80">
        <f t="shared" si="26"/>
        <v>5.1000000000000012E-3</v>
      </c>
      <c r="M88" s="178">
        <v>1341.3</v>
      </c>
      <c r="N88" s="80">
        <f t="shared" si="27"/>
        <v>5.0999999999999995E-3</v>
      </c>
      <c r="O88" s="178">
        <v>1377</v>
      </c>
      <c r="P88" s="80">
        <f t="shared" si="28"/>
        <v>5.1000000000000004E-3</v>
      </c>
      <c r="Q88" s="178">
        <v>1422.9</v>
      </c>
      <c r="R88" s="80">
        <f t="shared" si="29"/>
        <v>5.1000000000000004E-3</v>
      </c>
      <c r="S88" s="178">
        <v>1463.7</v>
      </c>
      <c r="T88" s="80">
        <f t="shared" si="30"/>
        <v>5.1000000000000004E-3</v>
      </c>
      <c r="U88" s="178">
        <v>1504.5</v>
      </c>
      <c r="V88" s="80">
        <f t="shared" si="31"/>
        <v>5.1000000000000004E-3</v>
      </c>
      <c r="X88" s="192"/>
    </row>
    <row r="89" spans="1:24" ht="12.75" customHeight="1">
      <c r="A89" s="2" t="s">
        <v>433</v>
      </c>
      <c r="B89" s="35"/>
      <c r="C89" s="178">
        <v>0</v>
      </c>
      <c r="D89" s="80">
        <f t="shared" si="32"/>
        <v>0</v>
      </c>
      <c r="E89" s="178">
        <v>0</v>
      </c>
      <c r="F89" s="80">
        <f t="shared" si="23"/>
        <v>0</v>
      </c>
      <c r="G89" s="178">
        <v>0</v>
      </c>
      <c r="H89" s="80">
        <f t="shared" si="24"/>
        <v>0</v>
      </c>
      <c r="I89" s="178">
        <v>0</v>
      </c>
      <c r="J89" s="80">
        <f t="shared" si="25"/>
        <v>0</v>
      </c>
      <c r="K89" s="178">
        <v>0</v>
      </c>
      <c r="L89" s="80">
        <f t="shared" si="26"/>
        <v>0</v>
      </c>
      <c r="M89" s="178">
        <v>0</v>
      </c>
      <c r="N89" s="80">
        <f t="shared" si="27"/>
        <v>0</v>
      </c>
      <c r="O89" s="178">
        <v>0</v>
      </c>
      <c r="P89" s="80">
        <f t="shared" si="28"/>
        <v>0</v>
      </c>
      <c r="Q89" s="178">
        <v>0</v>
      </c>
      <c r="R89" s="80">
        <f t="shared" si="29"/>
        <v>0</v>
      </c>
      <c r="S89" s="178">
        <v>0</v>
      </c>
      <c r="T89" s="80">
        <f t="shared" si="30"/>
        <v>0</v>
      </c>
      <c r="U89" s="178">
        <v>0</v>
      </c>
      <c r="V89" s="80">
        <f t="shared" si="31"/>
        <v>0</v>
      </c>
      <c r="X89" s="192"/>
    </row>
    <row r="90" spans="1:24" ht="12.75" customHeight="1">
      <c r="A90" s="2" t="s">
        <v>434</v>
      </c>
      <c r="B90" s="35"/>
      <c r="C90" s="178">
        <v>43.890000000000008</v>
      </c>
      <c r="D90" s="80">
        <f t="shared" si="32"/>
        <v>2.0000000000000004E-4</v>
      </c>
      <c r="E90" s="178">
        <v>45.8</v>
      </c>
      <c r="F90" s="80">
        <f t="shared" si="23"/>
        <v>1.9999999999999998E-4</v>
      </c>
      <c r="G90" s="178">
        <v>47.600000000000009</v>
      </c>
      <c r="H90" s="80">
        <f t="shared" si="24"/>
        <v>2.0000000000000004E-4</v>
      </c>
      <c r="I90" s="178">
        <v>49.400000000000006</v>
      </c>
      <c r="J90" s="80">
        <f t="shared" si="25"/>
        <v>2.0000000000000001E-4</v>
      </c>
      <c r="K90" s="178">
        <v>51</v>
      </c>
      <c r="L90" s="80">
        <f t="shared" si="26"/>
        <v>2.0000000000000001E-4</v>
      </c>
      <c r="M90" s="178">
        <v>52.6</v>
      </c>
      <c r="N90" s="80">
        <f t="shared" si="27"/>
        <v>2.0000000000000001E-4</v>
      </c>
      <c r="O90" s="178">
        <v>54</v>
      </c>
      <c r="P90" s="80">
        <f t="shared" si="28"/>
        <v>2.0000000000000001E-4</v>
      </c>
      <c r="Q90" s="178">
        <v>55.800000000000011</v>
      </c>
      <c r="R90" s="80">
        <f t="shared" si="29"/>
        <v>2.0000000000000004E-4</v>
      </c>
      <c r="S90" s="178">
        <v>57.4</v>
      </c>
      <c r="T90" s="80">
        <f t="shared" si="30"/>
        <v>1.9999999999999998E-4</v>
      </c>
      <c r="U90" s="178">
        <v>58.999999999999993</v>
      </c>
      <c r="V90" s="80">
        <f t="shared" si="31"/>
        <v>1.9999999999999998E-4</v>
      </c>
      <c r="X90" s="192"/>
    </row>
    <row r="91" spans="1:24" ht="12.75" customHeight="1">
      <c r="A91" s="2" t="s">
        <v>435</v>
      </c>
      <c r="C91" s="178">
        <v>0</v>
      </c>
      <c r="D91" s="80">
        <f t="shared" si="32"/>
        <v>0</v>
      </c>
      <c r="E91" s="178">
        <v>0</v>
      </c>
      <c r="F91" s="80">
        <f t="shared" si="23"/>
        <v>0</v>
      </c>
      <c r="G91" s="178">
        <v>0</v>
      </c>
      <c r="H91" s="80">
        <f t="shared" si="24"/>
        <v>0</v>
      </c>
      <c r="I91" s="178">
        <v>0</v>
      </c>
      <c r="J91" s="80">
        <f t="shared" si="25"/>
        <v>0</v>
      </c>
      <c r="K91" s="178">
        <v>0</v>
      </c>
      <c r="L91" s="80">
        <f t="shared" si="26"/>
        <v>0</v>
      </c>
      <c r="M91" s="178">
        <v>0</v>
      </c>
      <c r="N91" s="80">
        <f t="shared" si="27"/>
        <v>0</v>
      </c>
      <c r="O91" s="178">
        <v>0</v>
      </c>
      <c r="P91" s="80">
        <f t="shared" si="28"/>
        <v>0</v>
      </c>
      <c r="Q91" s="178">
        <v>0</v>
      </c>
      <c r="R91" s="80">
        <f t="shared" si="29"/>
        <v>0</v>
      </c>
      <c r="S91" s="178">
        <v>0</v>
      </c>
      <c r="T91" s="80">
        <f t="shared" si="30"/>
        <v>0</v>
      </c>
      <c r="U91" s="178">
        <v>0</v>
      </c>
      <c r="V91" s="80">
        <f t="shared" si="31"/>
        <v>0</v>
      </c>
      <c r="X91" s="192"/>
    </row>
    <row r="92" spans="1:24" ht="12.75" customHeight="1">
      <c r="A92" s="2" t="s">
        <v>436</v>
      </c>
      <c r="B92" s="35"/>
      <c r="C92" s="178">
        <v>1141.1400000000001</v>
      </c>
      <c r="D92" s="80">
        <f t="shared" si="32"/>
        <v>5.2000000000000006E-3</v>
      </c>
      <c r="E92" s="178">
        <v>1190.8</v>
      </c>
      <c r="F92" s="80">
        <f t="shared" si="23"/>
        <v>5.1999999999999998E-3</v>
      </c>
      <c r="G92" s="178">
        <v>1237.5999999999999</v>
      </c>
      <c r="H92" s="80">
        <f t="shared" si="24"/>
        <v>5.1999999999999998E-3</v>
      </c>
      <c r="I92" s="178">
        <v>1284.4000000000001</v>
      </c>
      <c r="J92" s="80">
        <f t="shared" si="25"/>
        <v>5.2000000000000006E-3</v>
      </c>
      <c r="K92" s="178">
        <v>1326</v>
      </c>
      <c r="L92" s="80">
        <f t="shared" si="26"/>
        <v>5.1999999999999998E-3</v>
      </c>
      <c r="M92" s="178">
        <v>1367.6</v>
      </c>
      <c r="N92" s="80">
        <f t="shared" si="27"/>
        <v>5.1999999999999998E-3</v>
      </c>
      <c r="O92" s="178">
        <v>1403.9999999999998</v>
      </c>
      <c r="P92" s="80">
        <f t="shared" si="28"/>
        <v>5.1999999999999989E-3</v>
      </c>
      <c r="Q92" s="178">
        <v>1450.8</v>
      </c>
      <c r="R92" s="80">
        <f t="shared" si="29"/>
        <v>5.1999999999999998E-3</v>
      </c>
      <c r="S92" s="178">
        <v>1492.3999999999999</v>
      </c>
      <c r="T92" s="80">
        <f t="shared" si="30"/>
        <v>5.1999999999999998E-3</v>
      </c>
      <c r="U92" s="178">
        <v>1533.9999999999998</v>
      </c>
      <c r="V92" s="80">
        <f t="shared" si="31"/>
        <v>5.1999999999999989E-3</v>
      </c>
      <c r="X92" s="192"/>
    </row>
    <row r="93" spans="1:24" ht="12.75" customHeight="1">
      <c r="A93" s="2" t="s">
        <v>437</v>
      </c>
      <c r="B93" s="35"/>
      <c r="C93" s="178">
        <v>0</v>
      </c>
      <c r="D93" s="80">
        <f t="shared" si="32"/>
        <v>0</v>
      </c>
      <c r="E93" s="178">
        <v>0</v>
      </c>
      <c r="F93" s="80">
        <f t="shared" si="23"/>
        <v>0</v>
      </c>
      <c r="G93" s="178">
        <v>0</v>
      </c>
      <c r="H93" s="80">
        <f t="shared" si="24"/>
        <v>0</v>
      </c>
      <c r="I93" s="178">
        <v>0</v>
      </c>
      <c r="J93" s="80">
        <f t="shared" si="25"/>
        <v>0</v>
      </c>
      <c r="K93" s="178">
        <v>0</v>
      </c>
      <c r="L93" s="80">
        <f t="shared" si="26"/>
        <v>0</v>
      </c>
      <c r="M93" s="178">
        <v>0</v>
      </c>
      <c r="N93" s="80">
        <f t="shared" si="27"/>
        <v>0</v>
      </c>
      <c r="O93" s="178">
        <v>0</v>
      </c>
      <c r="P93" s="80">
        <f t="shared" si="28"/>
        <v>0</v>
      </c>
      <c r="Q93" s="178">
        <v>0</v>
      </c>
      <c r="R93" s="80">
        <f t="shared" si="29"/>
        <v>0</v>
      </c>
      <c r="S93" s="178">
        <v>0</v>
      </c>
      <c r="T93" s="80">
        <f t="shared" si="30"/>
        <v>0</v>
      </c>
      <c r="U93" s="178">
        <v>0</v>
      </c>
      <c r="V93" s="80">
        <f t="shared" si="31"/>
        <v>0</v>
      </c>
      <c r="X93" s="192"/>
    </row>
    <row r="94" spans="1:24" ht="12.75" customHeight="1">
      <c r="A94" s="2" t="s">
        <v>438</v>
      </c>
      <c r="B94" s="35"/>
      <c r="C94" s="178">
        <v>0</v>
      </c>
      <c r="D94" s="80">
        <f t="shared" si="32"/>
        <v>0</v>
      </c>
      <c r="E94" s="178">
        <v>0</v>
      </c>
      <c r="F94" s="80">
        <f t="shared" si="23"/>
        <v>0</v>
      </c>
      <c r="G94" s="178">
        <v>0</v>
      </c>
      <c r="H94" s="80">
        <f t="shared" si="24"/>
        <v>0</v>
      </c>
      <c r="I94" s="178">
        <v>0</v>
      </c>
      <c r="J94" s="80">
        <f t="shared" si="25"/>
        <v>0</v>
      </c>
      <c r="K94" s="178">
        <v>0</v>
      </c>
      <c r="L94" s="80">
        <f t="shared" si="26"/>
        <v>0</v>
      </c>
      <c r="M94" s="178">
        <v>0</v>
      </c>
      <c r="N94" s="80">
        <f t="shared" si="27"/>
        <v>0</v>
      </c>
      <c r="O94" s="178">
        <v>0</v>
      </c>
      <c r="P94" s="80">
        <f t="shared" si="28"/>
        <v>0</v>
      </c>
      <c r="Q94" s="178">
        <v>0</v>
      </c>
      <c r="R94" s="80">
        <f t="shared" si="29"/>
        <v>0</v>
      </c>
      <c r="S94" s="178">
        <v>0</v>
      </c>
      <c r="T94" s="80">
        <f t="shared" si="30"/>
        <v>0</v>
      </c>
      <c r="U94" s="178">
        <v>0</v>
      </c>
      <c r="V94" s="80">
        <f t="shared" si="31"/>
        <v>0</v>
      </c>
      <c r="X94" s="192"/>
    </row>
    <row r="95" spans="1:24" ht="12.75" customHeight="1">
      <c r="A95" s="2" t="s">
        <v>439</v>
      </c>
      <c r="B95" s="35"/>
      <c r="C95" s="178">
        <v>0</v>
      </c>
      <c r="D95" s="80">
        <f t="shared" si="32"/>
        <v>0</v>
      </c>
      <c r="E95" s="178">
        <v>0</v>
      </c>
      <c r="F95" s="80">
        <f t="shared" si="23"/>
        <v>0</v>
      </c>
      <c r="G95" s="178">
        <v>0</v>
      </c>
      <c r="H95" s="80">
        <f t="shared" si="24"/>
        <v>0</v>
      </c>
      <c r="I95" s="178">
        <v>0</v>
      </c>
      <c r="J95" s="80">
        <f t="shared" si="25"/>
        <v>0</v>
      </c>
      <c r="K95" s="178">
        <v>0</v>
      </c>
      <c r="L95" s="80">
        <f t="shared" si="26"/>
        <v>0</v>
      </c>
      <c r="M95" s="178">
        <v>0</v>
      </c>
      <c r="N95" s="80">
        <f t="shared" si="27"/>
        <v>0</v>
      </c>
      <c r="O95" s="178">
        <v>0</v>
      </c>
      <c r="P95" s="80">
        <f t="shared" si="28"/>
        <v>0</v>
      </c>
      <c r="Q95" s="178">
        <v>0</v>
      </c>
      <c r="R95" s="80">
        <f t="shared" si="29"/>
        <v>0</v>
      </c>
      <c r="S95" s="178">
        <v>0</v>
      </c>
      <c r="T95" s="80">
        <f t="shared" si="30"/>
        <v>0</v>
      </c>
      <c r="U95" s="178">
        <v>0</v>
      </c>
      <c r="V95" s="80">
        <f t="shared" si="31"/>
        <v>0</v>
      </c>
      <c r="X95" s="192"/>
    </row>
    <row r="96" spans="1:24" ht="12.75" customHeight="1">
      <c r="A96" s="2" t="s">
        <v>440</v>
      </c>
      <c r="B96" s="35"/>
      <c r="C96" s="178">
        <v>0</v>
      </c>
      <c r="D96" s="80">
        <f t="shared" si="32"/>
        <v>0</v>
      </c>
      <c r="E96" s="178">
        <v>0</v>
      </c>
      <c r="F96" s="80">
        <f t="shared" si="23"/>
        <v>0</v>
      </c>
      <c r="G96" s="178">
        <v>0</v>
      </c>
      <c r="H96" s="80">
        <f t="shared" si="24"/>
        <v>0</v>
      </c>
      <c r="I96" s="178">
        <v>0</v>
      </c>
      <c r="J96" s="80">
        <f t="shared" si="25"/>
        <v>0</v>
      </c>
      <c r="K96" s="178">
        <v>0</v>
      </c>
      <c r="L96" s="80">
        <f t="shared" si="26"/>
        <v>0</v>
      </c>
      <c r="M96" s="178">
        <v>0</v>
      </c>
      <c r="N96" s="80">
        <f t="shared" si="27"/>
        <v>0</v>
      </c>
      <c r="O96" s="178">
        <v>0</v>
      </c>
      <c r="P96" s="80">
        <f t="shared" si="28"/>
        <v>0</v>
      </c>
      <c r="Q96" s="178">
        <v>0</v>
      </c>
      <c r="R96" s="80">
        <f t="shared" si="29"/>
        <v>0</v>
      </c>
      <c r="S96" s="178">
        <v>0</v>
      </c>
      <c r="T96" s="80">
        <f t="shared" si="30"/>
        <v>0</v>
      </c>
      <c r="U96" s="178">
        <v>0</v>
      </c>
      <c r="V96" s="80">
        <f t="shared" si="31"/>
        <v>0</v>
      </c>
      <c r="X96" s="192"/>
    </row>
    <row r="97" spans="1:24" ht="12.75" customHeight="1">
      <c r="A97" s="2" t="s">
        <v>441</v>
      </c>
      <c r="B97" s="35"/>
      <c r="C97" s="178">
        <v>1188.4360999999999</v>
      </c>
      <c r="D97" s="80">
        <f t="shared" si="32"/>
        <v>5.415521075415812E-3</v>
      </c>
      <c r="E97" s="178">
        <v>1321.5409432000001</v>
      </c>
      <c r="F97" s="80">
        <f t="shared" si="23"/>
        <v>5.7709211493449791E-3</v>
      </c>
      <c r="G97" s="178">
        <v>1367.7948762120002</v>
      </c>
      <c r="H97" s="80">
        <f t="shared" si="24"/>
        <v>5.747037295008404E-3</v>
      </c>
      <c r="I97" s="178">
        <v>1411.564312250784</v>
      </c>
      <c r="J97" s="80">
        <f t="shared" si="25"/>
        <v>5.7148352722703804E-3</v>
      </c>
      <c r="K97" s="178">
        <v>1446.8534200570537</v>
      </c>
      <c r="L97" s="80">
        <f t="shared" si="26"/>
        <v>5.6739349806158969E-3</v>
      </c>
      <c r="M97" s="178">
        <v>1483.0247555584797</v>
      </c>
      <c r="N97" s="80">
        <f t="shared" si="27"/>
        <v>5.6388773975607591E-3</v>
      </c>
      <c r="O97" s="178">
        <v>1520.1003744474417</v>
      </c>
      <c r="P97" s="80">
        <f t="shared" si="28"/>
        <v>5.6300013868423766E-3</v>
      </c>
      <c r="Q97" s="178">
        <v>1558.1028838086274</v>
      </c>
      <c r="R97" s="80">
        <f t="shared" si="29"/>
        <v>5.5845981498517114E-3</v>
      </c>
      <c r="S97" s="178">
        <v>1597.0554559038428</v>
      </c>
      <c r="T97" s="80">
        <f t="shared" si="30"/>
        <v>5.5646531564593829E-3</v>
      </c>
      <c r="U97" s="178">
        <v>1636.981842301439</v>
      </c>
      <c r="V97" s="80">
        <f t="shared" si="31"/>
        <v>5.5490909908523355E-3</v>
      </c>
      <c r="X97" s="192"/>
    </row>
    <row r="98" spans="1:24" ht="12.75" customHeight="1">
      <c r="A98" s="117" t="s">
        <v>444</v>
      </c>
      <c r="B98" s="35"/>
      <c r="C98" s="178">
        <v>263.33999999999997</v>
      </c>
      <c r="D98" s="80">
        <f t="shared" si="32"/>
        <v>1.1999999999999999E-3</v>
      </c>
      <c r="E98" s="178">
        <v>274.79999999999995</v>
      </c>
      <c r="F98" s="80">
        <f t="shared" si="23"/>
        <v>1.1999999999999999E-3</v>
      </c>
      <c r="G98" s="178">
        <v>285.59999999999997</v>
      </c>
      <c r="H98" s="80">
        <f t="shared" si="24"/>
        <v>1.1999999999999999E-3</v>
      </c>
      <c r="I98" s="178">
        <v>296.39999999999998</v>
      </c>
      <c r="J98" s="80">
        <f t="shared" si="25"/>
        <v>1.1999999999999999E-3</v>
      </c>
      <c r="K98" s="178">
        <v>306</v>
      </c>
      <c r="L98" s="80">
        <f t="shared" si="26"/>
        <v>1.1999999999999999E-3</v>
      </c>
      <c r="M98" s="178">
        <v>315.59999999999997</v>
      </c>
      <c r="N98" s="80">
        <f t="shared" si="27"/>
        <v>1.1999999999999999E-3</v>
      </c>
      <c r="O98" s="178">
        <v>324</v>
      </c>
      <c r="P98" s="80">
        <f t="shared" si="28"/>
        <v>1.1999999999999999E-3</v>
      </c>
      <c r="Q98" s="178">
        <v>334.79999999999995</v>
      </c>
      <c r="R98" s="80">
        <f t="shared" si="29"/>
        <v>1.1999999999999999E-3</v>
      </c>
      <c r="S98" s="178">
        <v>344.39999999999992</v>
      </c>
      <c r="T98" s="80">
        <f t="shared" si="30"/>
        <v>1.1999999999999997E-3</v>
      </c>
      <c r="U98" s="178">
        <v>353.99999999999994</v>
      </c>
      <c r="V98" s="80">
        <f t="shared" si="31"/>
        <v>1.1999999999999999E-3</v>
      </c>
      <c r="X98" s="192"/>
    </row>
    <row r="99" spans="1:24" ht="12.75" customHeight="1">
      <c r="A99" s="117" t="s">
        <v>444</v>
      </c>
      <c r="B99" s="35"/>
      <c r="C99" s="178">
        <v>0</v>
      </c>
      <c r="D99" s="80">
        <f t="shared" si="32"/>
        <v>0</v>
      </c>
      <c r="E99" s="178">
        <v>0</v>
      </c>
      <c r="F99" s="80">
        <f t="shared" si="23"/>
        <v>0</v>
      </c>
      <c r="G99" s="178">
        <v>0</v>
      </c>
      <c r="H99" s="80">
        <f t="shared" si="24"/>
        <v>0</v>
      </c>
      <c r="I99" s="178">
        <v>0</v>
      </c>
      <c r="J99" s="80">
        <f t="shared" si="25"/>
        <v>0</v>
      </c>
      <c r="K99" s="178">
        <v>0</v>
      </c>
      <c r="L99" s="80">
        <f t="shared" si="26"/>
        <v>0</v>
      </c>
      <c r="M99" s="178">
        <v>0</v>
      </c>
      <c r="N99" s="80">
        <f t="shared" si="27"/>
        <v>0</v>
      </c>
      <c r="O99" s="178">
        <v>0</v>
      </c>
      <c r="P99" s="80">
        <f t="shared" si="28"/>
        <v>0</v>
      </c>
      <c r="Q99" s="178">
        <v>0</v>
      </c>
      <c r="R99" s="80">
        <f t="shared" si="29"/>
        <v>0</v>
      </c>
      <c r="S99" s="178">
        <v>0</v>
      </c>
      <c r="T99" s="80">
        <f t="shared" si="30"/>
        <v>0</v>
      </c>
      <c r="U99" s="178">
        <v>0</v>
      </c>
      <c r="V99" s="80">
        <f t="shared" si="31"/>
        <v>0</v>
      </c>
      <c r="X99" s="192"/>
    </row>
    <row r="100" spans="1:24" ht="12.75" customHeight="1">
      <c r="A100" s="117" t="s">
        <v>444</v>
      </c>
      <c r="B100" s="35"/>
      <c r="C100" s="178">
        <v>0</v>
      </c>
      <c r="D100" s="80">
        <f t="shared" si="32"/>
        <v>0</v>
      </c>
      <c r="E100" s="178">
        <v>0</v>
      </c>
      <c r="F100" s="80">
        <f t="shared" si="23"/>
        <v>0</v>
      </c>
      <c r="G100" s="178">
        <v>0</v>
      </c>
      <c r="H100" s="80">
        <f t="shared" si="24"/>
        <v>0</v>
      </c>
      <c r="I100" s="178">
        <v>0</v>
      </c>
      <c r="J100" s="80">
        <f t="shared" si="25"/>
        <v>0</v>
      </c>
      <c r="K100" s="178">
        <v>0</v>
      </c>
      <c r="L100" s="80">
        <f t="shared" si="26"/>
        <v>0</v>
      </c>
      <c r="M100" s="178">
        <v>0</v>
      </c>
      <c r="N100" s="80">
        <f t="shared" si="27"/>
        <v>0</v>
      </c>
      <c r="O100" s="178">
        <v>0</v>
      </c>
      <c r="P100" s="80">
        <f t="shared" si="28"/>
        <v>0</v>
      </c>
      <c r="Q100" s="178">
        <v>0</v>
      </c>
      <c r="R100" s="80">
        <f t="shared" si="29"/>
        <v>0</v>
      </c>
      <c r="S100" s="178">
        <v>0</v>
      </c>
      <c r="T100" s="80">
        <f t="shared" si="30"/>
        <v>0</v>
      </c>
      <c r="U100" s="178">
        <v>0</v>
      </c>
      <c r="V100" s="80">
        <f t="shared" si="31"/>
        <v>0</v>
      </c>
      <c r="X100" s="192"/>
    </row>
    <row r="101" spans="1:24" ht="12.75" customHeight="1">
      <c r="A101" s="2" t="s">
        <v>445</v>
      </c>
      <c r="B101" s="35"/>
      <c r="C101" s="178"/>
      <c r="D101" s="80">
        <f t="shared" si="32"/>
        <v>0</v>
      </c>
      <c r="E101" s="178"/>
      <c r="F101" s="80">
        <f t="shared" si="23"/>
        <v>0</v>
      </c>
      <c r="G101" s="178"/>
      <c r="H101" s="80">
        <f t="shared" si="24"/>
        <v>0</v>
      </c>
      <c r="I101" s="178">
        <v>0</v>
      </c>
      <c r="J101" s="80">
        <f t="shared" si="25"/>
        <v>0</v>
      </c>
      <c r="K101" s="178">
        <v>0</v>
      </c>
      <c r="L101" s="80">
        <f t="shared" si="26"/>
        <v>0</v>
      </c>
      <c r="M101" s="178">
        <v>0</v>
      </c>
      <c r="N101" s="80">
        <f t="shared" si="27"/>
        <v>0</v>
      </c>
      <c r="O101" s="178">
        <v>0</v>
      </c>
      <c r="P101" s="80">
        <f t="shared" si="28"/>
        <v>0</v>
      </c>
      <c r="Q101" s="178">
        <v>0</v>
      </c>
      <c r="R101" s="80">
        <f t="shared" si="29"/>
        <v>0</v>
      </c>
      <c r="S101" s="178">
        <v>0</v>
      </c>
      <c r="T101" s="80">
        <f t="shared" si="30"/>
        <v>0</v>
      </c>
      <c r="U101" s="178">
        <v>0</v>
      </c>
      <c r="V101" s="80">
        <f t="shared" si="31"/>
        <v>0</v>
      </c>
      <c r="X101" s="192"/>
    </row>
    <row r="102" spans="1:24" ht="12.75" customHeight="1">
      <c r="A102" s="117" t="s">
        <v>446</v>
      </c>
      <c r="B102" s="35"/>
      <c r="C102" s="178">
        <v>2194.5</v>
      </c>
      <c r="D102" s="80">
        <f t="shared" si="32"/>
        <v>0.01</v>
      </c>
      <c r="E102" s="178">
        <v>2289.9999999999995</v>
      </c>
      <c r="F102" s="80">
        <f t="shared" si="23"/>
        <v>9.9999999999999985E-3</v>
      </c>
      <c r="G102" s="178">
        <v>2380</v>
      </c>
      <c r="H102" s="80">
        <f t="shared" si="24"/>
        <v>0.01</v>
      </c>
      <c r="I102" s="178">
        <v>2470.0000000000005</v>
      </c>
      <c r="J102" s="80">
        <f t="shared" si="25"/>
        <v>1.0000000000000002E-2</v>
      </c>
      <c r="K102" s="178">
        <v>2550</v>
      </c>
      <c r="L102" s="80">
        <f t="shared" si="26"/>
        <v>0.01</v>
      </c>
      <c r="M102" s="178">
        <v>2629.9999999999995</v>
      </c>
      <c r="N102" s="80">
        <f t="shared" si="27"/>
        <v>9.9999999999999985E-3</v>
      </c>
      <c r="O102" s="178">
        <v>2700.0000000000005</v>
      </c>
      <c r="P102" s="80">
        <f t="shared" si="28"/>
        <v>1.0000000000000002E-2</v>
      </c>
      <c r="Q102" s="178">
        <v>2790.0000000000005</v>
      </c>
      <c r="R102" s="80">
        <f t="shared" si="29"/>
        <v>1.0000000000000002E-2</v>
      </c>
      <c r="S102" s="178">
        <v>2870</v>
      </c>
      <c r="T102" s="80">
        <f t="shared" si="30"/>
        <v>0.01</v>
      </c>
      <c r="U102" s="178">
        <v>2949.9999999999995</v>
      </c>
      <c r="V102" s="80">
        <f t="shared" si="31"/>
        <v>9.9999999999999985E-3</v>
      </c>
      <c r="X102" s="192"/>
    </row>
    <row r="103" spans="1:24" ht="12.75" customHeight="1">
      <c r="A103" s="117" t="s">
        <v>446</v>
      </c>
      <c r="B103" s="35"/>
      <c r="C103" s="178">
        <v>0</v>
      </c>
      <c r="D103" s="80">
        <f t="shared" si="32"/>
        <v>0</v>
      </c>
      <c r="E103" s="178">
        <v>0</v>
      </c>
      <c r="F103" s="80">
        <f t="shared" si="23"/>
        <v>0</v>
      </c>
      <c r="G103" s="178">
        <v>0</v>
      </c>
      <c r="H103" s="80">
        <f t="shared" si="24"/>
        <v>0</v>
      </c>
      <c r="I103" s="178">
        <v>0</v>
      </c>
      <c r="J103" s="80">
        <f t="shared" si="25"/>
        <v>0</v>
      </c>
      <c r="K103" s="178">
        <v>0</v>
      </c>
      <c r="L103" s="80">
        <f t="shared" si="26"/>
        <v>0</v>
      </c>
      <c r="M103" s="178">
        <v>0</v>
      </c>
      <c r="N103" s="80">
        <f t="shared" si="27"/>
        <v>0</v>
      </c>
      <c r="O103" s="178">
        <v>0</v>
      </c>
      <c r="P103" s="80">
        <f t="shared" si="28"/>
        <v>0</v>
      </c>
      <c r="Q103" s="178">
        <v>0</v>
      </c>
      <c r="R103" s="80">
        <f t="shared" si="29"/>
        <v>0</v>
      </c>
      <c r="S103" s="178">
        <v>0</v>
      </c>
      <c r="T103" s="80">
        <f t="shared" si="30"/>
        <v>0</v>
      </c>
      <c r="U103" s="178">
        <v>0</v>
      </c>
      <c r="V103" s="80">
        <f t="shared" si="31"/>
        <v>0</v>
      </c>
      <c r="X103" s="192"/>
    </row>
    <row r="104" spans="1:24" ht="12.75" customHeight="1">
      <c r="A104" s="117" t="s">
        <v>446</v>
      </c>
      <c r="B104" s="35"/>
      <c r="C104" s="178">
        <v>0</v>
      </c>
      <c r="D104" s="80">
        <f t="shared" si="32"/>
        <v>0</v>
      </c>
      <c r="E104" s="178">
        <v>0</v>
      </c>
      <c r="F104" s="80">
        <f t="shared" si="23"/>
        <v>0</v>
      </c>
      <c r="G104" s="178">
        <v>0</v>
      </c>
      <c r="H104" s="80">
        <f t="shared" si="24"/>
        <v>0</v>
      </c>
      <c r="I104" s="178">
        <v>0</v>
      </c>
      <c r="J104" s="80">
        <f t="shared" si="25"/>
        <v>0</v>
      </c>
      <c r="K104" s="178">
        <v>0</v>
      </c>
      <c r="L104" s="80">
        <f t="shared" si="26"/>
        <v>0</v>
      </c>
      <c r="M104" s="178">
        <v>0</v>
      </c>
      <c r="N104" s="80">
        <f t="shared" si="27"/>
        <v>0</v>
      </c>
      <c r="O104" s="178">
        <v>0</v>
      </c>
      <c r="P104" s="80">
        <f t="shared" si="28"/>
        <v>0</v>
      </c>
      <c r="Q104" s="178">
        <v>0</v>
      </c>
      <c r="R104" s="80">
        <f t="shared" si="29"/>
        <v>0</v>
      </c>
      <c r="S104" s="178">
        <v>0</v>
      </c>
      <c r="T104" s="80">
        <f t="shared" si="30"/>
        <v>0</v>
      </c>
      <c r="U104" s="178">
        <v>0</v>
      </c>
      <c r="V104" s="80">
        <f t="shared" si="31"/>
        <v>0</v>
      </c>
      <c r="X104" s="192"/>
    </row>
    <row r="105" spans="1:24" ht="12.75" customHeight="1">
      <c r="A105" s="1" t="s">
        <v>447</v>
      </c>
      <c r="B105" s="53"/>
      <c r="C105" s="82">
        <f>SUM(C52:C104)</f>
        <v>21416.389041684706</v>
      </c>
      <c r="D105" s="83">
        <f t="shared" si="32"/>
        <v>9.7591200919046286E-2</v>
      </c>
      <c r="E105" s="82">
        <f>SUM(E52:E104)</f>
        <v>22470.902588739638</v>
      </c>
      <c r="F105" s="83">
        <f t="shared" si="23"/>
        <v>9.812621217790235E-2</v>
      </c>
      <c r="G105" s="82">
        <f>SUM(G52:G104)</f>
        <v>23317.253546311833</v>
      </c>
      <c r="H105" s="83">
        <f t="shared" si="24"/>
        <v>9.797165355593207E-2</v>
      </c>
      <c r="I105" s="82">
        <f>SUM(I52:I104)</f>
        <v>24198.791530335413</v>
      </c>
      <c r="J105" s="83">
        <f t="shared" si="25"/>
        <v>9.7970815912289122E-2</v>
      </c>
      <c r="K105" s="82">
        <f>SUM(K52:K104)</f>
        <v>24962.504359024035</v>
      </c>
      <c r="L105" s="83">
        <f t="shared" si="26"/>
        <v>9.7892173956956999E-2</v>
      </c>
      <c r="M105" s="82">
        <f>SUM(M52:M104)</f>
        <v>25741.834639695964</v>
      </c>
      <c r="N105" s="83">
        <f t="shared" si="27"/>
        <v>9.7877698249794545E-2</v>
      </c>
      <c r="O105" s="82">
        <f>SUM(O52:O104)</f>
        <v>26431.388983619403</v>
      </c>
      <c r="P105" s="83">
        <f t="shared" si="28"/>
        <v>9.7894033272664452E-2</v>
      </c>
      <c r="Q105" s="82">
        <f>SUM(Q52:Q104)</f>
        <v>27309.808414074156</v>
      </c>
      <c r="R105" s="83">
        <f t="shared" si="29"/>
        <v>9.7884617971591953E-2</v>
      </c>
      <c r="S105" s="82">
        <f>SUM(S52:S104)</f>
        <v>28097.237429690547</v>
      </c>
      <c r="T105" s="83">
        <f t="shared" si="30"/>
        <v>9.7899781984984488E-2</v>
      </c>
      <c r="U105" s="82">
        <f>SUM(U52:U104)</f>
        <v>28886.912341981348</v>
      </c>
      <c r="V105" s="83">
        <f t="shared" si="31"/>
        <v>9.7921736752479144E-2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448</v>
      </c>
      <c r="B107" s="53"/>
      <c r="C107" s="82">
        <f>C28-C33-C46-C105</f>
        <v>51776.294958315288</v>
      </c>
      <c r="D107" s="83">
        <f>IFERROR(C107/C$28,0)</f>
        <v>0.23593663685721253</v>
      </c>
      <c r="E107" s="82">
        <f>E28-E33-E46-E105</f>
        <v>51980.211619260357</v>
      </c>
      <c r="F107" s="83">
        <f>IFERROR(E107/E$28,0)</f>
        <v>0.2269878236648924</v>
      </c>
      <c r="G107" s="82">
        <f>G28-G33-G46-G105</f>
        <v>54275.499658968161</v>
      </c>
      <c r="H107" s="83">
        <f>IFERROR(G107/G$28,0)</f>
        <v>0.22804831789482422</v>
      </c>
      <c r="I107" s="82">
        <f>I28-I33-I46-I105</f>
        <v>56596.961777513556</v>
      </c>
      <c r="J107" s="83">
        <f>IFERROR(I107/I$28,0)</f>
        <v>0.22913749707495368</v>
      </c>
      <c r="K107" s="82">
        <f>K28-K33-K46-K105</f>
        <v>58769.692781521138</v>
      </c>
      <c r="L107" s="83">
        <f>IFERROR(K107/K$28,0)</f>
        <v>0.23046938345694565</v>
      </c>
      <c r="M107" s="82">
        <f>M28-M33-M46-M105</f>
        <v>60905.017429362852</v>
      </c>
      <c r="N107" s="83">
        <f>IFERROR(M107/M$28,0)</f>
        <v>0.23157801303940248</v>
      </c>
      <c r="O107" s="82">
        <f>O28-O33-O46-O105</f>
        <v>62631.784387165884</v>
      </c>
      <c r="P107" s="83">
        <f>IFERROR(O107/O$28,0)</f>
        <v>0.2319695718043181</v>
      </c>
      <c r="Q107" s="82">
        <f>Q28-Q33-Q46-Q105</f>
        <v>65098.794290980775</v>
      </c>
      <c r="R107" s="83">
        <f>IFERROR(Q107/Q$28,0)</f>
        <v>0.23332901179563001</v>
      </c>
      <c r="S107" s="82">
        <f>S28-S33-S46-S105</f>
        <v>67157.330342990754</v>
      </c>
      <c r="T107" s="83">
        <f>IFERROR(S107/S$28,0)</f>
        <v>0.23399766670031621</v>
      </c>
      <c r="U107" s="82">
        <f>U28-U33-U46-U105</f>
        <v>69189.569625017</v>
      </c>
      <c r="V107" s="83">
        <f>IFERROR(U107/U$28,0)</f>
        <v>0.23454091398310847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449</v>
      </c>
      <c r="B110" s="40"/>
      <c r="C110" s="86" t="str">
        <f>C50</f>
        <v>FY 2018-19</v>
      </c>
      <c r="D110" s="86" t="s">
        <v>366</v>
      </c>
      <c r="E110" s="86" t="str">
        <f>E50</f>
        <v>FY 2019-20</v>
      </c>
      <c r="F110" s="86" t="s">
        <v>366</v>
      </c>
      <c r="G110" s="86" t="str">
        <f>G50</f>
        <v>FY 2020-21</v>
      </c>
      <c r="H110" s="86" t="s">
        <v>366</v>
      </c>
      <c r="I110" s="86" t="str">
        <f>I50</f>
        <v>FY 2021-22</v>
      </c>
      <c r="J110" s="86" t="s">
        <v>366</v>
      </c>
      <c r="K110" s="86" t="str">
        <f>K50</f>
        <v>FY 2022-23</v>
      </c>
      <c r="L110" s="86" t="s">
        <v>366</v>
      </c>
      <c r="M110" s="86" t="str">
        <f>M50</f>
        <v>FY 2023-24</v>
      </c>
      <c r="N110" s="86" t="s">
        <v>366</v>
      </c>
      <c r="O110" s="86" t="str">
        <f>O50</f>
        <v>FY 2024-25</v>
      </c>
      <c r="P110" s="86" t="s">
        <v>366</v>
      </c>
      <c r="Q110" s="86" t="str">
        <f>Q50</f>
        <v>FY 2025-26</v>
      </c>
      <c r="R110" s="86" t="s">
        <v>366</v>
      </c>
      <c r="S110" s="86" t="str">
        <f>S50</f>
        <v>FY 2026-27</v>
      </c>
      <c r="T110" s="86" t="s">
        <v>366</v>
      </c>
      <c r="U110" s="86" t="str">
        <f>U50</f>
        <v>FY 2027-28</v>
      </c>
      <c r="V110" s="86" t="s">
        <v>366</v>
      </c>
    </row>
    <row r="111" spans="1:24" ht="12.75" customHeight="1">
      <c r="A111" s="2" t="s">
        <v>403</v>
      </c>
      <c r="B111" s="35"/>
      <c r="C111" s="79">
        <f>C59</f>
        <v>0</v>
      </c>
      <c r="D111" s="80">
        <f t="shared" ref="D111:D116" si="33">IFERROR(C111/C$28,0)</f>
        <v>0</v>
      </c>
      <c r="E111" s="79">
        <f>E59</f>
        <v>0</v>
      </c>
      <c r="F111" s="80">
        <f t="shared" ref="F111:F116" si="34">IFERROR(E111/E$28,0)</f>
        <v>0</v>
      </c>
      <c r="G111" s="79">
        <f>G59</f>
        <v>0</v>
      </c>
      <c r="H111" s="80">
        <f t="shared" ref="H111:H116" si="35">IFERROR(G111/G$28,0)</f>
        <v>0</v>
      </c>
      <c r="I111" s="79">
        <f>I59</f>
        <v>0</v>
      </c>
      <c r="J111" s="80">
        <f t="shared" ref="J111:J116" si="36">IFERROR(I111/I$28,0)</f>
        <v>0</v>
      </c>
      <c r="K111" s="79">
        <f>K59</f>
        <v>0</v>
      </c>
      <c r="L111" s="80">
        <f t="shared" ref="L111:L116" si="37">IFERROR(K111/K$28,0)</f>
        <v>0</v>
      </c>
      <c r="M111" s="79">
        <f>M59</f>
        <v>0</v>
      </c>
      <c r="N111" s="80">
        <f t="shared" ref="N111:N116" si="38">IFERROR(M111/M$28,0)</f>
        <v>0</v>
      </c>
      <c r="O111" s="79">
        <f>O59</f>
        <v>0</v>
      </c>
      <c r="P111" s="80">
        <f t="shared" ref="P111:P116" si="39">IFERROR(O111/O$28,0)</f>
        <v>0</v>
      </c>
      <c r="Q111" s="79">
        <f>Q59</f>
        <v>0</v>
      </c>
      <c r="R111" s="80">
        <f t="shared" ref="R111:R116" si="40">IFERROR(Q111/Q$28,0)</f>
        <v>0</v>
      </c>
      <c r="S111" s="79">
        <f>S59</f>
        <v>0</v>
      </c>
      <c r="T111" s="80">
        <f t="shared" ref="T111:T116" si="41">IFERROR(S111/S$28,0)</f>
        <v>0</v>
      </c>
      <c r="U111" s="79">
        <f>U59</f>
        <v>0</v>
      </c>
      <c r="V111" s="80">
        <f t="shared" ref="V111:V116" si="42">IFERROR(U111/U$28,0)</f>
        <v>0</v>
      </c>
    </row>
    <row r="112" spans="1:24" ht="12.75" customHeight="1">
      <c r="A112" s="2" t="s">
        <v>450</v>
      </c>
      <c r="B112" s="35"/>
      <c r="C112" s="79">
        <f>C62</f>
        <v>0</v>
      </c>
      <c r="D112" s="80">
        <f t="shared" si="33"/>
        <v>0</v>
      </c>
      <c r="E112" s="79">
        <f>E62</f>
        <v>0</v>
      </c>
      <c r="F112" s="80">
        <f t="shared" si="34"/>
        <v>0</v>
      </c>
      <c r="G112" s="79">
        <f>G62</f>
        <v>0</v>
      </c>
      <c r="H112" s="80">
        <f t="shared" si="35"/>
        <v>0</v>
      </c>
      <c r="I112" s="79">
        <f>I62</f>
        <v>0</v>
      </c>
      <c r="J112" s="80">
        <f t="shared" si="36"/>
        <v>0</v>
      </c>
      <c r="K112" s="79">
        <f>K62</f>
        <v>0</v>
      </c>
      <c r="L112" s="80">
        <f t="shared" si="37"/>
        <v>0</v>
      </c>
      <c r="M112" s="79">
        <f>M62</f>
        <v>0</v>
      </c>
      <c r="N112" s="80">
        <f t="shared" si="38"/>
        <v>0</v>
      </c>
      <c r="O112" s="79">
        <f>O62</f>
        <v>0</v>
      </c>
      <c r="P112" s="80">
        <f t="shared" si="39"/>
        <v>0</v>
      </c>
      <c r="Q112" s="79">
        <f>Q62</f>
        <v>0</v>
      </c>
      <c r="R112" s="80">
        <f t="shared" si="40"/>
        <v>0</v>
      </c>
      <c r="S112" s="79">
        <f>S62</f>
        <v>0</v>
      </c>
      <c r="T112" s="80">
        <f t="shared" si="41"/>
        <v>0</v>
      </c>
      <c r="U112" s="79">
        <f>U62</f>
        <v>0</v>
      </c>
      <c r="V112" s="80">
        <f t="shared" si="42"/>
        <v>0</v>
      </c>
    </row>
    <row r="113" spans="1:22" ht="12.75" customHeight="1">
      <c r="A113" s="117" t="s">
        <v>446</v>
      </c>
      <c r="B113" s="41"/>
      <c r="C113" s="111">
        <v>0</v>
      </c>
      <c r="D113" s="80">
        <f t="shared" si="33"/>
        <v>0</v>
      </c>
      <c r="E113" s="111">
        <v>0</v>
      </c>
      <c r="F113" s="80">
        <f t="shared" si="34"/>
        <v>0</v>
      </c>
      <c r="G113" s="111">
        <v>0</v>
      </c>
      <c r="H113" s="80">
        <f t="shared" si="35"/>
        <v>0</v>
      </c>
      <c r="I113" s="111">
        <v>0</v>
      </c>
      <c r="J113" s="80">
        <f t="shared" si="36"/>
        <v>0</v>
      </c>
      <c r="K113" s="111">
        <v>0</v>
      </c>
      <c r="L113" s="80">
        <f t="shared" si="37"/>
        <v>0</v>
      </c>
      <c r="M113" s="111">
        <v>0</v>
      </c>
      <c r="N113" s="80">
        <f t="shared" si="38"/>
        <v>0</v>
      </c>
      <c r="O113" s="111">
        <v>0</v>
      </c>
      <c r="P113" s="80">
        <f t="shared" si="39"/>
        <v>0</v>
      </c>
      <c r="Q113" s="111">
        <v>0</v>
      </c>
      <c r="R113" s="80">
        <f t="shared" si="40"/>
        <v>0</v>
      </c>
      <c r="S113" s="111">
        <v>0</v>
      </c>
      <c r="T113" s="80">
        <f t="shared" si="41"/>
        <v>0</v>
      </c>
      <c r="U113" s="111">
        <v>0</v>
      </c>
      <c r="V113" s="80">
        <f t="shared" si="42"/>
        <v>0</v>
      </c>
    </row>
    <row r="114" spans="1:22" ht="12.75" customHeight="1">
      <c r="A114" s="117" t="s">
        <v>446</v>
      </c>
      <c r="B114" s="41"/>
      <c r="C114" s="111">
        <v>0</v>
      </c>
      <c r="D114" s="80">
        <f t="shared" si="33"/>
        <v>0</v>
      </c>
      <c r="E114" s="111">
        <v>0</v>
      </c>
      <c r="F114" s="80">
        <f t="shared" si="34"/>
        <v>0</v>
      </c>
      <c r="G114" s="111">
        <v>0</v>
      </c>
      <c r="H114" s="80">
        <f t="shared" si="35"/>
        <v>0</v>
      </c>
      <c r="I114" s="111">
        <v>0</v>
      </c>
      <c r="J114" s="80">
        <f t="shared" si="36"/>
        <v>0</v>
      </c>
      <c r="K114" s="111">
        <v>0</v>
      </c>
      <c r="L114" s="80">
        <f t="shared" si="37"/>
        <v>0</v>
      </c>
      <c r="M114" s="111">
        <v>0</v>
      </c>
      <c r="N114" s="80">
        <f t="shared" si="38"/>
        <v>0</v>
      </c>
      <c r="O114" s="111">
        <v>0</v>
      </c>
      <c r="P114" s="80">
        <f t="shared" si="39"/>
        <v>0</v>
      </c>
      <c r="Q114" s="111">
        <v>0</v>
      </c>
      <c r="R114" s="80">
        <f t="shared" si="40"/>
        <v>0</v>
      </c>
      <c r="S114" s="111">
        <v>0</v>
      </c>
      <c r="T114" s="80">
        <f t="shared" si="41"/>
        <v>0</v>
      </c>
      <c r="U114" s="111">
        <v>0</v>
      </c>
      <c r="V114" s="80">
        <f t="shared" si="42"/>
        <v>0</v>
      </c>
    </row>
    <row r="115" spans="1:22" ht="12.75" customHeight="1">
      <c r="A115" s="117" t="s">
        <v>446</v>
      </c>
      <c r="B115" s="41"/>
      <c r="C115" s="112">
        <v>0</v>
      </c>
      <c r="D115" s="80">
        <f t="shared" si="33"/>
        <v>0</v>
      </c>
      <c r="E115" s="112">
        <v>0</v>
      </c>
      <c r="F115" s="80">
        <f t="shared" si="34"/>
        <v>0</v>
      </c>
      <c r="G115" s="112">
        <v>0</v>
      </c>
      <c r="H115" s="80">
        <f t="shared" si="35"/>
        <v>0</v>
      </c>
      <c r="I115" s="112">
        <v>0</v>
      </c>
      <c r="J115" s="80">
        <f t="shared" si="36"/>
        <v>0</v>
      </c>
      <c r="K115" s="112">
        <v>0</v>
      </c>
      <c r="L115" s="80">
        <f t="shared" si="37"/>
        <v>0</v>
      </c>
      <c r="M115" s="112">
        <v>0</v>
      </c>
      <c r="N115" s="80">
        <f t="shared" si="38"/>
        <v>0</v>
      </c>
      <c r="O115" s="112">
        <v>0</v>
      </c>
      <c r="P115" s="80">
        <f t="shared" si="39"/>
        <v>0</v>
      </c>
      <c r="Q115" s="112">
        <v>0</v>
      </c>
      <c r="R115" s="80">
        <f t="shared" si="40"/>
        <v>0</v>
      </c>
      <c r="S115" s="112">
        <v>0</v>
      </c>
      <c r="T115" s="80">
        <f t="shared" si="41"/>
        <v>0</v>
      </c>
      <c r="U115" s="112">
        <v>0</v>
      </c>
      <c r="V115" s="80">
        <f t="shared" si="42"/>
        <v>0</v>
      </c>
    </row>
    <row r="116" spans="1:22" ht="12.75" customHeight="1">
      <c r="A116" s="40" t="s">
        <v>451</v>
      </c>
      <c r="B116" s="42"/>
      <c r="C116" s="85">
        <f>SUM(C111:C115)</f>
        <v>0</v>
      </c>
      <c r="D116" s="83">
        <f t="shared" si="33"/>
        <v>0</v>
      </c>
      <c r="E116" s="85">
        <f>SUM(E111:E115)</f>
        <v>0</v>
      </c>
      <c r="F116" s="83">
        <f t="shared" si="34"/>
        <v>0</v>
      </c>
      <c r="G116" s="85">
        <f>SUM(G111:G115)</f>
        <v>0</v>
      </c>
      <c r="H116" s="83">
        <f t="shared" si="35"/>
        <v>0</v>
      </c>
      <c r="I116" s="85">
        <f>SUM(I111:I115)</f>
        <v>0</v>
      </c>
      <c r="J116" s="83">
        <f t="shared" si="36"/>
        <v>0</v>
      </c>
      <c r="K116" s="85">
        <f>SUM(K111:K115)</f>
        <v>0</v>
      </c>
      <c r="L116" s="83">
        <f t="shared" si="37"/>
        <v>0</v>
      </c>
      <c r="M116" s="85">
        <f>SUM(M111:M115)</f>
        <v>0</v>
      </c>
      <c r="N116" s="83">
        <f t="shared" si="38"/>
        <v>0</v>
      </c>
      <c r="O116" s="85">
        <f>SUM(O111:O115)</f>
        <v>0</v>
      </c>
      <c r="P116" s="83">
        <f t="shared" si="39"/>
        <v>0</v>
      </c>
      <c r="Q116" s="85">
        <f>SUM(Q111:Q115)</f>
        <v>0</v>
      </c>
      <c r="R116" s="83">
        <f t="shared" si="40"/>
        <v>0</v>
      </c>
      <c r="S116" s="85">
        <f>SUM(S111:S115)</f>
        <v>0</v>
      </c>
      <c r="T116" s="83">
        <f t="shared" si="41"/>
        <v>0</v>
      </c>
      <c r="U116" s="85">
        <f>SUM(U111:U115)</f>
        <v>0</v>
      </c>
      <c r="V116" s="83">
        <f t="shared" si="42"/>
        <v>0</v>
      </c>
    </row>
    <row r="118" spans="1:22" ht="12.75" customHeight="1">
      <c r="A118" s="43" t="s">
        <v>452</v>
      </c>
      <c r="B118" s="43"/>
    </row>
    <row r="119" spans="1:22" ht="12.75" customHeight="1">
      <c r="A119" s="47" t="s">
        <v>453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7" tint="0.59999389629810485"/>
  </sheetPr>
  <dimension ref="A1:X119"/>
  <sheetViews>
    <sheetView zoomScale="70" zoomScaleNormal="70" workbookViewId="0" xr3:uid="{274F5AE0-5452-572F-8038-C13FFDA59D49}">
      <selection activeCell="W59" sqref="W59"/>
    </sheetView>
  </sheetViews>
  <sheetFormatPr defaultColWidth="9.140625" defaultRowHeight="12.75" customHeight="1"/>
  <cols>
    <col min="1" max="1" width="9.5703125" style="2" customWidth="1"/>
    <col min="2" max="2" width="38.28515625" style="2" customWidth="1"/>
    <col min="3" max="3" width="13.85546875" style="2" customWidth="1"/>
    <col min="4" max="4" width="8.7109375" style="2" customWidth="1"/>
    <col min="5" max="5" width="14.7109375" style="2" customWidth="1"/>
    <col min="6" max="6" width="8.7109375" style="2" customWidth="1"/>
    <col min="7" max="7" width="13.85546875" style="2" customWidth="1"/>
    <col min="8" max="8" width="8.7109375" style="2" customWidth="1"/>
    <col min="9" max="9" width="13.85546875" style="2" customWidth="1"/>
    <col min="10" max="10" width="8.7109375" style="2" customWidth="1"/>
    <col min="11" max="11" width="14.7109375" style="2" customWidth="1"/>
    <col min="12" max="12" width="8.7109375" style="2" customWidth="1"/>
    <col min="13" max="13" width="14.140625" style="2" customWidth="1"/>
    <col min="14" max="14" width="8.7109375" style="2" customWidth="1"/>
    <col min="15" max="15" width="15.140625" style="2" customWidth="1"/>
    <col min="16" max="16" width="8.7109375" style="2" customWidth="1"/>
    <col min="17" max="17" width="13.7109375" style="2" customWidth="1"/>
    <col min="18" max="18" width="8.7109375" style="2" customWidth="1"/>
    <col min="19" max="19" width="13.85546875" style="2" customWidth="1"/>
    <col min="20" max="20" width="8.7109375" style="2" customWidth="1"/>
    <col min="21" max="21" width="13.42578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355</v>
      </c>
      <c r="G2" s="33" t="s">
        <v>466</v>
      </c>
      <c r="H2" s="34"/>
      <c r="I2" s="34"/>
      <c r="V2" s="32"/>
    </row>
    <row r="3" spans="1:22" ht="12.75" customHeight="1">
      <c r="A3" s="1" t="s">
        <v>357</v>
      </c>
      <c r="D3" s="118" t="s">
        <v>358</v>
      </c>
      <c r="G3" s="115" t="str">
        <f>+G2</f>
        <v>Starbucks (Green Library) &amp; Starbucks Truck</v>
      </c>
      <c r="H3" s="116"/>
      <c r="I3" s="116"/>
      <c r="V3" s="32"/>
    </row>
    <row r="4" spans="1:22" ht="12.75" customHeight="1">
      <c r="A4" s="1" t="s">
        <v>359</v>
      </c>
      <c r="B4" s="109" t="s">
        <v>221</v>
      </c>
      <c r="D4" s="118" t="s">
        <v>360</v>
      </c>
      <c r="G4" s="115" t="s">
        <v>65</v>
      </c>
      <c r="H4" s="116"/>
      <c r="I4" s="116"/>
      <c r="V4" s="32"/>
    </row>
    <row r="5" spans="1:22" ht="12.75" customHeight="1">
      <c r="A5" s="1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A6" s="1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361</v>
      </c>
      <c r="B7" s="1"/>
    </row>
    <row r="8" spans="1:22" ht="12.75" customHeight="1">
      <c r="A8" s="2" t="s">
        <v>362</v>
      </c>
      <c r="C8" s="109">
        <v>285</v>
      </c>
      <c r="E8" s="109">
        <f>+C8</f>
        <v>285</v>
      </c>
      <c r="G8" s="109">
        <f>+E8</f>
        <v>285</v>
      </c>
      <c r="I8" s="109">
        <f>+G8</f>
        <v>285</v>
      </c>
      <c r="K8" s="109">
        <f>+I8</f>
        <v>285</v>
      </c>
      <c r="M8" s="109">
        <f>+K8</f>
        <v>285</v>
      </c>
      <c r="O8" s="109">
        <f>+M8</f>
        <v>285</v>
      </c>
      <c r="Q8" s="109">
        <f>+O8</f>
        <v>285</v>
      </c>
      <c r="S8" s="109">
        <f>+Q8</f>
        <v>285</v>
      </c>
      <c r="U8" s="109">
        <f>+S8</f>
        <v>285</v>
      </c>
    </row>
    <row r="10" spans="1:22" ht="12.75" customHeight="1">
      <c r="A10" s="2" t="s">
        <v>462</v>
      </c>
      <c r="C10" s="201">
        <f>+C14/C8/C12</f>
        <v>1244.019138755981</v>
      </c>
      <c r="D10" s="202"/>
      <c r="E10" s="201">
        <f>+E14/E8/E12</f>
        <v>1289.57973517559</v>
      </c>
      <c r="F10" s="202"/>
      <c r="G10" s="201">
        <f>+G14/G8/G12</f>
        <v>1334.05803665791</v>
      </c>
      <c r="H10" s="202"/>
      <c r="I10" s="201">
        <f>+I14/I8/I12</f>
        <v>1380.0367127080135</v>
      </c>
      <c r="J10" s="202"/>
      <c r="K10" s="201">
        <f>+K14/K8/K12</f>
        <v>1410.0839833826476</v>
      </c>
      <c r="L10" s="202"/>
      <c r="M10" s="201">
        <f>+M14/M8/M12</f>
        <v>1440.9119244812537</v>
      </c>
      <c r="N10" s="202"/>
      <c r="O10" s="201">
        <f>+O14/O8/O12</f>
        <v>1484.9836455545642</v>
      </c>
      <c r="P10" s="202"/>
      <c r="Q10" s="201">
        <f>+Q14/Q8/Q12</f>
        <v>1512.4219945837749</v>
      </c>
      <c r="R10" s="202"/>
      <c r="S10" s="201">
        <f>+S14/S8/S12</f>
        <v>1555.9872836453549</v>
      </c>
      <c r="T10" s="202"/>
      <c r="U10" s="201">
        <f>+U14/U8/U12</f>
        <v>1600.7300129518428</v>
      </c>
    </row>
    <row r="12" spans="1:22" ht="12.75" customHeight="1">
      <c r="A12" s="2" t="s">
        <v>463</v>
      </c>
      <c r="C12" s="110">
        <v>5.5</v>
      </c>
      <c r="E12" s="110">
        <v>5.79</v>
      </c>
      <c r="G12" s="110">
        <v>5.81</v>
      </c>
      <c r="I12" s="110">
        <v>5.83</v>
      </c>
      <c r="K12" s="110">
        <v>5.87</v>
      </c>
      <c r="M12" s="110">
        <v>5.91</v>
      </c>
      <c r="O12" s="110">
        <v>5.9</v>
      </c>
      <c r="Q12" s="110">
        <v>5.96</v>
      </c>
      <c r="S12" s="110">
        <v>5.96</v>
      </c>
      <c r="U12" s="110">
        <v>5.96</v>
      </c>
    </row>
    <row r="14" spans="1:22" ht="12.75" customHeight="1">
      <c r="A14" s="2" t="s">
        <v>464</v>
      </c>
      <c r="C14" s="223">
        <v>1950000</v>
      </c>
      <c r="D14" s="153"/>
      <c r="E14" s="223">
        <v>2128000</v>
      </c>
      <c r="F14" s="153"/>
      <c r="G14" s="223">
        <v>2209000</v>
      </c>
      <c r="H14" s="153"/>
      <c r="I14" s="223">
        <v>2293000</v>
      </c>
      <c r="J14" s="153"/>
      <c r="K14" s="223">
        <v>2359000</v>
      </c>
      <c r="L14" s="153"/>
      <c r="M14" s="223">
        <v>2427000</v>
      </c>
      <c r="N14" s="153"/>
      <c r="O14" s="223">
        <v>2497000</v>
      </c>
      <c r="P14" s="153"/>
      <c r="Q14" s="223">
        <v>2569000</v>
      </c>
      <c r="R14" s="153"/>
      <c r="S14" s="223">
        <v>2643000</v>
      </c>
      <c r="T14" s="153"/>
      <c r="U14" s="223">
        <v>2719000</v>
      </c>
    </row>
    <row r="15" spans="1:22" ht="12.75" customHeight="1">
      <c r="A15" s="39">
        <v>0.05</v>
      </c>
    </row>
    <row r="16" spans="1:22" ht="12.75" customHeight="1">
      <c r="B16" s="35"/>
      <c r="C16" s="86" t="str">
        <f>C6</f>
        <v>FY 2018-19</v>
      </c>
      <c r="D16" s="86" t="s">
        <v>366</v>
      </c>
      <c r="E16" s="86" t="str">
        <f>E6</f>
        <v>FY 2019-20</v>
      </c>
      <c r="F16" s="86" t="s">
        <v>366</v>
      </c>
      <c r="G16" s="86" t="str">
        <f>G6</f>
        <v>FY 2020-21</v>
      </c>
      <c r="H16" s="86" t="s">
        <v>366</v>
      </c>
      <c r="I16" s="86" t="str">
        <f>I6</f>
        <v>FY 2021-22</v>
      </c>
      <c r="J16" s="86" t="s">
        <v>366</v>
      </c>
      <c r="K16" s="86" t="str">
        <f>K6</f>
        <v>FY 2022-23</v>
      </c>
      <c r="L16" s="86" t="s">
        <v>366</v>
      </c>
      <c r="M16" s="86" t="str">
        <f>M6</f>
        <v>FY 2023-24</v>
      </c>
      <c r="N16" s="86" t="s">
        <v>366</v>
      </c>
      <c r="O16" s="86" t="str">
        <f>O6</f>
        <v>FY 2024-25</v>
      </c>
      <c r="P16" s="86" t="s">
        <v>366</v>
      </c>
      <c r="Q16" s="86" t="str">
        <f>Q6</f>
        <v>FY 2025-26</v>
      </c>
      <c r="R16" s="86" t="s">
        <v>366</v>
      </c>
      <c r="S16" s="86" t="str">
        <f>S6</f>
        <v>FY 2026-27</v>
      </c>
      <c r="T16" s="86" t="s">
        <v>366</v>
      </c>
      <c r="U16" s="86" t="str">
        <f>U6</f>
        <v>FY 2027-28</v>
      </c>
      <c r="V16" s="86" t="s">
        <v>366</v>
      </c>
    </row>
    <row r="17" spans="1:24" ht="12.75" customHeight="1">
      <c r="A17" s="1" t="s">
        <v>367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368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369</v>
      </c>
      <c r="B19" s="35"/>
      <c r="C19" s="196">
        <f>+C14-C20</f>
        <v>1708590</v>
      </c>
      <c r="D19" s="80">
        <f>IFERROR(C19/C$28,0)</f>
        <v>0.87619999999999998</v>
      </c>
      <c r="E19" s="196">
        <f>+E14-E20</f>
        <v>1787520</v>
      </c>
      <c r="F19" s="80">
        <f>IFERROR(E19/E$28,0)</f>
        <v>0.84</v>
      </c>
      <c r="G19" s="111">
        <f>+G14-G20</f>
        <v>1855560</v>
      </c>
      <c r="H19" s="80">
        <f>IFERROR(G19/G$28,0)</f>
        <v>0.84</v>
      </c>
      <c r="I19" s="111">
        <f>+I14-I20</f>
        <v>1926120</v>
      </c>
      <c r="J19" s="80">
        <f>IFERROR(I19/I$28,0)</f>
        <v>0.84</v>
      </c>
      <c r="K19" s="111">
        <f>+K14-K20</f>
        <v>1981560</v>
      </c>
      <c r="L19" s="80">
        <f>IFERROR(K19/K$28,0)</f>
        <v>0.84</v>
      </c>
      <c r="M19" s="111">
        <f>+M14-M20</f>
        <v>2038680</v>
      </c>
      <c r="N19" s="80">
        <f>IFERROR(M19/M$28,0)</f>
        <v>0.84</v>
      </c>
      <c r="O19" s="111">
        <f>+O14-O20</f>
        <v>2097480</v>
      </c>
      <c r="P19" s="80">
        <f>IFERROR(O19/O$28,0)</f>
        <v>0.84</v>
      </c>
      <c r="Q19" s="111">
        <f>+Q14-Q20</f>
        <v>2157960</v>
      </c>
      <c r="R19" s="80">
        <f>IFERROR(Q19/Q$28,0)</f>
        <v>0.84</v>
      </c>
      <c r="S19" s="111">
        <f>+S14-S20</f>
        <v>2220120</v>
      </c>
      <c r="T19" s="80">
        <f>IFERROR(S19/S$28,0)</f>
        <v>0.84</v>
      </c>
      <c r="U19" s="111">
        <f>+U14-U20</f>
        <v>2283960</v>
      </c>
      <c r="V19" s="80">
        <f>IFERROR(U19/U$28,0)</f>
        <v>0.84</v>
      </c>
    </row>
    <row r="20" spans="1:24" ht="12.75" customHeight="1">
      <c r="A20" s="2" t="s">
        <v>370</v>
      </c>
      <c r="B20" s="35"/>
      <c r="C20" s="111">
        <f>+C14*12.38%</f>
        <v>241410</v>
      </c>
      <c r="D20" s="80">
        <f>IFERROR(C20/C$28,0)</f>
        <v>0.12379999999999999</v>
      </c>
      <c r="E20" s="111">
        <f>+E14*16%</f>
        <v>340480</v>
      </c>
      <c r="F20" s="80">
        <f>IFERROR(E20/E$28,0)</f>
        <v>0.16</v>
      </c>
      <c r="G20" s="111">
        <f>+G14*16%</f>
        <v>353440</v>
      </c>
      <c r="H20" s="80">
        <f>IFERROR(G20/G$28,0)</f>
        <v>0.16</v>
      </c>
      <c r="I20" s="111">
        <f>+I14*16%</f>
        <v>366880</v>
      </c>
      <c r="J20" s="80">
        <f>IFERROR(I20/I$28,0)</f>
        <v>0.16</v>
      </c>
      <c r="K20" s="111">
        <f>+K14*16%</f>
        <v>377440</v>
      </c>
      <c r="L20" s="80">
        <f>IFERROR(K20/K$28,0)</f>
        <v>0.16</v>
      </c>
      <c r="M20" s="111">
        <f>+M14*16%</f>
        <v>388320</v>
      </c>
      <c r="N20" s="80">
        <f>IFERROR(M20/M$28,0)</f>
        <v>0.16</v>
      </c>
      <c r="O20" s="111">
        <f>+O14*16%</f>
        <v>399520</v>
      </c>
      <c r="P20" s="80">
        <f>IFERROR(O20/O$28,0)</f>
        <v>0.16</v>
      </c>
      <c r="Q20" s="111">
        <f>+Q14*16%</f>
        <v>411040</v>
      </c>
      <c r="R20" s="80">
        <f>IFERROR(Q20/Q$28,0)</f>
        <v>0.16</v>
      </c>
      <c r="S20" s="111">
        <f>+S14*16%</f>
        <v>422880</v>
      </c>
      <c r="T20" s="80">
        <f>IFERROR(S20/S$28,0)</f>
        <v>0.16</v>
      </c>
      <c r="U20" s="111">
        <f>+U14*16%</f>
        <v>435040</v>
      </c>
      <c r="V20" s="80">
        <f>IFERROR(U20/U$28,0)</f>
        <v>0.16</v>
      </c>
    </row>
    <row r="21" spans="1:24" ht="12.75" customHeight="1">
      <c r="A21" s="2" t="s">
        <v>371</v>
      </c>
      <c r="B21" s="35"/>
      <c r="C21" s="111"/>
      <c r="D21" s="80">
        <f>IFERROR(C21/C$28,0)</f>
        <v>0</v>
      </c>
      <c r="E21" s="111">
        <v>0</v>
      </c>
      <c r="F21" s="80">
        <f>IFERROR(E21/E$28,0)</f>
        <v>0</v>
      </c>
      <c r="G21" s="111">
        <f t="shared" ref="G21:U21" si="0">E21*1.02</f>
        <v>0</v>
      </c>
      <c r="H21" s="80">
        <f>IFERROR(G21/G$28,0)</f>
        <v>0</v>
      </c>
      <c r="I21" s="111">
        <f t="shared" si="0"/>
        <v>0</v>
      </c>
      <c r="J21" s="80">
        <f>IFERROR(I21/I$28,0)</f>
        <v>0</v>
      </c>
      <c r="K21" s="111">
        <f t="shared" si="0"/>
        <v>0</v>
      </c>
      <c r="L21" s="80">
        <f>IFERROR(K21/K$28,0)</f>
        <v>0</v>
      </c>
      <c r="M21" s="111">
        <f t="shared" si="0"/>
        <v>0</v>
      </c>
      <c r="N21" s="80">
        <f>IFERROR(M21/M$28,0)</f>
        <v>0</v>
      </c>
      <c r="O21" s="111">
        <f t="shared" si="0"/>
        <v>0</v>
      </c>
      <c r="P21" s="80">
        <f>IFERROR(O21/O$28,0)</f>
        <v>0</v>
      </c>
      <c r="Q21" s="111">
        <f t="shared" si="0"/>
        <v>0</v>
      </c>
      <c r="R21" s="80">
        <f>IFERROR(Q21/Q$28,0)</f>
        <v>0</v>
      </c>
      <c r="S21" s="111">
        <f t="shared" si="0"/>
        <v>0</v>
      </c>
      <c r="T21" s="80">
        <f>IFERROR(S21/S$28,0)</f>
        <v>0</v>
      </c>
      <c r="U21" s="111">
        <f t="shared" si="0"/>
        <v>0</v>
      </c>
      <c r="V21" s="80">
        <f>IFERROR(U21/U$28,0)</f>
        <v>0</v>
      </c>
    </row>
    <row r="22" spans="1:24" ht="12.75" customHeight="1">
      <c r="A22" s="2" t="s">
        <v>372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373</v>
      </c>
      <c r="B23" s="123"/>
      <c r="C23" s="79"/>
      <c r="D23" s="80">
        <f t="shared" ref="D23:D28" si="1">IFERROR(C23/C$28,0)</f>
        <v>0</v>
      </c>
      <c r="E23" s="79"/>
      <c r="F23" s="80">
        <f t="shared" ref="F23:F28" si="2">IFERROR(E23/E$28,0)</f>
        <v>0</v>
      </c>
      <c r="G23" s="79"/>
      <c r="H23" s="80">
        <f t="shared" ref="H23:H28" si="3">IFERROR(G23/G$28,0)</f>
        <v>0</v>
      </c>
      <c r="I23" s="79"/>
      <c r="J23" s="80">
        <f t="shared" ref="J23:J28" si="4">IFERROR(I23/I$28,0)</f>
        <v>0</v>
      </c>
      <c r="K23" s="79"/>
      <c r="L23" s="80">
        <f t="shared" ref="L23:L28" si="5">IFERROR(K23/K$28,0)</f>
        <v>0</v>
      </c>
      <c r="M23" s="79"/>
      <c r="N23" s="80">
        <f t="shared" ref="N23:N28" si="6">IFERROR(M23/M$28,0)</f>
        <v>0</v>
      </c>
      <c r="O23" s="79"/>
      <c r="P23" s="80">
        <f t="shared" ref="P23:P28" si="7">IFERROR(O23/O$28,0)</f>
        <v>0</v>
      </c>
      <c r="Q23" s="79"/>
      <c r="R23" s="80">
        <f t="shared" ref="R23:R28" si="8">IFERROR(Q23/Q$28,0)</f>
        <v>0</v>
      </c>
      <c r="S23" s="79"/>
      <c r="T23" s="80">
        <f t="shared" ref="T23:T28" si="9">IFERROR(S23/S$28,0)</f>
        <v>0</v>
      </c>
      <c r="U23" s="79"/>
      <c r="V23" s="80">
        <f t="shared" ref="V23:V28" si="10">IFERROR(U23/U$28,0)</f>
        <v>0</v>
      </c>
    </row>
    <row r="24" spans="1:24" ht="12.75" customHeight="1">
      <c r="A24" s="122" t="s">
        <v>374</v>
      </c>
      <c r="B24" s="123"/>
      <c r="C24" s="79"/>
      <c r="D24" s="80">
        <f t="shared" si="1"/>
        <v>0</v>
      </c>
      <c r="E24" s="79"/>
      <c r="F24" s="80">
        <f t="shared" si="2"/>
        <v>0</v>
      </c>
      <c r="G24" s="79"/>
      <c r="H24" s="80">
        <f t="shared" si="3"/>
        <v>0</v>
      </c>
      <c r="I24" s="79"/>
      <c r="J24" s="80">
        <f t="shared" si="4"/>
        <v>0</v>
      </c>
      <c r="K24" s="79"/>
      <c r="L24" s="80">
        <f t="shared" si="5"/>
        <v>0</v>
      </c>
      <c r="M24" s="79"/>
      <c r="N24" s="80">
        <f t="shared" si="6"/>
        <v>0</v>
      </c>
      <c r="O24" s="79"/>
      <c r="P24" s="80">
        <f t="shared" si="7"/>
        <v>0</v>
      </c>
      <c r="Q24" s="79"/>
      <c r="R24" s="80">
        <f t="shared" si="8"/>
        <v>0</v>
      </c>
      <c r="S24" s="79"/>
      <c r="T24" s="80">
        <f t="shared" si="9"/>
        <v>0</v>
      </c>
      <c r="U24" s="79"/>
      <c r="V24" s="80">
        <f t="shared" si="10"/>
        <v>0</v>
      </c>
      <c r="X24" s="79"/>
    </row>
    <row r="25" spans="1:24" ht="12.75" customHeight="1">
      <c r="A25" s="2" t="s">
        <v>375</v>
      </c>
      <c r="B25" s="35"/>
      <c r="C25" s="111"/>
      <c r="D25" s="80">
        <f t="shared" si="1"/>
        <v>0</v>
      </c>
      <c r="E25" s="111"/>
      <c r="F25" s="80">
        <f t="shared" si="2"/>
        <v>0</v>
      </c>
      <c r="G25" s="111"/>
      <c r="H25" s="80">
        <f t="shared" si="3"/>
        <v>0</v>
      </c>
      <c r="I25" s="111"/>
      <c r="J25" s="80">
        <f t="shared" si="4"/>
        <v>0</v>
      </c>
      <c r="K25" s="111"/>
      <c r="L25" s="80">
        <f t="shared" si="5"/>
        <v>0</v>
      </c>
      <c r="M25" s="111"/>
      <c r="N25" s="80">
        <f t="shared" si="6"/>
        <v>0</v>
      </c>
      <c r="O25" s="111"/>
      <c r="P25" s="80">
        <f t="shared" si="7"/>
        <v>0</v>
      </c>
      <c r="Q25" s="111"/>
      <c r="R25" s="80">
        <f t="shared" si="8"/>
        <v>0</v>
      </c>
      <c r="S25" s="111"/>
      <c r="T25" s="80">
        <f t="shared" si="9"/>
        <v>0</v>
      </c>
      <c r="U25" s="111"/>
      <c r="V25" s="80">
        <f t="shared" si="10"/>
        <v>0</v>
      </c>
      <c r="X25" s="79"/>
    </row>
    <row r="26" spans="1:24" ht="12.75" customHeight="1">
      <c r="A26" s="122" t="s">
        <v>376</v>
      </c>
      <c r="B26" s="35"/>
      <c r="C26" s="79"/>
      <c r="D26" s="80">
        <f t="shared" si="1"/>
        <v>0</v>
      </c>
      <c r="E26" s="79"/>
      <c r="F26" s="80">
        <f t="shared" si="2"/>
        <v>0</v>
      </c>
      <c r="G26" s="79"/>
      <c r="H26" s="80">
        <f t="shared" si="3"/>
        <v>0</v>
      </c>
      <c r="I26" s="79"/>
      <c r="J26" s="80">
        <f t="shared" si="4"/>
        <v>0</v>
      </c>
      <c r="K26" s="79"/>
      <c r="L26" s="80">
        <f t="shared" si="5"/>
        <v>0</v>
      </c>
      <c r="M26" s="79"/>
      <c r="N26" s="80">
        <f t="shared" si="6"/>
        <v>0</v>
      </c>
      <c r="O26" s="79"/>
      <c r="P26" s="80">
        <f t="shared" si="7"/>
        <v>0</v>
      </c>
      <c r="Q26" s="79"/>
      <c r="R26" s="80">
        <f t="shared" si="8"/>
        <v>0</v>
      </c>
      <c r="S26" s="79"/>
      <c r="T26" s="80">
        <f t="shared" si="9"/>
        <v>0</v>
      </c>
      <c r="U26" s="79"/>
      <c r="V26" s="80">
        <f t="shared" si="10"/>
        <v>0</v>
      </c>
    </row>
    <row r="27" spans="1:24" ht="12.75" customHeight="1">
      <c r="A27" s="2" t="s">
        <v>377</v>
      </c>
      <c r="B27" s="35"/>
      <c r="C27" s="112"/>
      <c r="D27" s="80">
        <f t="shared" si="1"/>
        <v>0</v>
      </c>
      <c r="E27" s="112"/>
      <c r="F27" s="80">
        <f t="shared" si="2"/>
        <v>0</v>
      </c>
      <c r="G27" s="112"/>
      <c r="H27" s="80">
        <f t="shared" si="3"/>
        <v>0</v>
      </c>
      <c r="I27" s="112"/>
      <c r="J27" s="80">
        <f t="shared" si="4"/>
        <v>0</v>
      </c>
      <c r="K27" s="112"/>
      <c r="L27" s="80">
        <f t="shared" si="5"/>
        <v>0</v>
      </c>
      <c r="M27" s="112"/>
      <c r="N27" s="80">
        <f t="shared" si="6"/>
        <v>0</v>
      </c>
      <c r="O27" s="112"/>
      <c r="P27" s="80">
        <f t="shared" si="7"/>
        <v>0</v>
      </c>
      <c r="Q27" s="112"/>
      <c r="R27" s="80">
        <f t="shared" si="8"/>
        <v>0</v>
      </c>
      <c r="S27" s="112"/>
      <c r="T27" s="80">
        <f t="shared" si="9"/>
        <v>0</v>
      </c>
      <c r="U27" s="112"/>
      <c r="V27" s="80">
        <f t="shared" si="10"/>
        <v>0</v>
      </c>
    </row>
    <row r="28" spans="1:24" ht="12.75" customHeight="1">
      <c r="A28" s="1" t="s">
        <v>378</v>
      </c>
      <c r="B28" s="53"/>
      <c r="C28" s="82">
        <f>SUM(C19:C27)</f>
        <v>1950000</v>
      </c>
      <c r="D28" s="83">
        <f t="shared" si="1"/>
        <v>1</v>
      </c>
      <c r="E28" s="82">
        <f>SUM(E19:E27)</f>
        <v>2128000</v>
      </c>
      <c r="F28" s="83">
        <f t="shared" si="2"/>
        <v>1</v>
      </c>
      <c r="G28" s="82">
        <f>SUM(G19:G27)</f>
        <v>2209000</v>
      </c>
      <c r="H28" s="83">
        <f t="shared" si="3"/>
        <v>1</v>
      </c>
      <c r="I28" s="82">
        <f>SUM(I19:I27)</f>
        <v>2293000</v>
      </c>
      <c r="J28" s="83">
        <f t="shared" si="4"/>
        <v>1</v>
      </c>
      <c r="K28" s="82">
        <f>SUM(K19:K27)</f>
        <v>2359000</v>
      </c>
      <c r="L28" s="83">
        <f t="shared" si="5"/>
        <v>1</v>
      </c>
      <c r="M28" s="82">
        <f>SUM(M19:M27)</f>
        <v>2427000</v>
      </c>
      <c r="N28" s="83">
        <f t="shared" si="6"/>
        <v>1</v>
      </c>
      <c r="O28" s="82">
        <f>SUM(O19:O27)</f>
        <v>2497000</v>
      </c>
      <c r="P28" s="83">
        <f t="shared" si="7"/>
        <v>1</v>
      </c>
      <c r="Q28" s="82">
        <f>SUM(Q19:Q27)</f>
        <v>2569000</v>
      </c>
      <c r="R28" s="83">
        <f t="shared" si="8"/>
        <v>1</v>
      </c>
      <c r="S28" s="82">
        <f>SUM(S19:S27)</f>
        <v>2643000</v>
      </c>
      <c r="T28" s="83">
        <f t="shared" si="9"/>
        <v>1</v>
      </c>
      <c r="U28" s="82">
        <f>SUM(U19:U27)</f>
        <v>2719000</v>
      </c>
      <c r="V28" s="83">
        <f t="shared" si="10"/>
        <v>1</v>
      </c>
    </row>
    <row r="29" spans="1:24" ht="12.75" customHeight="1">
      <c r="A29" s="1"/>
      <c r="B29" s="53"/>
      <c r="C29" s="178"/>
      <c r="D29" s="80">
        <f>IFERROR(C29/C$28,0)</f>
        <v>0</v>
      </c>
      <c r="E29" s="178"/>
      <c r="F29" s="80">
        <f>IFERROR(E29/E$28,0)</f>
        <v>0</v>
      </c>
      <c r="G29" s="178"/>
      <c r="H29" s="80">
        <f>IFERROR(G29/G$28,0)</f>
        <v>0</v>
      </c>
      <c r="I29" s="178"/>
      <c r="J29" s="80">
        <f>IFERROR(I29/I$28,0)</f>
        <v>0</v>
      </c>
      <c r="K29" s="178"/>
      <c r="L29" s="80">
        <f>IFERROR(K29/K$28,0)</f>
        <v>0</v>
      </c>
      <c r="M29" s="178"/>
      <c r="N29" s="80">
        <f>IFERROR(M29/M$28,0)</f>
        <v>0</v>
      </c>
      <c r="O29" s="178"/>
      <c r="P29" s="80">
        <f>IFERROR(O29/O$28,0)</f>
        <v>0</v>
      </c>
      <c r="Q29" s="178"/>
      <c r="R29" s="80">
        <f>IFERROR(Q29/Q$28,0)</f>
        <v>0</v>
      </c>
      <c r="S29" s="178"/>
      <c r="T29" s="80">
        <f>IFERROR(S29/S$28,0)</f>
        <v>0</v>
      </c>
      <c r="U29" s="178"/>
      <c r="V29" s="78"/>
    </row>
    <row r="30" spans="1:24" ht="12.75" customHeight="1">
      <c r="A30" s="1" t="s">
        <v>379</v>
      </c>
      <c r="B30" s="53"/>
      <c r="C30" s="197">
        <v>0.33750000000000002</v>
      </c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380</v>
      </c>
      <c r="B31" s="35"/>
      <c r="C31" s="178">
        <f>($C$30*C14)+70000</f>
        <v>728125</v>
      </c>
      <c r="D31" s="80">
        <f>IFERROR(C31/C$28,0)</f>
        <v>0.3733974358974359</v>
      </c>
      <c r="E31" s="178">
        <f>($C$30*E14)+42000</f>
        <v>760200</v>
      </c>
      <c r="F31" s="80">
        <f>IFERROR(E31/E$28,0)</f>
        <v>0.35723684210526313</v>
      </c>
      <c r="G31" s="178">
        <f>($C$30*G14)+75000</f>
        <v>820537.5</v>
      </c>
      <c r="H31" s="80">
        <f>IFERROR(G31/G$28,0)</f>
        <v>0.37145201448619286</v>
      </c>
      <c r="I31" s="178">
        <f>($C$30*I14)+50000</f>
        <v>823887.5</v>
      </c>
      <c r="J31" s="80">
        <f>IFERROR(I31/I$28,0)</f>
        <v>0.35930549498473613</v>
      </c>
      <c r="K31" s="178">
        <f>($C$30*K14)+75000</f>
        <v>871162.5</v>
      </c>
      <c r="L31" s="80">
        <f>IFERROR(K31/K$28,0)</f>
        <v>0.36929313268334041</v>
      </c>
      <c r="M31" s="178">
        <f>($C$30*M14)+50000</f>
        <v>869112.5</v>
      </c>
      <c r="N31" s="80">
        <f>IFERROR(M31/M$28,0)</f>
        <v>0.35810156571899465</v>
      </c>
      <c r="O31" s="178">
        <f>($C$30*O14)+26000</f>
        <v>868737.5</v>
      </c>
      <c r="P31" s="80">
        <f>IFERROR(O31/O$28,0)</f>
        <v>0.34791249499399279</v>
      </c>
      <c r="Q31" s="178">
        <f>$C$30*Q14</f>
        <v>867037.5</v>
      </c>
      <c r="R31" s="80">
        <f>IFERROR(Q31/Q$28,0)</f>
        <v>0.33750000000000002</v>
      </c>
      <c r="S31" s="178">
        <f>($C$30*S14)-32000</f>
        <v>860012.50000000012</v>
      </c>
      <c r="T31" s="80">
        <f>IFERROR(S31/S$28,0)</f>
        <v>0.32539254634884607</v>
      </c>
      <c r="U31" s="178">
        <f>($C$30*U14)-155000</f>
        <v>762662.50000000012</v>
      </c>
      <c r="V31" s="80">
        <f>IFERROR(U31/U$28,0)</f>
        <v>0.28049374770136082</v>
      </c>
    </row>
    <row r="32" spans="1:24" ht="12.75" customHeight="1">
      <c r="A32" s="8" t="s">
        <v>381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382</v>
      </c>
      <c r="B33" s="53"/>
      <c r="C33" s="82">
        <f>SUM(C31:C32)</f>
        <v>728125</v>
      </c>
      <c r="D33" s="83">
        <f>IFERROR(C33/C$28,0)</f>
        <v>0.3733974358974359</v>
      </c>
      <c r="E33" s="82">
        <f>SUM(E31:E32)</f>
        <v>760200</v>
      </c>
      <c r="F33" s="83">
        <f>IFERROR(E33/E$28,0)</f>
        <v>0.35723684210526313</v>
      </c>
      <c r="G33" s="82">
        <f>SUM(G31:G32)</f>
        <v>820537.5</v>
      </c>
      <c r="H33" s="83">
        <f>IFERROR(G33/G$28,0)</f>
        <v>0.37145201448619286</v>
      </c>
      <c r="I33" s="82">
        <f>SUM(I31:I32)</f>
        <v>823887.5</v>
      </c>
      <c r="J33" s="83">
        <f>IFERROR(I33/I$28,0)</f>
        <v>0.35930549498473613</v>
      </c>
      <c r="K33" s="82">
        <f>SUM(K31:K32)</f>
        <v>871162.5</v>
      </c>
      <c r="L33" s="83">
        <f>IFERROR(K33/K$28,0)</f>
        <v>0.36929313268334041</v>
      </c>
      <c r="M33" s="82">
        <f>SUM(M31:M32)</f>
        <v>869112.5</v>
      </c>
      <c r="N33" s="83">
        <f>IFERROR(M33/M$28,0)</f>
        <v>0.35810156571899465</v>
      </c>
      <c r="O33" s="82">
        <f>SUM(O31:O32)</f>
        <v>868737.5</v>
      </c>
      <c r="P33" s="83">
        <f>IFERROR(O33/O$28,0)</f>
        <v>0.34791249499399279</v>
      </c>
      <c r="Q33" s="82">
        <f>SUM(Q31:Q32)</f>
        <v>867037.5</v>
      </c>
      <c r="R33" s="83">
        <f>IFERROR(Q33/Q$28,0)</f>
        <v>0.33750000000000002</v>
      </c>
      <c r="S33" s="82">
        <f>SUM(S31:S32)</f>
        <v>860012.50000000012</v>
      </c>
      <c r="T33" s="83">
        <f>IFERROR(S33/S$28,0)</f>
        <v>0.32539254634884607</v>
      </c>
      <c r="U33" s="82">
        <f>SUM(U31:U32)</f>
        <v>762662.50000000012</v>
      </c>
      <c r="V33" s="83">
        <f>IFERROR(U33/U$28,0)</f>
        <v>0.28049374770136082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383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384</v>
      </c>
      <c r="B36" s="35"/>
      <c r="C36" s="178">
        <v>65000</v>
      </c>
      <c r="D36" s="80">
        <f t="shared" ref="D36:D46" si="11">IFERROR(C36/C$28,0)</f>
        <v>3.3333333333333333E-2</v>
      </c>
      <c r="E36" s="178">
        <v>67024</v>
      </c>
      <c r="F36" s="80">
        <f t="shared" ref="F36:F46" si="12">IFERROR(E36/E$28,0)</f>
        <v>3.1496240601503758E-2</v>
      </c>
      <c r="G36" s="178">
        <f>+E36*1.025</f>
        <v>68699.599999999991</v>
      </c>
      <c r="H36" s="80">
        <f t="shared" ref="H36:H46" si="13">IFERROR(G36/G$28,0)</f>
        <v>3.109986419194205E-2</v>
      </c>
      <c r="I36" s="178">
        <f>+G36*1.025</f>
        <v>70417.089999999982</v>
      </c>
      <c r="J36" s="80">
        <f t="shared" ref="J36:J46" si="14">IFERROR(I36/I$28,0)</f>
        <v>3.070959005669428E-2</v>
      </c>
      <c r="K36" s="178">
        <f>+I36*1.025</f>
        <v>72177.517249999975</v>
      </c>
      <c r="L36" s="80">
        <f t="shared" ref="L36:L46" si="15">IFERROR(K36/K$28,0)</f>
        <v>3.0596658435777861E-2</v>
      </c>
      <c r="M36" s="178">
        <f>+K36*1.025</f>
        <v>73981.95518124997</v>
      </c>
      <c r="N36" s="80">
        <f t="shared" ref="N36:N46" si="16">IFERROR(M36/M$28,0)</f>
        <v>3.0482882233724751E-2</v>
      </c>
      <c r="O36" s="178">
        <f>+M36*1.025</f>
        <v>75831.504060781212</v>
      </c>
      <c r="P36" s="80">
        <f t="shared" ref="P36:P46" si="17">IFERROR(O36/O$28,0)</f>
        <v>3.0369044477685708E-2</v>
      </c>
      <c r="Q36" s="178">
        <f>+O36*1.02</f>
        <v>77348.134141996838</v>
      </c>
      <c r="R36" s="80">
        <f t="shared" ref="R36:R46" si="18">IFERROR(Q36/Q$28,0)</f>
        <v>3.0108265528219866E-2</v>
      </c>
      <c r="S36" s="178">
        <f>+Q36*1.025</f>
        <v>79281.837495546759</v>
      </c>
      <c r="T36" s="80">
        <f t="shared" ref="T36:T46" si="19">IFERROR(S36/S$28,0)</f>
        <v>2.9996911651739219E-2</v>
      </c>
      <c r="U36" s="178">
        <f>+S36*1.025</f>
        <v>81263.883432935414</v>
      </c>
      <c r="V36" s="80">
        <f t="shared" ref="V36:V46" si="20">IFERROR(U36/U$28,0)</f>
        <v>2.9887415753194341E-2</v>
      </c>
    </row>
    <row r="37" spans="1:22" ht="12.75" customHeight="1">
      <c r="A37" s="2" t="s">
        <v>385</v>
      </c>
      <c r="B37" s="35"/>
      <c r="C37" s="178">
        <v>119568</v>
      </c>
      <c r="D37" s="80">
        <f t="shared" si="11"/>
        <v>6.1316923076923074E-2</v>
      </c>
      <c r="E37" s="178">
        <f>+C37*1.11</f>
        <v>132720.48000000001</v>
      </c>
      <c r="F37" s="80">
        <f t="shared" si="12"/>
        <v>6.2368646616541359E-2</v>
      </c>
      <c r="G37" s="178">
        <f>+E37*1.035</f>
        <v>137365.69680000001</v>
      </c>
      <c r="H37" s="80">
        <f t="shared" si="13"/>
        <v>6.2184561702127661E-2</v>
      </c>
      <c r="I37" s="178">
        <f>+G37*1.032</f>
        <v>141761.39909760002</v>
      </c>
      <c r="J37" s="80">
        <f t="shared" si="14"/>
        <v>6.1823549541037949E-2</v>
      </c>
      <c r="K37" s="178">
        <f>+I37*1.025</f>
        <v>145305.43407504002</v>
      </c>
      <c r="L37" s="80">
        <f t="shared" si="15"/>
        <v>6.1596199268774909E-2</v>
      </c>
      <c r="M37" s="178">
        <f>+K37*1.02</f>
        <v>148211.54275654082</v>
      </c>
      <c r="N37" s="80">
        <f t="shared" si="16"/>
        <v>6.1067796768249201E-2</v>
      </c>
      <c r="O37" s="178">
        <f>+M37*1.025</f>
        <v>151916.83132545432</v>
      </c>
      <c r="P37" s="80">
        <f t="shared" si="17"/>
        <v>6.0839740218443857E-2</v>
      </c>
      <c r="Q37" s="178">
        <f>+O37*1.02</f>
        <v>154955.16795196341</v>
      </c>
      <c r="R37" s="80">
        <f t="shared" si="18"/>
        <v>6.0317309440234883E-2</v>
      </c>
      <c r="S37" s="178">
        <f>+Q37*1.02</f>
        <v>158054.27131100267</v>
      </c>
      <c r="T37" s="80">
        <f t="shared" si="19"/>
        <v>5.9801086383277587E-2</v>
      </c>
      <c r="U37" s="178">
        <f>+S37*1.025</f>
        <v>162005.62809377772</v>
      </c>
      <c r="V37" s="80">
        <f t="shared" si="20"/>
        <v>5.9582798122021961E-2</v>
      </c>
    </row>
    <row r="38" spans="1:22" ht="12.75" customHeight="1">
      <c r="A38" s="2" t="s">
        <v>386</v>
      </c>
      <c r="B38" s="35"/>
      <c r="C38" s="178">
        <v>70656</v>
      </c>
      <c r="D38" s="80">
        <f t="shared" si="11"/>
        <v>3.6233846153846151E-2</v>
      </c>
      <c r="E38" s="178">
        <f t="shared" ref="E38" si="21">+C38*1.112</f>
        <v>78569.472000000009</v>
      </c>
      <c r="F38" s="80">
        <f t="shared" si="12"/>
        <v>3.6921744360902259E-2</v>
      </c>
      <c r="G38" s="178">
        <f>+E38*1.035</f>
        <v>81319.403520000007</v>
      </c>
      <c r="H38" s="80">
        <f t="shared" si="13"/>
        <v>3.6812767550928022E-2</v>
      </c>
      <c r="I38" s="178">
        <f>+G38*1.032</f>
        <v>83921.624432640005</v>
      </c>
      <c r="J38" s="80">
        <f t="shared" si="14"/>
        <v>3.6599051213536855E-2</v>
      </c>
      <c r="K38" s="178">
        <f>+I38*1.025</f>
        <v>86019.665043456</v>
      </c>
      <c r="L38" s="80">
        <f t="shared" si="15"/>
        <v>3.646446165470793E-2</v>
      </c>
      <c r="M38" s="178">
        <f>+K38*1.02</f>
        <v>87740.058344325123</v>
      </c>
      <c r="N38" s="80">
        <f t="shared" si="16"/>
        <v>3.6151651563380766E-2</v>
      </c>
      <c r="O38" s="178">
        <f>+M38*1.025</f>
        <v>89933.559802933247</v>
      </c>
      <c r="P38" s="80">
        <f t="shared" si="17"/>
        <v>3.6016643893845915E-2</v>
      </c>
      <c r="Q38" s="178">
        <f>+O38*1.02</f>
        <v>91732.230998991916</v>
      </c>
      <c r="R38" s="80">
        <f t="shared" si="18"/>
        <v>3.5707369014788604E-2</v>
      </c>
      <c r="S38" s="178">
        <f>+Q38*1.02</f>
        <v>93566.875618971753</v>
      </c>
      <c r="T38" s="80">
        <f t="shared" si="19"/>
        <v>3.540176905749972E-2</v>
      </c>
      <c r="U38" s="178">
        <f>+S38*1.025</f>
        <v>95906.047509446042</v>
      </c>
      <c r="V38" s="80">
        <f t="shared" si="20"/>
        <v>3.5272544137346831E-2</v>
      </c>
    </row>
    <row r="39" spans="1:22" ht="12.75" customHeight="1">
      <c r="A39" s="2" t="s">
        <v>387</v>
      </c>
      <c r="B39" s="35"/>
      <c r="C39" s="178">
        <v>190826</v>
      </c>
      <c r="D39" s="80">
        <f t="shared" si="11"/>
        <v>9.7859487179487184E-2</v>
      </c>
      <c r="E39" s="178">
        <f>+C39*1.11</f>
        <v>211816.86000000002</v>
      </c>
      <c r="F39" s="80">
        <f t="shared" si="12"/>
        <v>9.9537998120300758E-2</v>
      </c>
      <c r="G39" s="178">
        <f>+E39*1.035</f>
        <v>219230.45009999999</v>
      </c>
      <c r="H39" s="80">
        <f t="shared" si="13"/>
        <v>9.9244205568130364E-2</v>
      </c>
      <c r="I39" s="178">
        <f>+G39*1.032</f>
        <v>226245.82450319998</v>
      </c>
      <c r="J39" s="80">
        <f t="shared" si="14"/>
        <v>9.8668043830440463E-2</v>
      </c>
      <c r="K39" s="178">
        <f>+I39*1.025</f>
        <v>231901.97011577996</v>
      </c>
      <c r="L39" s="80">
        <f t="shared" si="15"/>
        <v>9.83052014055871E-2</v>
      </c>
      <c r="M39" s="178">
        <f>+K39*1.02</f>
        <v>236540.00951809555</v>
      </c>
      <c r="N39" s="80">
        <f t="shared" si="16"/>
        <v>9.7461891025173275E-2</v>
      </c>
      <c r="O39" s="178">
        <f>+M39*1.025</f>
        <v>242453.50975604792</v>
      </c>
      <c r="P39" s="80">
        <f t="shared" si="17"/>
        <v>9.7097921408108898E-2</v>
      </c>
      <c r="Q39" s="178">
        <f>+O39*1.02</f>
        <v>247302.57995116888</v>
      </c>
      <c r="R39" s="80">
        <f t="shared" si="18"/>
        <v>9.6264141670365469E-2</v>
      </c>
      <c r="S39" s="178">
        <f>+Q39*1.02</f>
        <v>252248.63155019225</v>
      </c>
      <c r="T39" s="80">
        <f t="shared" si="19"/>
        <v>9.5440269220655405E-2</v>
      </c>
      <c r="U39" s="178">
        <f>+S39*1.025</f>
        <v>258554.84733894703</v>
      </c>
      <c r="V39" s="80">
        <f t="shared" si="20"/>
        <v>9.509188942219457E-2</v>
      </c>
    </row>
    <row r="40" spans="1:22" ht="12.75" customHeight="1">
      <c r="A40" s="2" t="s">
        <v>388</v>
      </c>
      <c r="B40" s="35"/>
      <c r="C40" s="178">
        <f>C36*0.124</f>
        <v>8060</v>
      </c>
      <c r="D40" s="80">
        <f t="shared" si="11"/>
        <v>4.1333333333333335E-3</v>
      </c>
      <c r="E40" s="178">
        <f>E36*0.124</f>
        <v>8310.9760000000006</v>
      </c>
      <c r="F40" s="80">
        <f t="shared" si="12"/>
        <v>3.9055338345864664E-3</v>
      </c>
      <c r="G40" s="178">
        <f>G36*0.124</f>
        <v>8518.750399999999</v>
      </c>
      <c r="H40" s="80">
        <f t="shared" si="13"/>
        <v>3.8563831598008142E-3</v>
      </c>
      <c r="I40" s="178">
        <f>I36*0.124</f>
        <v>8731.7191599999969</v>
      </c>
      <c r="J40" s="80">
        <f t="shared" si="14"/>
        <v>3.8079891670300902E-3</v>
      </c>
      <c r="K40" s="178">
        <f>K36*0.124</f>
        <v>8950.0121389999968</v>
      </c>
      <c r="L40" s="80">
        <f t="shared" si="15"/>
        <v>3.793985646036455E-3</v>
      </c>
      <c r="M40" s="178">
        <f>M36*0.124</f>
        <v>9173.7624424749956</v>
      </c>
      <c r="N40" s="80">
        <f t="shared" si="16"/>
        <v>3.7798773969818689E-3</v>
      </c>
      <c r="O40" s="178">
        <f>O36*0.124</f>
        <v>9403.1065035368702</v>
      </c>
      <c r="P40" s="80">
        <f t="shared" si="17"/>
        <v>3.7657615152330275E-3</v>
      </c>
      <c r="Q40" s="178">
        <f>Q36*0.124</f>
        <v>9591.1686336076073</v>
      </c>
      <c r="R40" s="80">
        <f t="shared" si="18"/>
        <v>3.7334249254992631E-3</v>
      </c>
      <c r="S40" s="178">
        <f>S36*0.124</f>
        <v>9830.9478494477971</v>
      </c>
      <c r="T40" s="80">
        <f t="shared" si="19"/>
        <v>3.719617044815663E-3</v>
      </c>
      <c r="U40" s="178">
        <f>U36*0.124</f>
        <v>10076.721545683991</v>
      </c>
      <c r="V40" s="80">
        <f t="shared" si="20"/>
        <v>3.7060395533960984E-3</v>
      </c>
    </row>
    <row r="41" spans="1:22" ht="12.75" customHeight="1">
      <c r="A41" s="2" t="s">
        <v>389</v>
      </c>
      <c r="B41" s="35"/>
      <c r="C41" s="178">
        <f>C37*0.124</f>
        <v>14826.432000000001</v>
      </c>
      <c r="D41" s="80">
        <f t="shared" si="11"/>
        <v>7.6032984615384616E-3</v>
      </c>
      <c r="E41" s="178">
        <f>E37*0.124</f>
        <v>16457.339520000001</v>
      </c>
      <c r="F41" s="80">
        <f t="shared" si="12"/>
        <v>7.7337121804511282E-3</v>
      </c>
      <c r="G41" s="178">
        <f>G37*0.124</f>
        <v>17033.346403200001</v>
      </c>
      <c r="H41" s="80">
        <f t="shared" si="13"/>
        <v>7.7108856510638302E-3</v>
      </c>
      <c r="I41" s="178">
        <f>I37*0.124</f>
        <v>17578.413488102404</v>
      </c>
      <c r="J41" s="80">
        <f t="shared" si="14"/>
        <v>7.666120143088706E-3</v>
      </c>
      <c r="K41" s="178">
        <f>K37*0.124</f>
        <v>18017.873825304963</v>
      </c>
      <c r="L41" s="80">
        <f t="shared" si="15"/>
        <v>7.6379287093280897E-3</v>
      </c>
      <c r="M41" s="178">
        <f>M37*0.124</f>
        <v>18378.231301811062</v>
      </c>
      <c r="N41" s="80">
        <f t="shared" si="16"/>
        <v>7.5724067992629018E-3</v>
      </c>
      <c r="O41" s="178">
        <f>O37*0.124</f>
        <v>18837.687084356334</v>
      </c>
      <c r="P41" s="80">
        <f t="shared" si="17"/>
        <v>7.5441277870870382E-3</v>
      </c>
      <c r="Q41" s="178">
        <f>Q37*0.124</f>
        <v>19214.440826043461</v>
      </c>
      <c r="R41" s="80">
        <f t="shared" si="18"/>
        <v>7.4793463705891249E-3</v>
      </c>
      <c r="S41" s="178">
        <f>S37*0.124</f>
        <v>19598.729642564329</v>
      </c>
      <c r="T41" s="80">
        <f t="shared" si="19"/>
        <v>7.4153347115264202E-3</v>
      </c>
      <c r="U41" s="178">
        <f>U37*0.124</f>
        <v>20088.697883628436</v>
      </c>
      <c r="V41" s="80">
        <f t="shared" si="20"/>
        <v>7.3882669671307228E-3</v>
      </c>
    </row>
    <row r="42" spans="1:22" ht="12.75" customHeight="1">
      <c r="A42" s="2" t="s">
        <v>390</v>
      </c>
      <c r="B42" s="35"/>
      <c r="C42" s="178"/>
      <c r="D42" s="80">
        <f t="shared" si="11"/>
        <v>0</v>
      </c>
      <c r="E42" s="178"/>
      <c r="F42" s="80">
        <f t="shared" si="12"/>
        <v>0</v>
      </c>
      <c r="G42" s="178"/>
      <c r="H42" s="80">
        <f t="shared" si="13"/>
        <v>0</v>
      </c>
      <c r="I42" s="178"/>
      <c r="J42" s="80">
        <f t="shared" si="14"/>
        <v>0</v>
      </c>
      <c r="K42" s="178"/>
      <c r="L42" s="80">
        <f t="shared" si="15"/>
        <v>0</v>
      </c>
      <c r="M42" s="178"/>
      <c r="N42" s="80">
        <f t="shared" si="16"/>
        <v>0</v>
      </c>
      <c r="O42" s="178"/>
      <c r="P42" s="80">
        <f t="shared" si="17"/>
        <v>0</v>
      </c>
      <c r="Q42" s="178"/>
      <c r="R42" s="80">
        <f t="shared" si="18"/>
        <v>0</v>
      </c>
      <c r="S42" s="178"/>
      <c r="T42" s="80">
        <f t="shared" si="19"/>
        <v>0</v>
      </c>
      <c r="U42" s="178"/>
      <c r="V42" s="80">
        <f t="shared" si="20"/>
        <v>0</v>
      </c>
    </row>
    <row r="43" spans="1:22" ht="12.75" customHeight="1">
      <c r="A43" s="2" t="s">
        <v>391</v>
      </c>
      <c r="B43" s="35"/>
      <c r="C43" s="178"/>
      <c r="D43" s="80">
        <f t="shared" si="11"/>
        <v>0</v>
      </c>
      <c r="E43" s="178"/>
      <c r="F43" s="80">
        <f t="shared" si="12"/>
        <v>0</v>
      </c>
      <c r="G43" s="178"/>
      <c r="H43" s="80">
        <f t="shared" si="13"/>
        <v>0</v>
      </c>
      <c r="I43" s="178"/>
      <c r="J43" s="80">
        <f t="shared" si="14"/>
        <v>0</v>
      </c>
      <c r="K43" s="178"/>
      <c r="L43" s="80">
        <f t="shared" si="15"/>
        <v>0</v>
      </c>
      <c r="M43" s="178"/>
      <c r="N43" s="80">
        <f t="shared" si="16"/>
        <v>0</v>
      </c>
      <c r="O43" s="178"/>
      <c r="P43" s="80">
        <f t="shared" si="17"/>
        <v>0</v>
      </c>
      <c r="Q43" s="178"/>
      <c r="R43" s="80">
        <f t="shared" si="18"/>
        <v>0</v>
      </c>
      <c r="S43" s="178"/>
      <c r="T43" s="80">
        <f t="shared" si="19"/>
        <v>0</v>
      </c>
      <c r="U43" s="178"/>
      <c r="V43" s="80">
        <f t="shared" si="20"/>
        <v>0</v>
      </c>
    </row>
    <row r="44" spans="1:22" ht="12.75" customHeight="1">
      <c r="A44" s="2" t="s">
        <v>392</v>
      </c>
      <c r="B44" s="35"/>
      <c r="C44" s="178"/>
      <c r="D44" s="80">
        <f t="shared" si="11"/>
        <v>0</v>
      </c>
      <c r="E44" s="178"/>
      <c r="F44" s="80">
        <f t="shared" si="12"/>
        <v>0</v>
      </c>
      <c r="G44" s="178"/>
      <c r="H44" s="80">
        <f t="shared" si="13"/>
        <v>0</v>
      </c>
      <c r="I44" s="178"/>
      <c r="J44" s="80">
        <f t="shared" si="14"/>
        <v>0</v>
      </c>
      <c r="K44" s="178"/>
      <c r="L44" s="80">
        <f t="shared" si="15"/>
        <v>0</v>
      </c>
      <c r="M44" s="178"/>
      <c r="N44" s="80">
        <f t="shared" si="16"/>
        <v>0</v>
      </c>
      <c r="O44" s="178"/>
      <c r="P44" s="80">
        <f t="shared" si="17"/>
        <v>0</v>
      </c>
      <c r="Q44" s="178"/>
      <c r="R44" s="80">
        <f t="shared" si="18"/>
        <v>0</v>
      </c>
      <c r="S44" s="178"/>
      <c r="T44" s="80">
        <f t="shared" si="19"/>
        <v>0</v>
      </c>
      <c r="U44" s="178"/>
      <c r="V44" s="80">
        <f t="shared" si="20"/>
        <v>0</v>
      </c>
    </row>
    <row r="45" spans="1:22" ht="12.75" customHeight="1">
      <c r="A45" s="2" t="s">
        <v>393</v>
      </c>
      <c r="B45" s="35"/>
      <c r="C45" s="181">
        <f>SUM(C36:C39)*0.094</f>
        <v>41928.699999999997</v>
      </c>
      <c r="D45" s="80">
        <f t="shared" si="11"/>
        <v>2.1501897435897435E-2</v>
      </c>
      <c r="E45" s="181">
        <f>SUM(E36:E39)*0.094</f>
        <v>46072.296328000004</v>
      </c>
      <c r="F45" s="80">
        <f t="shared" si="12"/>
        <v>2.1650515191729326E-2</v>
      </c>
      <c r="G45" s="181">
        <f>SUM(G36:G39)*0.094</f>
        <v>47621.824139479999</v>
      </c>
      <c r="H45" s="80">
        <f t="shared" si="13"/>
        <v>2.1558091507234041E-2</v>
      </c>
      <c r="I45" s="181">
        <f>SUM(I36:I39)*0.094</f>
        <v>49100.518175143363</v>
      </c>
      <c r="J45" s="80">
        <f t="shared" si="14"/>
        <v>2.1413222056320701E-2</v>
      </c>
      <c r="K45" s="181">
        <f>SUM(K36:K39)*0.094</f>
        <v>50328.031129521944</v>
      </c>
      <c r="L45" s="80">
        <f t="shared" si="15"/>
        <v>2.1334476951895696E-2</v>
      </c>
      <c r="M45" s="181">
        <f>SUM(M36:M39)*0.094</f>
        <v>51368.515185219883</v>
      </c>
      <c r="N45" s="80">
        <f t="shared" si="16"/>
        <v>2.1165436829509634E-2</v>
      </c>
      <c r="O45" s="181">
        <f>SUM(O36:O39)*0.094</f>
        <v>52652.728064850358</v>
      </c>
      <c r="P45" s="80">
        <f t="shared" si="17"/>
        <v>2.1086394899819928E-2</v>
      </c>
      <c r="Q45" s="181">
        <f>SUM(Q36:Q39)*0.094</f>
        <v>53705.782626147382</v>
      </c>
      <c r="R45" s="80">
        <f t="shared" si="18"/>
        <v>2.090532605143923E-2</v>
      </c>
      <c r="S45" s="181">
        <f>SUM(S36:S39)*0.094</f>
        <v>54816.251901717056</v>
      </c>
      <c r="T45" s="80">
        <f t="shared" si="19"/>
        <v>2.0740163413438161E-2</v>
      </c>
      <c r="U45" s="181">
        <f>SUM(U36:U39)*0.094</f>
        <v>56186.658199259982</v>
      </c>
      <c r="V45" s="80">
        <f t="shared" si="20"/>
        <v>2.0664456858867225E-2</v>
      </c>
    </row>
    <row r="46" spans="1:22" ht="12.75" customHeight="1">
      <c r="A46" s="1" t="s">
        <v>394</v>
      </c>
      <c r="B46" s="53"/>
      <c r="C46" s="82">
        <f>SUM(C36:C45)</f>
        <v>510865.13200000004</v>
      </c>
      <c r="D46" s="83">
        <f t="shared" si="11"/>
        <v>0.26198211897435897</v>
      </c>
      <c r="E46" s="82">
        <f>SUM(E36:E45)</f>
        <v>560971.42384800001</v>
      </c>
      <c r="F46" s="83">
        <f t="shared" si="12"/>
        <v>0.26361439090601502</v>
      </c>
      <c r="G46" s="82">
        <f>SUM(G36:G45)</f>
        <v>579789.07136267994</v>
      </c>
      <c r="H46" s="83">
        <f t="shared" si="13"/>
        <v>0.26246675933122676</v>
      </c>
      <c r="I46" s="82">
        <f>SUM(I36:I45)</f>
        <v>597756.58885668579</v>
      </c>
      <c r="J46" s="83">
        <f t="shared" si="14"/>
        <v>0.26068756600814907</v>
      </c>
      <c r="K46" s="82">
        <f>SUM(K36:K45)</f>
        <v>612700.5035781028</v>
      </c>
      <c r="L46" s="83">
        <f t="shared" si="15"/>
        <v>0.25972891207210802</v>
      </c>
      <c r="M46" s="82">
        <f>SUM(M36:M45)</f>
        <v>625394.07472971745</v>
      </c>
      <c r="N46" s="83">
        <f t="shared" si="16"/>
        <v>0.25768194261628241</v>
      </c>
      <c r="O46" s="82">
        <f>SUM(O36:O45)</f>
        <v>641028.92659796018</v>
      </c>
      <c r="P46" s="83">
        <f t="shared" si="17"/>
        <v>0.25671963420022437</v>
      </c>
      <c r="Q46" s="82">
        <f>SUM(Q36:Q45)</f>
        <v>653849.5051299195</v>
      </c>
      <c r="R46" s="83">
        <f t="shared" si="18"/>
        <v>0.25451518300113646</v>
      </c>
      <c r="S46" s="82">
        <f>SUM(S36:S45)</f>
        <v>667397.54536944255</v>
      </c>
      <c r="T46" s="83">
        <f t="shared" si="19"/>
        <v>0.25251515148295217</v>
      </c>
      <c r="U46" s="82">
        <f>SUM(U36:U45)</f>
        <v>684082.48400367866</v>
      </c>
      <c r="V46" s="83">
        <f t="shared" si="20"/>
        <v>0.25159341081415176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366</v>
      </c>
      <c r="E50" s="86" t="str">
        <f>E6</f>
        <v>FY 2019-20</v>
      </c>
      <c r="F50" s="86" t="s">
        <v>366</v>
      </c>
      <c r="G50" s="86" t="str">
        <f>G6</f>
        <v>FY 2020-21</v>
      </c>
      <c r="H50" s="86" t="s">
        <v>366</v>
      </c>
      <c r="I50" s="86" t="str">
        <f>I6</f>
        <v>FY 2021-22</v>
      </c>
      <c r="J50" s="86" t="s">
        <v>366</v>
      </c>
      <c r="K50" s="86" t="str">
        <f>K6</f>
        <v>FY 2022-23</v>
      </c>
      <c r="L50" s="86" t="s">
        <v>366</v>
      </c>
      <c r="M50" s="86" t="str">
        <f>M6</f>
        <v>FY 2023-24</v>
      </c>
      <c r="N50" s="86" t="s">
        <v>366</v>
      </c>
      <c r="O50" s="86" t="str">
        <f>O6</f>
        <v>FY 2024-25</v>
      </c>
      <c r="P50" s="86" t="s">
        <v>366</v>
      </c>
      <c r="Q50" s="86" t="str">
        <f>Q6</f>
        <v>FY 2025-26</v>
      </c>
      <c r="R50" s="86" t="s">
        <v>366</v>
      </c>
      <c r="S50" s="86" t="str">
        <f>S6</f>
        <v>FY 2026-27</v>
      </c>
      <c r="T50" s="86" t="s">
        <v>366</v>
      </c>
      <c r="U50" s="86" t="str">
        <f>U6</f>
        <v>FY 2027-28</v>
      </c>
      <c r="V50" s="86" t="s">
        <v>366</v>
      </c>
    </row>
    <row r="51" spans="1:24" ht="12.75" customHeight="1">
      <c r="A51" s="1" t="s">
        <v>395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396</v>
      </c>
      <c r="B52" s="35"/>
      <c r="C52" s="178">
        <v>0</v>
      </c>
      <c r="D52" s="80">
        <f t="shared" ref="D52:D83" si="22">IFERROR(C52/C$28,0)</f>
        <v>0</v>
      </c>
      <c r="E52" s="178">
        <v>0</v>
      </c>
      <c r="F52" s="80">
        <f t="shared" ref="F52:F105" si="23">IFERROR(E52/E$28,0)</f>
        <v>0</v>
      </c>
      <c r="G52" s="178">
        <v>0</v>
      </c>
      <c r="H52" s="80">
        <f t="shared" ref="H52:H105" si="24">IFERROR(G52/G$28,0)</f>
        <v>0</v>
      </c>
      <c r="I52" s="178">
        <v>0</v>
      </c>
      <c r="J52" s="80">
        <f t="shared" ref="J52:J105" si="25">IFERROR(I52/I$28,0)</f>
        <v>0</v>
      </c>
      <c r="K52" s="178">
        <v>0</v>
      </c>
      <c r="L52" s="80">
        <f t="shared" ref="L52:L105" si="26">IFERROR(K52/K$28,0)</f>
        <v>0</v>
      </c>
      <c r="M52" s="178">
        <v>0</v>
      </c>
      <c r="N52" s="80">
        <f t="shared" ref="N52:N105" si="27">IFERROR(M52/M$28,0)</f>
        <v>0</v>
      </c>
      <c r="O52" s="178">
        <v>0</v>
      </c>
      <c r="P52" s="80">
        <f t="shared" ref="P52:P105" si="28">IFERROR(O52/O$28,0)</f>
        <v>0</v>
      </c>
      <c r="Q52" s="178">
        <v>0</v>
      </c>
      <c r="R52" s="80">
        <f t="shared" ref="R52:R105" si="29">IFERROR(Q52/Q$28,0)</f>
        <v>0</v>
      </c>
      <c r="S52" s="178">
        <v>0</v>
      </c>
      <c r="T52" s="80">
        <f t="shared" ref="T52:T105" si="30">IFERROR(S52/S$28,0)</f>
        <v>0</v>
      </c>
      <c r="U52" s="178">
        <v>0</v>
      </c>
      <c r="V52" s="80">
        <f t="shared" ref="V52:V105" si="31">IFERROR(U52/U$28,0)</f>
        <v>0</v>
      </c>
      <c r="X52" s="192"/>
    </row>
    <row r="53" spans="1:24" ht="12.75" customHeight="1">
      <c r="A53" s="2" t="s">
        <v>397</v>
      </c>
      <c r="B53" s="35"/>
      <c r="C53" s="178">
        <v>0</v>
      </c>
      <c r="D53" s="80">
        <f t="shared" si="22"/>
        <v>0</v>
      </c>
      <c r="E53" s="178">
        <v>0</v>
      </c>
      <c r="F53" s="80">
        <f t="shared" si="23"/>
        <v>0</v>
      </c>
      <c r="G53" s="178">
        <v>0</v>
      </c>
      <c r="H53" s="80">
        <f t="shared" si="24"/>
        <v>0</v>
      </c>
      <c r="I53" s="178">
        <v>0</v>
      </c>
      <c r="J53" s="80">
        <f t="shared" si="25"/>
        <v>0</v>
      </c>
      <c r="K53" s="178">
        <v>0</v>
      </c>
      <c r="L53" s="80">
        <f t="shared" si="26"/>
        <v>0</v>
      </c>
      <c r="M53" s="178">
        <v>0</v>
      </c>
      <c r="N53" s="80">
        <f t="shared" si="27"/>
        <v>0</v>
      </c>
      <c r="O53" s="178">
        <v>0</v>
      </c>
      <c r="P53" s="80">
        <f t="shared" si="28"/>
        <v>0</v>
      </c>
      <c r="Q53" s="178">
        <v>0</v>
      </c>
      <c r="R53" s="80">
        <f t="shared" si="29"/>
        <v>0</v>
      </c>
      <c r="S53" s="178">
        <v>0</v>
      </c>
      <c r="T53" s="80">
        <f t="shared" si="30"/>
        <v>0</v>
      </c>
      <c r="U53" s="178">
        <v>0</v>
      </c>
      <c r="V53" s="80">
        <f t="shared" si="31"/>
        <v>0</v>
      </c>
      <c r="X53" s="192"/>
    </row>
    <row r="54" spans="1:24" ht="12.75" customHeight="1">
      <c r="A54" s="2" t="s">
        <v>398</v>
      </c>
      <c r="B54" s="35"/>
      <c r="C54" s="178">
        <v>1365</v>
      </c>
      <c r="D54" s="80">
        <f t="shared" si="22"/>
        <v>6.9999999999999999E-4</v>
      </c>
      <c r="E54" s="178">
        <v>1489.6</v>
      </c>
      <c r="F54" s="80">
        <f t="shared" si="23"/>
        <v>6.9999999999999999E-4</v>
      </c>
      <c r="G54" s="178">
        <v>1546.3</v>
      </c>
      <c r="H54" s="80">
        <f t="shared" si="24"/>
        <v>6.9999999999999999E-4</v>
      </c>
      <c r="I54" s="178">
        <v>1605.1000000000001</v>
      </c>
      <c r="J54" s="80">
        <f t="shared" si="25"/>
        <v>7.000000000000001E-4</v>
      </c>
      <c r="K54" s="178">
        <v>1651.3</v>
      </c>
      <c r="L54" s="80">
        <f t="shared" si="26"/>
        <v>6.9999999999999999E-4</v>
      </c>
      <c r="M54" s="178">
        <v>1698.9000000000003</v>
      </c>
      <c r="N54" s="80">
        <f t="shared" si="27"/>
        <v>7.000000000000001E-4</v>
      </c>
      <c r="O54" s="178">
        <v>1747.9</v>
      </c>
      <c r="P54" s="80">
        <f t="shared" si="28"/>
        <v>6.9999999999999999E-4</v>
      </c>
      <c r="Q54" s="178">
        <v>1798.3000000000002</v>
      </c>
      <c r="R54" s="80">
        <f t="shared" si="29"/>
        <v>7.000000000000001E-4</v>
      </c>
      <c r="S54" s="178">
        <v>1850.1</v>
      </c>
      <c r="T54" s="80">
        <f t="shared" si="30"/>
        <v>6.9999999999999999E-4</v>
      </c>
      <c r="U54" s="178">
        <v>1903.3000000000002</v>
      </c>
      <c r="V54" s="80">
        <f t="shared" si="31"/>
        <v>7.000000000000001E-4</v>
      </c>
      <c r="X54" s="192"/>
    </row>
    <row r="55" spans="1:24" ht="12.75" customHeight="1">
      <c r="A55" s="2" t="s">
        <v>399</v>
      </c>
      <c r="B55" s="35"/>
      <c r="C55" s="178">
        <v>136500</v>
      </c>
      <c r="D55" s="80">
        <f t="shared" si="22"/>
        <v>7.0000000000000007E-2</v>
      </c>
      <c r="E55" s="178">
        <v>148960</v>
      </c>
      <c r="F55" s="80">
        <f t="shared" si="23"/>
        <v>7.0000000000000007E-2</v>
      </c>
      <c r="G55" s="178">
        <v>154630.00000000003</v>
      </c>
      <c r="H55" s="80">
        <f t="shared" si="24"/>
        <v>7.0000000000000007E-2</v>
      </c>
      <c r="I55" s="178">
        <v>160510.00000000003</v>
      </c>
      <c r="J55" s="80">
        <f t="shared" si="25"/>
        <v>7.0000000000000007E-2</v>
      </c>
      <c r="K55" s="178">
        <v>165130.00000000003</v>
      </c>
      <c r="L55" s="80">
        <f t="shared" si="26"/>
        <v>7.0000000000000007E-2</v>
      </c>
      <c r="M55" s="178">
        <v>169890.00000000003</v>
      </c>
      <c r="N55" s="80">
        <f t="shared" si="27"/>
        <v>7.0000000000000007E-2</v>
      </c>
      <c r="O55" s="178">
        <v>174790.00000000003</v>
      </c>
      <c r="P55" s="80">
        <f t="shared" si="28"/>
        <v>7.0000000000000007E-2</v>
      </c>
      <c r="Q55" s="178">
        <v>179830.00000000003</v>
      </c>
      <c r="R55" s="80">
        <f t="shared" si="29"/>
        <v>7.0000000000000007E-2</v>
      </c>
      <c r="S55" s="178">
        <v>185010.00000000003</v>
      </c>
      <c r="T55" s="80">
        <f t="shared" si="30"/>
        <v>7.0000000000000007E-2</v>
      </c>
      <c r="U55" s="178">
        <v>190330.00000000003</v>
      </c>
      <c r="V55" s="80">
        <f t="shared" si="31"/>
        <v>7.0000000000000007E-2</v>
      </c>
      <c r="X55" s="192"/>
    </row>
    <row r="56" spans="1:24" ht="12.75" customHeight="1">
      <c r="A56" s="2" t="s">
        <v>400</v>
      </c>
      <c r="B56" s="35"/>
      <c r="C56" s="178">
        <v>994.49999999999989</v>
      </c>
      <c r="D56" s="80">
        <f t="shared" si="22"/>
        <v>5.0999999999999993E-4</v>
      </c>
      <c r="E56" s="178">
        <v>1085.28</v>
      </c>
      <c r="F56" s="80">
        <f t="shared" si="23"/>
        <v>5.1000000000000004E-4</v>
      </c>
      <c r="G56" s="178">
        <v>1126.5899999999999</v>
      </c>
      <c r="H56" s="80">
        <f t="shared" si="24"/>
        <v>5.0999999999999993E-4</v>
      </c>
      <c r="I56" s="178">
        <v>1169.43</v>
      </c>
      <c r="J56" s="80">
        <f t="shared" si="25"/>
        <v>5.1000000000000004E-4</v>
      </c>
      <c r="K56" s="178">
        <v>1203.0900000000001</v>
      </c>
      <c r="L56" s="80">
        <f t="shared" si="26"/>
        <v>5.1000000000000004E-4</v>
      </c>
      <c r="M56" s="178">
        <v>1237.7700000000002</v>
      </c>
      <c r="N56" s="80">
        <f t="shared" si="27"/>
        <v>5.1000000000000004E-4</v>
      </c>
      <c r="O56" s="178">
        <v>1273.47</v>
      </c>
      <c r="P56" s="80">
        <f t="shared" si="28"/>
        <v>5.1000000000000004E-4</v>
      </c>
      <c r="Q56" s="178">
        <v>1310.1900000000003</v>
      </c>
      <c r="R56" s="80">
        <f t="shared" si="29"/>
        <v>5.1000000000000015E-4</v>
      </c>
      <c r="S56" s="178">
        <v>1347.9299999999998</v>
      </c>
      <c r="T56" s="80">
        <f t="shared" si="30"/>
        <v>5.0999999999999993E-4</v>
      </c>
      <c r="U56" s="178">
        <v>1386.69</v>
      </c>
      <c r="V56" s="80">
        <f t="shared" si="31"/>
        <v>5.1000000000000004E-4</v>
      </c>
      <c r="X56" s="192"/>
    </row>
    <row r="57" spans="1:24" ht="12.75" customHeight="1">
      <c r="A57" s="2" t="s">
        <v>401</v>
      </c>
      <c r="B57" s="35"/>
      <c r="C57" s="178">
        <v>0</v>
      </c>
      <c r="D57" s="80">
        <f t="shared" si="22"/>
        <v>0</v>
      </c>
      <c r="E57" s="178">
        <v>0</v>
      </c>
      <c r="F57" s="80">
        <f t="shared" si="23"/>
        <v>0</v>
      </c>
      <c r="G57" s="178">
        <v>0</v>
      </c>
      <c r="H57" s="80">
        <f t="shared" si="24"/>
        <v>0</v>
      </c>
      <c r="I57" s="178">
        <v>0</v>
      </c>
      <c r="J57" s="80">
        <f t="shared" si="25"/>
        <v>0</v>
      </c>
      <c r="K57" s="178">
        <v>0</v>
      </c>
      <c r="L57" s="80">
        <f t="shared" si="26"/>
        <v>0</v>
      </c>
      <c r="M57" s="178">
        <v>0</v>
      </c>
      <c r="N57" s="80">
        <f t="shared" si="27"/>
        <v>0</v>
      </c>
      <c r="O57" s="178">
        <v>0</v>
      </c>
      <c r="P57" s="80">
        <f t="shared" si="28"/>
        <v>0</v>
      </c>
      <c r="Q57" s="178">
        <v>0</v>
      </c>
      <c r="R57" s="80">
        <f t="shared" si="29"/>
        <v>0</v>
      </c>
      <c r="S57" s="178">
        <v>0</v>
      </c>
      <c r="T57" s="80">
        <f t="shared" si="30"/>
        <v>0</v>
      </c>
      <c r="U57" s="178">
        <v>0</v>
      </c>
      <c r="V57" s="80">
        <f t="shared" si="31"/>
        <v>0</v>
      </c>
      <c r="X57" s="192"/>
    </row>
    <row r="58" spans="1:24" ht="12.75" customHeight="1">
      <c r="A58" s="2" t="s">
        <v>402</v>
      </c>
      <c r="B58" s="35"/>
      <c r="C58" s="178">
        <v>0</v>
      </c>
      <c r="D58" s="80">
        <f t="shared" si="22"/>
        <v>0</v>
      </c>
      <c r="E58" s="178">
        <v>0</v>
      </c>
      <c r="F58" s="80">
        <f t="shared" si="23"/>
        <v>0</v>
      </c>
      <c r="G58" s="178">
        <v>0</v>
      </c>
      <c r="H58" s="80">
        <f t="shared" si="24"/>
        <v>0</v>
      </c>
      <c r="I58" s="178">
        <v>0</v>
      </c>
      <c r="J58" s="80">
        <f t="shared" si="25"/>
        <v>0</v>
      </c>
      <c r="K58" s="178">
        <v>0</v>
      </c>
      <c r="L58" s="80">
        <f t="shared" si="26"/>
        <v>0</v>
      </c>
      <c r="M58" s="178">
        <v>0</v>
      </c>
      <c r="N58" s="80">
        <f t="shared" si="27"/>
        <v>0</v>
      </c>
      <c r="O58" s="178">
        <v>0</v>
      </c>
      <c r="P58" s="80">
        <f t="shared" si="28"/>
        <v>0</v>
      </c>
      <c r="Q58" s="178">
        <v>0</v>
      </c>
      <c r="R58" s="80">
        <f t="shared" si="29"/>
        <v>0</v>
      </c>
      <c r="S58" s="178">
        <v>0</v>
      </c>
      <c r="T58" s="80">
        <f t="shared" si="30"/>
        <v>0</v>
      </c>
      <c r="U58" s="178">
        <v>0</v>
      </c>
      <c r="V58" s="80">
        <f t="shared" si="31"/>
        <v>0</v>
      </c>
      <c r="X58" s="192"/>
    </row>
    <row r="59" spans="1:24" ht="12.75" customHeight="1">
      <c r="A59" s="2" t="s">
        <v>403</v>
      </c>
      <c r="B59" s="35"/>
      <c r="C59" s="178"/>
      <c r="D59" s="80">
        <f t="shared" si="22"/>
        <v>0</v>
      </c>
      <c r="E59" s="178"/>
      <c r="F59" s="80">
        <f t="shared" si="23"/>
        <v>0</v>
      </c>
      <c r="G59" s="178"/>
      <c r="H59" s="80">
        <f t="shared" si="24"/>
        <v>0</v>
      </c>
      <c r="I59" s="178"/>
      <c r="J59" s="80">
        <f t="shared" si="25"/>
        <v>0</v>
      </c>
      <c r="K59" s="178"/>
      <c r="L59" s="80">
        <f t="shared" si="26"/>
        <v>0</v>
      </c>
      <c r="M59" s="178"/>
      <c r="N59" s="80">
        <f t="shared" si="27"/>
        <v>0</v>
      </c>
      <c r="O59" s="178"/>
      <c r="P59" s="80">
        <f t="shared" si="28"/>
        <v>0</v>
      </c>
      <c r="Q59" s="178"/>
      <c r="R59" s="80">
        <f t="shared" si="29"/>
        <v>0</v>
      </c>
      <c r="S59" s="178"/>
      <c r="T59" s="80">
        <f t="shared" si="30"/>
        <v>0</v>
      </c>
      <c r="U59" s="178"/>
      <c r="V59" s="80">
        <f t="shared" si="31"/>
        <v>0</v>
      </c>
      <c r="X59" s="192"/>
    </row>
    <row r="60" spans="1:24" ht="12.75" customHeight="1">
      <c r="A60" s="2" t="s">
        <v>404</v>
      </c>
      <c r="B60" s="35"/>
      <c r="C60" s="178">
        <v>0</v>
      </c>
      <c r="D60" s="80">
        <f t="shared" si="22"/>
        <v>0</v>
      </c>
      <c r="E60" s="178">
        <v>0</v>
      </c>
      <c r="F60" s="80">
        <f t="shared" si="23"/>
        <v>0</v>
      </c>
      <c r="G60" s="178">
        <v>0</v>
      </c>
      <c r="H60" s="80">
        <f t="shared" si="24"/>
        <v>0</v>
      </c>
      <c r="I60" s="178">
        <v>0</v>
      </c>
      <c r="J60" s="80">
        <f t="shared" si="25"/>
        <v>0</v>
      </c>
      <c r="K60" s="178">
        <v>0</v>
      </c>
      <c r="L60" s="80">
        <f t="shared" si="26"/>
        <v>0</v>
      </c>
      <c r="M60" s="178">
        <v>0</v>
      </c>
      <c r="N60" s="80">
        <f t="shared" si="27"/>
        <v>0</v>
      </c>
      <c r="O60" s="178">
        <v>0</v>
      </c>
      <c r="P60" s="80">
        <f t="shared" si="28"/>
        <v>0</v>
      </c>
      <c r="Q60" s="178">
        <v>0</v>
      </c>
      <c r="R60" s="80">
        <f t="shared" si="29"/>
        <v>0</v>
      </c>
      <c r="S60" s="178">
        <v>0</v>
      </c>
      <c r="T60" s="80">
        <f t="shared" si="30"/>
        <v>0</v>
      </c>
      <c r="U60" s="178">
        <v>0</v>
      </c>
      <c r="V60" s="80">
        <f t="shared" si="31"/>
        <v>0</v>
      </c>
      <c r="X60" s="192"/>
    </row>
    <row r="61" spans="1:24" ht="12.75" customHeight="1">
      <c r="A61" s="2" t="s">
        <v>405</v>
      </c>
      <c r="B61" s="35"/>
      <c r="C61" s="178">
        <v>0</v>
      </c>
      <c r="D61" s="80">
        <f t="shared" si="22"/>
        <v>0</v>
      </c>
      <c r="E61" s="178">
        <v>0</v>
      </c>
      <c r="F61" s="80">
        <f t="shared" si="23"/>
        <v>0</v>
      </c>
      <c r="G61" s="178">
        <v>0</v>
      </c>
      <c r="H61" s="80">
        <f t="shared" si="24"/>
        <v>0</v>
      </c>
      <c r="I61" s="178">
        <v>0</v>
      </c>
      <c r="J61" s="80">
        <f t="shared" si="25"/>
        <v>0</v>
      </c>
      <c r="K61" s="178">
        <v>0</v>
      </c>
      <c r="L61" s="80">
        <f t="shared" si="26"/>
        <v>0</v>
      </c>
      <c r="M61" s="178">
        <v>0</v>
      </c>
      <c r="N61" s="80">
        <f t="shared" si="27"/>
        <v>0</v>
      </c>
      <c r="O61" s="178">
        <v>0</v>
      </c>
      <c r="P61" s="80">
        <f t="shared" si="28"/>
        <v>0</v>
      </c>
      <c r="Q61" s="178">
        <v>0</v>
      </c>
      <c r="R61" s="80">
        <f t="shared" si="29"/>
        <v>0</v>
      </c>
      <c r="S61" s="178">
        <v>0</v>
      </c>
      <c r="T61" s="80">
        <f t="shared" si="30"/>
        <v>0</v>
      </c>
      <c r="U61" s="178">
        <v>0</v>
      </c>
      <c r="V61" s="80">
        <f t="shared" si="31"/>
        <v>0</v>
      </c>
      <c r="X61" s="192"/>
    </row>
    <row r="62" spans="1:24" ht="12.75" customHeight="1">
      <c r="A62" s="2" t="s">
        <v>406</v>
      </c>
      <c r="B62" s="35"/>
      <c r="C62" s="178">
        <v>0</v>
      </c>
      <c r="D62" s="80">
        <f t="shared" si="22"/>
        <v>0</v>
      </c>
      <c r="E62" s="178">
        <v>0</v>
      </c>
      <c r="F62" s="80">
        <f t="shared" si="23"/>
        <v>0</v>
      </c>
      <c r="G62" s="178">
        <v>0</v>
      </c>
      <c r="H62" s="80">
        <f t="shared" si="24"/>
        <v>0</v>
      </c>
      <c r="I62" s="178">
        <v>0</v>
      </c>
      <c r="J62" s="80">
        <f t="shared" si="25"/>
        <v>0</v>
      </c>
      <c r="K62" s="178">
        <v>0</v>
      </c>
      <c r="L62" s="80">
        <f t="shared" si="26"/>
        <v>0</v>
      </c>
      <c r="M62" s="178">
        <v>0</v>
      </c>
      <c r="N62" s="80">
        <f t="shared" si="27"/>
        <v>0</v>
      </c>
      <c r="O62" s="178">
        <v>0</v>
      </c>
      <c r="P62" s="80">
        <f t="shared" si="28"/>
        <v>0</v>
      </c>
      <c r="Q62" s="178">
        <v>0</v>
      </c>
      <c r="R62" s="80">
        <f t="shared" si="29"/>
        <v>0</v>
      </c>
      <c r="S62" s="178">
        <v>0</v>
      </c>
      <c r="T62" s="80">
        <f t="shared" si="30"/>
        <v>0</v>
      </c>
      <c r="U62" s="178">
        <v>0</v>
      </c>
      <c r="V62" s="80">
        <f t="shared" si="31"/>
        <v>0</v>
      </c>
      <c r="X62" s="192"/>
    </row>
    <row r="63" spans="1:24" ht="12.75" customHeight="1">
      <c r="A63" s="2" t="s">
        <v>407</v>
      </c>
      <c r="B63" s="35"/>
      <c r="C63" s="178">
        <v>23723.075695079438</v>
      </c>
      <c r="D63" s="80">
        <f t="shared" si="22"/>
        <v>1.2165679843630482E-2</v>
      </c>
      <c r="E63" s="178">
        <v>26270.779308770114</v>
      </c>
      <c r="F63" s="80">
        <f t="shared" si="23"/>
        <v>1.2345291028557385E-2</v>
      </c>
      <c r="G63" s="178">
        <v>26982.08732038044</v>
      </c>
      <c r="H63" s="80">
        <f t="shared" si="24"/>
        <v>1.2214616260923693E-2</v>
      </c>
      <c r="I63" s="178">
        <v>28080.033607562928</v>
      </c>
      <c r="J63" s="80">
        <f t="shared" si="25"/>
        <v>1.224598064001872E-2</v>
      </c>
      <c r="K63" s="178">
        <v>28799.235745188675</v>
      </c>
      <c r="L63" s="80">
        <f t="shared" si="26"/>
        <v>1.2208238976341108E-2</v>
      </c>
      <c r="M63" s="178">
        <v>29679.348208371448</v>
      </c>
      <c r="N63" s="80">
        <f t="shared" si="27"/>
        <v>1.2228820852233806E-2</v>
      </c>
      <c r="O63" s="178">
        <v>30598.317618897749</v>
      </c>
      <c r="P63" s="80">
        <f t="shared" si="28"/>
        <v>1.2254031885822086E-2</v>
      </c>
      <c r="Q63" s="178">
        <v>31573.060922050689</v>
      </c>
      <c r="R63" s="80">
        <f t="shared" si="29"/>
        <v>1.2290019821740245E-2</v>
      </c>
      <c r="S63" s="178">
        <v>32575.315493791804</v>
      </c>
      <c r="T63" s="80">
        <f t="shared" si="30"/>
        <v>1.2325128828525087E-2</v>
      </c>
      <c r="U63" s="178">
        <v>33614.033825863298</v>
      </c>
      <c r="V63" s="80">
        <f t="shared" si="31"/>
        <v>1.236264576162681E-2</v>
      </c>
      <c r="X63" s="192"/>
    </row>
    <row r="64" spans="1:24" ht="12.75" customHeight="1">
      <c r="A64" s="2" t="s">
        <v>408</v>
      </c>
      <c r="B64" s="35"/>
      <c r="C64" s="178">
        <v>9359.9999999999982</v>
      </c>
      <c r="D64" s="80">
        <f t="shared" si="22"/>
        <v>4.7999999999999987E-3</v>
      </c>
      <c r="E64" s="178">
        <v>10214.399999999998</v>
      </c>
      <c r="F64" s="80">
        <f t="shared" si="23"/>
        <v>4.7999999999999987E-3</v>
      </c>
      <c r="G64" s="178">
        <v>10603.199999999999</v>
      </c>
      <c r="H64" s="80">
        <f t="shared" si="24"/>
        <v>4.7999999999999996E-3</v>
      </c>
      <c r="I64" s="178">
        <v>11006.399999999998</v>
      </c>
      <c r="J64" s="80">
        <f t="shared" si="25"/>
        <v>4.7999999999999987E-3</v>
      </c>
      <c r="K64" s="178">
        <v>11323.2</v>
      </c>
      <c r="L64" s="80">
        <f t="shared" si="26"/>
        <v>4.8000000000000004E-3</v>
      </c>
      <c r="M64" s="178">
        <v>11649.6</v>
      </c>
      <c r="N64" s="80">
        <f t="shared" si="27"/>
        <v>4.8000000000000004E-3</v>
      </c>
      <c r="O64" s="178">
        <v>11985.6</v>
      </c>
      <c r="P64" s="80">
        <f t="shared" si="28"/>
        <v>4.8000000000000004E-3</v>
      </c>
      <c r="Q64" s="178">
        <v>12331.199999999999</v>
      </c>
      <c r="R64" s="80">
        <f t="shared" si="29"/>
        <v>4.7999999999999996E-3</v>
      </c>
      <c r="S64" s="178">
        <v>12686.399999999998</v>
      </c>
      <c r="T64" s="80">
        <f t="shared" si="30"/>
        <v>4.7999999999999996E-3</v>
      </c>
      <c r="U64" s="178">
        <v>13051.199999999999</v>
      </c>
      <c r="V64" s="80">
        <f t="shared" si="31"/>
        <v>4.7999999999999996E-3</v>
      </c>
      <c r="X64" s="192"/>
    </row>
    <row r="65" spans="1:24" ht="12.75" customHeight="1">
      <c r="A65" s="2" t="s">
        <v>409</v>
      </c>
      <c r="B65" s="35"/>
      <c r="C65" s="178">
        <v>975</v>
      </c>
      <c r="D65" s="80">
        <f t="shared" si="22"/>
        <v>5.0000000000000001E-4</v>
      </c>
      <c r="E65" s="178">
        <v>1064</v>
      </c>
      <c r="F65" s="80">
        <f t="shared" si="23"/>
        <v>5.0000000000000001E-4</v>
      </c>
      <c r="G65" s="178">
        <v>1104.5</v>
      </c>
      <c r="H65" s="80">
        <f t="shared" si="24"/>
        <v>5.0000000000000001E-4</v>
      </c>
      <c r="I65" s="178">
        <v>1146.5</v>
      </c>
      <c r="J65" s="80">
        <f t="shared" si="25"/>
        <v>5.0000000000000001E-4</v>
      </c>
      <c r="K65" s="178">
        <v>1179.5</v>
      </c>
      <c r="L65" s="80">
        <f t="shared" si="26"/>
        <v>5.0000000000000001E-4</v>
      </c>
      <c r="M65" s="178">
        <v>1213.5</v>
      </c>
      <c r="N65" s="80">
        <f t="shared" si="27"/>
        <v>5.0000000000000001E-4</v>
      </c>
      <c r="O65" s="178">
        <v>1248.5</v>
      </c>
      <c r="P65" s="80">
        <f t="shared" si="28"/>
        <v>5.0000000000000001E-4</v>
      </c>
      <c r="Q65" s="178">
        <v>1284.5000000000002</v>
      </c>
      <c r="R65" s="80">
        <f t="shared" si="29"/>
        <v>5.0000000000000012E-4</v>
      </c>
      <c r="S65" s="178">
        <v>1321.4999999999998</v>
      </c>
      <c r="T65" s="80">
        <f t="shared" si="30"/>
        <v>4.999999999999999E-4</v>
      </c>
      <c r="U65" s="178">
        <v>1359.5</v>
      </c>
      <c r="V65" s="80">
        <f t="shared" si="31"/>
        <v>5.0000000000000001E-4</v>
      </c>
      <c r="X65" s="192"/>
    </row>
    <row r="66" spans="1:24" ht="12.75" customHeight="1">
      <c r="A66" s="2" t="s">
        <v>410</v>
      </c>
      <c r="B66" s="35"/>
      <c r="C66" s="178">
        <v>5460</v>
      </c>
      <c r="D66" s="80">
        <f t="shared" si="22"/>
        <v>2.8E-3</v>
      </c>
      <c r="E66" s="178">
        <v>5958.4</v>
      </c>
      <c r="F66" s="80">
        <f t="shared" si="23"/>
        <v>2.8E-3</v>
      </c>
      <c r="G66" s="178">
        <v>6185.2</v>
      </c>
      <c r="H66" s="80">
        <f t="shared" si="24"/>
        <v>2.8E-3</v>
      </c>
      <c r="I66" s="178">
        <v>6420.4000000000005</v>
      </c>
      <c r="J66" s="80">
        <f t="shared" si="25"/>
        <v>2.8000000000000004E-3</v>
      </c>
      <c r="K66" s="178">
        <v>6605.2</v>
      </c>
      <c r="L66" s="80">
        <f t="shared" si="26"/>
        <v>2.8E-3</v>
      </c>
      <c r="M66" s="178">
        <v>6795.6000000000013</v>
      </c>
      <c r="N66" s="80">
        <f t="shared" si="27"/>
        <v>2.8000000000000004E-3</v>
      </c>
      <c r="O66" s="178">
        <v>6991.6</v>
      </c>
      <c r="P66" s="80">
        <f t="shared" si="28"/>
        <v>2.8E-3</v>
      </c>
      <c r="Q66" s="178">
        <v>7193.2000000000007</v>
      </c>
      <c r="R66" s="80">
        <f t="shared" si="29"/>
        <v>2.8000000000000004E-3</v>
      </c>
      <c r="S66" s="178">
        <v>7400.4</v>
      </c>
      <c r="T66" s="80">
        <f t="shared" si="30"/>
        <v>2.8E-3</v>
      </c>
      <c r="U66" s="178">
        <v>7613.2000000000007</v>
      </c>
      <c r="V66" s="80">
        <f t="shared" si="31"/>
        <v>2.8000000000000004E-3</v>
      </c>
      <c r="X66" s="192"/>
    </row>
    <row r="67" spans="1:24" ht="12.75" customHeight="1">
      <c r="A67" s="2" t="s">
        <v>411</v>
      </c>
      <c r="B67" s="35"/>
      <c r="C67" s="178">
        <v>29249.999999999996</v>
      </c>
      <c r="D67" s="80">
        <f t="shared" si="22"/>
        <v>1.4999999999999998E-2</v>
      </c>
      <c r="E67" s="178">
        <v>31920</v>
      </c>
      <c r="F67" s="80">
        <f t="shared" si="23"/>
        <v>1.4999999999999999E-2</v>
      </c>
      <c r="G67" s="178">
        <v>33135</v>
      </c>
      <c r="H67" s="80">
        <f t="shared" si="24"/>
        <v>1.4999999999999999E-2</v>
      </c>
      <c r="I67" s="178">
        <v>34395</v>
      </c>
      <c r="J67" s="80">
        <f t="shared" si="25"/>
        <v>1.4999999999999999E-2</v>
      </c>
      <c r="K67" s="178">
        <v>35385</v>
      </c>
      <c r="L67" s="80">
        <f t="shared" si="26"/>
        <v>1.4999999999999999E-2</v>
      </c>
      <c r="M67" s="178">
        <v>36405</v>
      </c>
      <c r="N67" s="80">
        <f t="shared" si="27"/>
        <v>1.4999999999999999E-2</v>
      </c>
      <c r="O67" s="178">
        <v>37455</v>
      </c>
      <c r="P67" s="80">
        <f t="shared" si="28"/>
        <v>1.4999999999999999E-2</v>
      </c>
      <c r="Q67" s="178">
        <v>38535</v>
      </c>
      <c r="R67" s="80">
        <f t="shared" si="29"/>
        <v>1.4999999999999999E-2</v>
      </c>
      <c r="S67" s="178">
        <v>39645</v>
      </c>
      <c r="T67" s="80">
        <f t="shared" si="30"/>
        <v>1.4999999999999999E-2</v>
      </c>
      <c r="U67" s="178">
        <v>40785</v>
      </c>
      <c r="V67" s="80">
        <f t="shared" si="31"/>
        <v>1.4999999999999999E-2</v>
      </c>
      <c r="X67" s="192"/>
    </row>
    <row r="68" spans="1:24" ht="12.75" customHeight="1">
      <c r="A68" s="2" t="s">
        <v>412</v>
      </c>
      <c r="B68" s="35"/>
      <c r="C68" s="178">
        <v>3314.9999999999995</v>
      </c>
      <c r="D68" s="80">
        <f t="shared" si="22"/>
        <v>1.6999999999999997E-3</v>
      </c>
      <c r="E68" s="178">
        <v>3617.5999999999995</v>
      </c>
      <c r="F68" s="80">
        <f t="shared" si="23"/>
        <v>1.6999999999999997E-3</v>
      </c>
      <c r="G68" s="178">
        <v>3755.2999999999997</v>
      </c>
      <c r="H68" s="80">
        <f t="shared" si="24"/>
        <v>1.6999999999999999E-3</v>
      </c>
      <c r="I68" s="178">
        <v>3898.0999999999995</v>
      </c>
      <c r="J68" s="80">
        <f t="shared" si="25"/>
        <v>1.6999999999999997E-3</v>
      </c>
      <c r="K68" s="178">
        <v>4010.2999999999997</v>
      </c>
      <c r="L68" s="80">
        <f t="shared" si="26"/>
        <v>1.6999999999999999E-3</v>
      </c>
      <c r="M68" s="178">
        <v>4125.8999999999996</v>
      </c>
      <c r="N68" s="80">
        <f t="shared" si="27"/>
        <v>1.6999999999999999E-3</v>
      </c>
      <c r="O68" s="178">
        <v>4244.8999999999996</v>
      </c>
      <c r="P68" s="80">
        <f t="shared" si="28"/>
        <v>1.6999999999999999E-3</v>
      </c>
      <c r="Q68" s="178">
        <v>4367.3</v>
      </c>
      <c r="R68" s="80">
        <f t="shared" si="29"/>
        <v>1.7000000000000001E-3</v>
      </c>
      <c r="S68" s="178">
        <v>4493.0999999999995</v>
      </c>
      <c r="T68" s="80">
        <f t="shared" si="30"/>
        <v>1.6999999999999997E-3</v>
      </c>
      <c r="U68" s="178">
        <v>4622.3</v>
      </c>
      <c r="V68" s="80">
        <f t="shared" si="31"/>
        <v>1.7000000000000001E-3</v>
      </c>
      <c r="X68" s="192"/>
    </row>
    <row r="69" spans="1:24" ht="12.75" customHeight="1">
      <c r="A69" s="2" t="s">
        <v>413</v>
      </c>
      <c r="B69" s="35"/>
      <c r="C69" s="178">
        <v>0</v>
      </c>
      <c r="D69" s="80">
        <f t="shared" si="22"/>
        <v>0</v>
      </c>
      <c r="E69" s="178">
        <v>0</v>
      </c>
      <c r="F69" s="80">
        <f t="shared" si="23"/>
        <v>0</v>
      </c>
      <c r="G69" s="178">
        <v>0</v>
      </c>
      <c r="H69" s="80">
        <f t="shared" si="24"/>
        <v>0</v>
      </c>
      <c r="I69" s="178">
        <v>0</v>
      </c>
      <c r="J69" s="80">
        <f t="shared" si="25"/>
        <v>0</v>
      </c>
      <c r="K69" s="178">
        <v>0</v>
      </c>
      <c r="L69" s="80">
        <f t="shared" si="26"/>
        <v>0</v>
      </c>
      <c r="M69" s="178">
        <v>0</v>
      </c>
      <c r="N69" s="80">
        <f t="shared" si="27"/>
        <v>0</v>
      </c>
      <c r="O69" s="178">
        <v>0</v>
      </c>
      <c r="P69" s="80">
        <f t="shared" si="28"/>
        <v>0</v>
      </c>
      <c r="Q69" s="178">
        <v>0</v>
      </c>
      <c r="R69" s="80">
        <f t="shared" si="29"/>
        <v>0</v>
      </c>
      <c r="S69" s="178">
        <v>0</v>
      </c>
      <c r="T69" s="80">
        <f t="shared" si="30"/>
        <v>0</v>
      </c>
      <c r="U69" s="178">
        <v>0</v>
      </c>
      <c r="V69" s="80">
        <f t="shared" si="31"/>
        <v>0</v>
      </c>
      <c r="X69" s="192"/>
    </row>
    <row r="70" spans="1:24" ht="12.75" customHeight="1">
      <c r="A70" s="2" t="s">
        <v>414</v>
      </c>
      <c r="B70" s="35"/>
      <c r="C70" s="178">
        <v>195</v>
      </c>
      <c r="D70" s="80">
        <f t="shared" si="22"/>
        <v>1E-4</v>
      </c>
      <c r="E70" s="178">
        <v>212.8</v>
      </c>
      <c r="F70" s="80">
        <f t="shared" si="23"/>
        <v>1E-4</v>
      </c>
      <c r="G70" s="178">
        <v>220.9</v>
      </c>
      <c r="H70" s="80">
        <f t="shared" si="24"/>
        <v>1E-4</v>
      </c>
      <c r="I70" s="178">
        <v>229.3</v>
      </c>
      <c r="J70" s="80">
        <f t="shared" si="25"/>
        <v>1E-4</v>
      </c>
      <c r="K70" s="178">
        <v>235.9</v>
      </c>
      <c r="L70" s="80">
        <f t="shared" si="26"/>
        <v>1E-4</v>
      </c>
      <c r="M70" s="178">
        <v>242.70000000000002</v>
      </c>
      <c r="N70" s="80">
        <f t="shared" si="27"/>
        <v>1E-4</v>
      </c>
      <c r="O70" s="178">
        <v>249.70000000000002</v>
      </c>
      <c r="P70" s="80">
        <f t="shared" si="28"/>
        <v>1E-4</v>
      </c>
      <c r="Q70" s="178">
        <v>256.90000000000003</v>
      </c>
      <c r="R70" s="80">
        <f t="shared" si="29"/>
        <v>1.0000000000000002E-4</v>
      </c>
      <c r="S70" s="178">
        <v>264.3</v>
      </c>
      <c r="T70" s="80">
        <f t="shared" si="30"/>
        <v>1E-4</v>
      </c>
      <c r="U70" s="178">
        <v>271.90000000000003</v>
      </c>
      <c r="V70" s="80">
        <f t="shared" si="31"/>
        <v>1.0000000000000002E-4</v>
      </c>
      <c r="X70" s="192"/>
    </row>
    <row r="71" spans="1:24" ht="12.75" customHeight="1">
      <c r="A71" s="2" t="s">
        <v>415</v>
      </c>
      <c r="B71" s="35"/>
      <c r="C71" s="178">
        <v>0</v>
      </c>
      <c r="D71" s="80">
        <f t="shared" si="22"/>
        <v>0</v>
      </c>
      <c r="E71" s="178">
        <v>0</v>
      </c>
      <c r="F71" s="80">
        <f t="shared" si="23"/>
        <v>0</v>
      </c>
      <c r="G71" s="178">
        <v>0</v>
      </c>
      <c r="H71" s="80">
        <f t="shared" si="24"/>
        <v>0</v>
      </c>
      <c r="I71" s="178">
        <v>0</v>
      </c>
      <c r="J71" s="80">
        <f t="shared" si="25"/>
        <v>0</v>
      </c>
      <c r="K71" s="178">
        <v>0</v>
      </c>
      <c r="L71" s="80">
        <f t="shared" si="26"/>
        <v>0</v>
      </c>
      <c r="M71" s="178">
        <v>0</v>
      </c>
      <c r="N71" s="80">
        <f t="shared" si="27"/>
        <v>0</v>
      </c>
      <c r="O71" s="178">
        <v>0</v>
      </c>
      <c r="P71" s="80">
        <f t="shared" si="28"/>
        <v>0</v>
      </c>
      <c r="Q71" s="178">
        <v>0</v>
      </c>
      <c r="R71" s="80">
        <f t="shared" si="29"/>
        <v>0</v>
      </c>
      <c r="S71" s="178">
        <v>0</v>
      </c>
      <c r="T71" s="80">
        <f t="shared" si="30"/>
        <v>0</v>
      </c>
      <c r="U71" s="178">
        <v>0</v>
      </c>
      <c r="V71" s="80">
        <f t="shared" si="31"/>
        <v>0</v>
      </c>
      <c r="X71" s="192"/>
    </row>
    <row r="72" spans="1:24" ht="12.75" customHeight="1">
      <c r="A72" s="2" t="s">
        <v>416</v>
      </c>
      <c r="B72" s="35"/>
      <c r="C72" s="178">
        <v>0</v>
      </c>
      <c r="D72" s="80">
        <f t="shared" si="22"/>
        <v>0</v>
      </c>
      <c r="E72" s="178">
        <v>0</v>
      </c>
      <c r="F72" s="80">
        <f t="shared" si="23"/>
        <v>0</v>
      </c>
      <c r="G72" s="178">
        <v>0</v>
      </c>
      <c r="H72" s="80">
        <f t="shared" si="24"/>
        <v>0</v>
      </c>
      <c r="I72" s="178">
        <v>0</v>
      </c>
      <c r="J72" s="80">
        <f t="shared" si="25"/>
        <v>0</v>
      </c>
      <c r="K72" s="178">
        <v>0</v>
      </c>
      <c r="L72" s="80">
        <f t="shared" si="26"/>
        <v>0</v>
      </c>
      <c r="M72" s="178">
        <v>0</v>
      </c>
      <c r="N72" s="80">
        <f t="shared" si="27"/>
        <v>0</v>
      </c>
      <c r="O72" s="178">
        <v>0</v>
      </c>
      <c r="P72" s="80">
        <f t="shared" si="28"/>
        <v>0</v>
      </c>
      <c r="Q72" s="178">
        <v>0</v>
      </c>
      <c r="R72" s="80">
        <f t="shared" si="29"/>
        <v>0</v>
      </c>
      <c r="S72" s="178">
        <v>0</v>
      </c>
      <c r="T72" s="80">
        <f t="shared" si="30"/>
        <v>0</v>
      </c>
      <c r="U72" s="178">
        <v>0</v>
      </c>
      <c r="V72" s="80">
        <f t="shared" si="31"/>
        <v>0</v>
      </c>
      <c r="X72" s="192"/>
    </row>
    <row r="73" spans="1:24" ht="12.75" customHeight="1">
      <c r="A73" s="2" t="s">
        <v>417</v>
      </c>
      <c r="B73" s="35"/>
      <c r="C73" s="178">
        <v>0</v>
      </c>
      <c r="D73" s="80">
        <f t="shared" si="22"/>
        <v>0</v>
      </c>
      <c r="E73" s="178">
        <v>0</v>
      </c>
      <c r="F73" s="80">
        <f t="shared" si="23"/>
        <v>0</v>
      </c>
      <c r="G73" s="178">
        <v>0</v>
      </c>
      <c r="H73" s="80">
        <f t="shared" si="24"/>
        <v>0</v>
      </c>
      <c r="I73" s="178">
        <v>0</v>
      </c>
      <c r="J73" s="80">
        <f t="shared" si="25"/>
        <v>0</v>
      </c>
      <c r="K73" s="178">
        <v>0</v>
      </c>
      <c r="L73" s="80">
        <f t="shared" si="26"/>
        <v>0</v>
      </c>
      <c r="M73" s="178">
        <v>0</v>
      </c>
      <c r="N73" s="80">
        <f t="shared" si="27"/>
        <v>0</v>
      </c>
      <c r="O73" s="178">
        <v>0</v>
      </c>
      <c r="P73" s="80">
        <f t="shared" si="28"/>
        <v>0</v>
      </c>
      <c r="Q73" s="178">
        <v>0</v>
      </c>
      <c r="R73" s="80">
        <f t="shared" si="29"/>
        <v>0</v>
      </c>
      <c r="S73" s="178">
        <v>0</v>
      </c>
      <c r="T73" s="80">
        <f t="shared" si="30"/>
        <v>0</v>
      </c>
      <c r="U73" s="178">
        <v>0</v>
      </c>
      <c r="V73" s="80">
        <f t="shared" si="31"/>
        <v>0</v>
      </c>
      <c r="X73" s="192"/>
    </row>
    <row r="74" spans="1:24" ht="12.75" customHeight="1">
      <c r="A74" s="2" t="s">
        <v>418</v>
      </c>
      <c r="B74" s="35"/>
      <c r="C74" s="178">
        <v>0</v>
      </c>
      <c r="D74" s="80">
        <f t="shared" si="22"/>
        <v>0</v>
      </c>
      <c r="E74" s="178">
        <v>0</v>
      </c>
      <c r="F74" s="80">
        <f t="shared" si="23"/>
        <v>0</v>
      </c>
      <c r="G74" s="178">
        <v>0</v>
      </c>
      <c r="H74" s="80">
        <f t="shared" si="24"/>
        <v>0</v>
      </c>
      <c r="I74" s="178">
        <v>0</v>
      </c>
      <c r="J74" s="80">
        <f t="shared" si="25"/>
        <v>0</v>
      </c>
      <c r="K74" s="178">
        <v>0</v>
      </c>
      <c r="L74" s="80">
        <f t="shared" si="26"/>
        <v>0</v>
      </c>
      <c r="M74" s="178">
        <v>0</v>
      </c>
      <c r="N74" s="80">
        <f t="shared" si="27"/>
        <v>0</v>
      </c>
      <c r="O74" s="178">
        <v>0</v>
      </c>
      <c r="P74" s="80">
        <f t="shared" si="28"/>
        <v>0</v>
      </c>
      <c r="Q74" s="178">
        <v>0</v>
      </c>
      <c r="R74" s="80">
        <f t="shared" si="29"/>
        <v>0</v>
      </c>
      <c r="S74" s="178">
        <v>0</v>
      </c>
      <c r="T74" s="80">
        <f t="shared" si="30"/>
        <v>0</v>
      </c>
      <c r="U74" s="178">
        <v>0</v>
      </c>
      <c r="V74" s="80">
        <f t="shared" si="31"/>
        <v>0</v>
      </c>
      <c r="X74" s="192"/>
    </row>
    <row r="75" spans="1:24" ht="12.75" customHeight="1">
      <c r="A75" s="2" t="s">
        <v>419</v>
      </c>
      <c r="B75" s="35"/>
      <c r="C75" s="178">
        <v>8774.9999999999982</v>
      </c>
      <c r="D75" s="80">
        <f t="shared" si="22"/>
        <v>4.4999999999999988E-3</v>
      </c>
      <c r="E75" s="178">
        <v>9575.9999999999982</v>
      </c>
      <c r="F75" s="80">
        <f t="shared" si="23"/>
        <v>4.4999999999999988E-3</v>
      </c>
      <c r="G75" s="178">
        <v>9940.5</v>
      </c>
      <c r="H75" s="80">
        <f t="shared" si="24"/>
        <v>4.4999999999999997E-3</v>
      </c>
      <c r="I75" s="178">
        <v>10318.5</v>
      </c>
      <c r="J75" s="80">
        <f t="shared" si="25"/>
        <v>4.4999999999999997E-3</v>
      </c>
      <c r="K75" s="178">
        <v>10615.5</v>
      </c>
      <c r="L75" s="80">
        <f t="shared" si="26"/>
        <v>4.4999999999999997E-3</v>
      </c>
      <c r="M75" s="178">
        <v>10921.5</v>
      </c>
      <c r="N75" s="80">
        <f t="shared" si="27"/>
        <v>4.4999999999999997E-3</v>
      </c>
      <c r="O75" s="178">
        <v>11236.5</v>
      </c>
      <c r="P75" s="80">
        <f t="shared" si="28"/>
        <v>4.4999999999999997E-3</v>
      </c>
      <c r="Q75" s="178">
        <v>11560.5</v>
      </c>
      <c r="R75" s="80">
        <f t="shared" si="29"/>
        <v>4.4999999999999997E-3</v>
      </c>
      <c r="S75" s="178">
        <v>11893.499999999998</v>
      </c>
      <c r="T75" s="80">
        <f t="shared" si="30"/>
        <v>4.4999999999999997E-3</v>
      </c>
      <c r="U75" s="178">
        <v>12235.5</v>
      </c>
      <c r="V75" s="80">
        <f t="shared" si="31"/>
        <v>4.4999999999999997E-3</v>
      </c>
      <c r="X75" s="192"/>
    </row>
    <row r="76" spans="1:24" ht="12.75" customHeight="1">
      <c r="A76" s="2" t="s">
        <v>420</v>
      </c>
      <c r="B76" s="35"/>
      <c r="C76" s="178">
        <v>780</v>
      </c>
      <c r="D76" s="80">
        <f t="shared" si="22"/>
        <v>4.0000000000000002E-4</v>
      </c>
      <c r="E76" s="178">
        <v>851.2</v>
      </c>
      <c r="F76" s="80">
        <f t="shared" si="23"/>
        <v>4.0000000000000002E-4</v>
      </c>
      <c r="G76" s="178">
        <v>883.6</v>
      </c>
      <c r="H76" s="80">
        <f t="shared" si="24"/>
        <v>4.0000000000000002E-4</v>
      </c>
      <c r="I76" s="178">
        <v>917.2</v>
      </c>
      <c r="J76" s="80">
        <f t="shared" si="25"/>
        <v>4.0000000000000002E-4</v>
      </c>
      <c r="K76" s="178">
        <v>943.6</v>
      </c>
      <c r="L76" s="80">
        <f t="shared" si="26"/>
        <v>4.0000000000000002E-4</v>
      </c>
      <c r="M76" s="178">
        <v>970.80000000000007</v>
      </c>
      <c r="N76" s="80">
        <f t="shared" si="27"/>
        <v>4.0000000000000002E-4</v>
      </c>
      <c r="O76" s="178">
        <v>998.80000000000007</v>
      </c>
      <c r="P76" s="80">
        <f t="shared" si="28"/>
        <v>4.0000000000000002E-4</v>
      </c>
      <c r="Q76" s="178">
        <v>1027.6000000000001</v>
      </c>
      <c r="R76" s="80">
        <f t="shared" si="29"/>
        <v>4.0000000000000007E-4</v>
      </c>
      <c r="S76" s="178">
        <v>1057.2</v>
      </c>
      <c r="T76" s="80">
        <f t="shared" si="30"/>
        <v>4.0000000000000002E-4</v>
      </c>
      <c r="U76" s="178">
        <v>1087.6000000000001</v>
      </c>
      <c r="V76" s="80">
        <f t="shared" si="31"/>
        <v>4.0000000000000007E-4</v>
      </c>
      <c r="X76" s="192"/>
    </row>
    <row r="77" spans="1:24" ht="12.75" customHeight="1">
      <c r="A77" s="2" t="s">
        <v>421</v>
      </c>
      <c r="B77" s="35"/>
      <c r="C77" s="178">
        <v>2535</v>
      </c>
      <c r="D77" s="80">
        <f t="shared" si="22"/>
        <v>1.2999999999999999E-3</v>
      </c>
      <c r="E77" s="178">
        <v>2766.3999999999996</v>
      </c>
      <c r="F77" s="80">
        <f t="shared" si="23"/>
        <v>1.2999999999999997E-3</v>
      </c>
      <c r="G77" s="178">
        <v>2871.7</v>
      </c>
      <c r="H77" s="80">
        <f t="shared" si="24"/>
        <v>1.2999999999999999E-3</v>
      </c>
      <c r="I77" s="178">
        <v>2980.9</v>
      </c>
      <c r="J77" s="80">
        <f t="shared" si="25"/>
        <v>1.2999999999999999E-3</v>
      </c>
      <c r="K77" s="178">
        <v>3066.7</v>
      </c>
      <c r="L77" s="80">
        <f t="shared" si="26"/>
        <v>1.2999999999999999E-3</v>
      </c>
      <c r="M77" s="178">
        <v>3155.1000000000004</v>
      </c>
      <c r="N77" s="80">
        <f t="shared" si="27"/>
        <v>1.3000000000000002E-3</v>
      </c>
      <c r="O77" s="178">
        <v>3246.1</v>
      </c>
      <c r="P77" s="80">
        <f t="shared" si="28"/>
        <v>1.2999999999999999E-3</v>
      </c>
      <c r="Q77" s="178">
        <v>3339.7</v>
      </c>
      <c r="R77" s="80">
        <f t="shared" si="29"/>
        <v>1.2999999999999999E-3</v>
      </c>
      <c r="S77" s="178">
        <v>3435.8999999999996</v>
      </c>
      <c r="T77" s="80">
        <f t="shared" si="30"/>
        <v>1.2999999999999999E-3</v>
      </c>
      <c r="U77" s="178">
        <v>3534.7000000000003</v>
      </c>
      <c r="V77" s="80">
        <f t="shared" si="31"/>
        <v>1.3000000000000002E-3</v>
      </c>
      <c r="X77" s="192"/>
    </row>
    <row r="78" spans="1:24" ht="12.75" customHeight="1">
      <c r="A78" s="2" t="s">
        <v>422</v>
      </c>
      <c r="B78" s="35"/>
      <c r="C78" s="178">
        <v>42899.999999999993</v>
      </c>
      <c r="D78" s="80">
        <f t="shared" si="22"/>
        <v>2.1999999999999995E-2</v>
      </c>
      <c r="E78" s="178">
        <v>46815.999999999993</v>
      </c>
      <c r="F78" s="80">
        <f t="shared" si="23"/>
        <v>2.1999999999999995E-2</v>
      </c>
      <c r="G78" s="178">
        <v>48598</v>
      </c>
      <c r="H78" s="80">
        <f t="shared" si="24"/>
        <v>2.1999999999999999E-2</v>
      </c>
      <c r="I78" s="178">
        <v>50445.999999999993</v>
      </c>
      <c r="J78" s="80">
        <f t="shared" si="25"/>
        <v>2.1999999999999995E-2</v>
      </c>
      <c r="K78" s="178">
        <v>51898</v>
      </c>
      <c r="L78" s="80">
        <f t="shared" si="26"/>
        <v>2.1999999999999999E-2</v>
      </c>
      <c r="M78" s="178">
        <v>53394</v>
      </c>
      <c r="N78" s="80">
        <f t="shared" si="27"/>
        <v>2.1999999999999999E-2</v>
      </c>
      <c r="O78" s="178">
        <v>54934</v>
      </c>
      <c r="P78" s="80">
        <f t="shared" si="28"/>
        <v>2.1999999999999999E-2</v>
      </c>
      <c r="Q78" s="178">
        <v>56518</v>
      </c>
      <c r="R78" s="80">
        <f t="shared" si="29"/>
        <v>2.1999999999999999E-2</v>
      </c>
      <c r="S78" s="178">
        <v>58145.999999999993</v>
      </c>
      <c r="T78" s="80">
        <f t="shared" si="30"/>
        <v>2.1999999999999999E-2</v>
      </c>
      <c r="U78" s="178">
        <v>59818</v>
      </c>
      <c r="V78" s="80">
        <f t="shared" si="31"/>
        <v>2.1999999999999999E-2</v>
      </c>
      <c r="X78" s="192"/>
    </row>
    <row r="79" spans="1:24" ht="12.75" customHeight="1">
      <c r="A79" s="2" t="s">
        <v>423</v>
      </c>
      <c r="B79" s="35"/>
      <c r="C79" s="178">
        <v>0</v>
      </c>
      <c r="D79" s="80">
        <f t="shared" si="22"/>
        <v>0</v>
      </c>
      <c r="E79" s="178">
        <v>0</v>
      </c>
      <c r="F79" s="80">
        <f t="shared" si="23"/>
        <v>0</v>
      </c>
      <c r="G79" s="178">
        <v>0</v>
      </c>
      <c r="H79" s="80">
        <f t="shared" si="24"/>
        <v>0</v>
      </c>
      <c r="I79" s="178">
        <v>0</v>
      </c>
      <c r="J79" s="80">
        <f t="shared" si="25"/>
        <v>0</v>
      </c>
      <c r="K79" s="178">
        <v>0</v>
      </c>
      <c r="L79" s="80">
        <f t="shared" si="26"/>
        <v>0</v>
      </c>
      <c r="M79" s="178">
        <v>0</v>
      </c>
      <c r="N79" s="80">
        <f t="shared" si="27"/>
        <v>0</v>
      </c>
      <c r="O79" s="178">
        <v>0</v>
      </c>
      <c r="P79" s="80">
        <f t="shared" si="28"/>
        <v>0</v>
      </c>
      <c r="Q79" s="178">
        <v>0</v>
      </c>
      <c r="R79" s="80">
        <f t="shared" si="29"/>
        <v>0</v>
      </c>
      <c r="S79" s="178">
        <v>0</v>
      </c>
      <c r="T79" s="80">
        <f t="shared" si="30"/>
        <v>0</v>
      </c>
      <c r="U79" s="178">
        <v>0</v>
      </c>
      <c r="V79" s="80">
        <f t="shared" si="31"/>
        <v>0</v>
      </c>
      <c r="X79" s="192"/>
    </row>
    <row r="80" spans="1:24" ht="12.75" customHeight="1">
      <c r="A80" s="2" t="s">
        <v>424</v>
      </c>
      <c r="B80" s="35"/>
      <c r="C80" s="178">
        <v>0</v>
      </c>
      <c r="D80" s="80">
        <f t="shared" si="22"/>
        <v>0</v>
      </c>
      <c r="E80" s="178">
        <v>0</v>
      </c>
      <c r="F80" s="80">
        <f t="shared" si="23"/>
        <v>0</v>
      </c>
      <c r="G80" s="178">
        <v>0</v>
      </c>
      <c r="H80" s="80">
        <f t="shared" si="24"/>
        <v>0</v>
      </c>
      <c r="I80" s="178">
        <v>0</v>
      </c>
      <c r="J80" s="80">
        <f t="shared" si="25"/>
        <v>0</v>
      </c>
      <c r="K80" s="178">
        <v>0</v>
      </c>
      <c r="L80" s="80">
        <f t="shared" si="26"/>
        <v>0</v>
      </c>
      <c r="M80" s="178">
        <v>0</v>
      </c>
      <c r="N80" s="80">
        <f t="shared" si="27"/>
        <v>0</v>
      </c>
      <c r="O80" s="178">
        <v>0</v>
      </c>
      <c r="P80" s="80">
        <f t="shared" si="28"/>
        <v>0</v>
      </c>
      <c r="Q80" s="178">
        <v>0</v>
      </c>
      <c r="R80" s="80">
        <f t="shared" si="29"/>
        <v>0</v>
      </c>
      <c r="S80" s="178">
        <v>0</v>
      </c>
      <c r="T80" s="80">
        <f t="shared" si="30"/>
        <v>0</v>
      </c>
      <c r="U80" s="178">
        <v>0</v>
      </c>
      <c r="V80" s="80">
        <f t="shared" si="31"/>
        <v>0</v>
      </c>
      <c r="X80" s="192"/>
    </row>
    <row r="81" spans="1:24" ht="12.75" customHeight="1">
      <c r="A81" s="2" t="s">
        <v>425</v>
      </c>
      <c r="B81" s="35"/>
      <c r="C81" s="178">
        <v>0</v>
      </c>
      <c r="D81" s="80">
        <f t="shared" si="22"/>
        <v>0</v>
      </c>
      <c r="E81" s="178">
        <v>0</v>
      </c>
      <c r="F81" s="80">
        <f t="shared" si="23"/>
        <v>0</v>
      </c>
      <c r="G81" s="178">
        <v>0</v>
      </c>
      <c r="H81" s="80">
        <f t="shared" si="24"/>
        <v>0</v>
      </c>
      <c r="I81" s="178">
        <v>0</v>
      </c>
      <c r="J81" s="80">
        <f t="shared" si="25"/>
        <v>0</v>
      </c>
      <c r="K81" s="178">
        <v>0</v>
      </c>
      <c r="L81" s="80">
        <f t="shared" si="26"/>
        <v>0</v>
      </c>
      <c r="M81" s="178">
        <v>0</v>
      </c>
      <c r="N81" s="80">
        <f t="shared" si="27"/>
        <v>0</v>
      </c>
      <c r="O81" s="178">
        <v>0</v>
      </c>
      <c r="P81" s="80">
        <f t="shared" si="28"/>
        <v>0</v>
      </c>
      <c r="Q81" s="178">
        <v>0</v>
      </c>
      <c r="R81" s="80">
        <f t="shared" si="29"/>
        <v>0</v>
      </c>
      <c r="S81" s="178">
        <v>0</v>
      </c>
      <c r="T81" s="80">
        <f t="shared" si="30"/>
        <v>0</v>
      </c>
      <c r="U81" s="178">
        <v>0</v>
      </c>
      <c r="V81" s="80">
        <f t="shared" si="31"/>
        <v>0</v>
      </c>
      <c r="X81" s="192"/>
    </row>
    <row r="82" spans="1:24" ht="12.75" customHeight="1">
      <c r="A82" s="2" t="s">
        <v>426</v>
      </c>
      <c r="B82" s="35"/>
      <c r="C82" s="178">
        <v>0</v>
      </c>
      <c r="D82" s="80">
        <f t="shared" si="22"/>
        <v>0</v>
      </c>
      <c r="E82" s="178">
        <v>0</v>
      </c>
      <c r="F82" s="80">
        <f t="shared" si="23"/>
        <v>0</v>
      </c>
      <c r="G82" s="178">
        <v>0</v>
      </c>
      <c r="H82" s="80">
        <f t="shared" si="24"/>
        <v>0</v>
      </c>
      <c r="I82" s="178">
        <v>0</v>
      </c>
      <c r="J82" s="80">
        <f t="shared" si="25"/>
        <v>0</v>
      </c>
      <c r="K82" s="178">
        <v>0</v>
      </c>
      <c r="L82" s="80">
        <f t="shared" si="26"/>
        <v>0</v>
      </c>
      <c r="M82" s="178">
        <v>0</v>
      </c>
      <c r="N82" s="80">
        <f t="shared" si="27"/>
        <v>0</v>
      </c>
      <c r="O82" s="178">
        <v>0</v>
      </c>
      <c r="P82" s="80">
        <f t="shared" si="28"/>
        <v>0</v>
      </c>
      <c r="Q82" s="178">
        <v>0</v>
      </c>
      <c r="R82" s="80">
        <f t="shared" si="29"/>
        <v>0</v>
      </c>
      <c r="S82" s="178">
        <v>0</v>
      </c>
      <c r="T82" s="80">
        <f t="shared" si="30"/>
        <v>0</v>
      </c>
      <c r="U82" s="178">
        <v>0</v>
      </c>
      <c r="V82" s="80">
        <f t="shared" si="31"/>
        <v>0</v>
      </c>
      <c r="X82" s="192"/>
    </row>
    <row r="83" spans="1:24" ht="12.75" customHeight="1">
      <c r="A83" s="2" t="s">
        <v>427</v>
      </c>
      <c r="B83" s="35"/>
      <c r="C83" s="178">
        <v>0</v>
      </c>
      <c r="D83" s="80">
        <f t="shared" si="22"/>
        <v>0</v>
      </c>
      <c r="E83" s="178">
        <v>0</v>
      </c>
      <c r="F83" s="80">
        <f t="shared" si="23"/>
        <v>0</v>
      </c>
      <c r="G83" s="178">
        <v>0</v>
      </c>
      <c r="H83" s="80">
        <f t="shared" si="24"/>
        <v>0</v>
      </c>
      <c r="I83" s="178">
        <v>0</v>
      </c>
      <c r="J83" s="80">
        <f t="shared" si="25"/>
        <v>0</v>
      </c>
      <c r="K83" s="178">
        <v>0</v>
      </c>
      <c r="L83" s="80">
        <f t="shared" si="26"/>
        <v>0</v>
      </c>
      <c r="M83" s="178">
        <v>0</v>
      </c>
      <c r="N83" s="80">
        <f t="shared" si="27"/>
        <v>0</v>
      </c>
      <c r="O83" s="178">
        <v>0</v>
      </c>
      <c r="P83" s="80">
        <f t="shared" si="28"/>
        <v>0</v>
      </c>
      <c r="Q83" s="178">
        <v>0</v>
      </c>
      <c r="R83" s="80">
        <f t="shared" si="29"/>
        <v>0</v>
      </c>
      <c r="S83" s="178">
        <v>0</v>
      </c>
      <c r="T83" s="80">
        <f t="shared" si="30"/>
        <v>0</v>
      </c>
      <c r="U83" s="178">
        <v>0</v>
      </c>
      <c r="V83" s="80">
        <f t="shared" si="31"/>
        <v>0</v>
      </c>
      <c r="X83" s="192"/>
    </row>
    <row r="84" spans="1:24" ht="12.75" customHeight="1">
      <c r="A84" s="2" t="s">
        <v>428</v>
      </c>
      <c r="B84" s="35"/>
      <c r="C84" s="178">
        <v>0</v>
      </c>
      <c r="D84" s="80">
        <f t="shared" ref="D84:D105" si="32">IFERROR(C84/C$28,0)</f>
        <v>0</v>
      </c>
      <c r="E84" s="178">
        <v>0</v>
      </c>
      <c r="F84" s="80">
        <f t="shared" si="23"/>
        <v>0</v>
      </c>
      <c r="G84" s="178">
        <v>0</v>
      </c>
      <c r="H84" s="80">
        <f t="shared" si="24"/>
        <v>0</v>
      </c>
      <c r="I84" s="178">
        <v>0</v>
      </c>
      <c r="J84" s="80">
        <f t="shared" si="25"/>
        <v>0</v>
      </c>
      <c r="K84" s="178">
        <v>0</v>
      </c>
      <c r="L84" s="80">
        <f t="shared" si="26"/>
        <v>0</v>
      </c>
      <c r="M84" s="178">
        <v>0</v>
      </c>
      <c r="N84" s="80">
        <f t="shared" si="27"/>
        <v>0</v>
      </c>
      <c r="O84" s="178">
        <v>0</v>
      </c>
      <c r="P84" s="80">
        <f t="shared" si="28"/>
        <v>0</v>
      </c>
      <c r="Q84" s="178">
        <v>0</v>
      </c>
      <c r="R84" s="80">
        <f t="shared" si="29"/>
        <v>0</v>
      </c>
      <c r="S84" s="178">
        <v>0</v>
      </c>
      <c r="T84" s="80">
        <f t="shared" si="30"/>
        <v>0</v>
      </c>
      <c r="U84" s="178">
        <v>0</v>
      </c>
      <c r="V84" s="80">
        <f t="shared" si="31"/>
        <v>0</v>
      </c>
      <c r="X84" s="192"/>
    </row>
    <row r="85" spans="1:24" ht="12.75" customHeight="1">
      <c r="A85" s="2" t="s">
        <v>429</v>
      </c>
      <c r="B85" s="35"/>
      <c r="C85" s="178">
        <v>0</v>
      </c>
      <c r="D85" s="80">
        <f t="shared" si="32"/>
        <v>0</v>
      </c>
      <c r="E85" s="178">
        <v>0</v>
      </c>
      <c r="F85" s="80">
        <f t="shared" si="23"/>
        <v>0</v>
      </c>
      <c r="G85" s="178">
        <v>0</v>
      </c>
      <c r="H85" s="80">
        <f t="shared" si="24"/>
        <v>0</v>
      </c>
      <c r="I85" s="178">
        <v>0</v>
      </c>
      <c r="J85" s="80">
        <f t="shared" si="25"/>
        <v>0</v>
      </c>
      <c r="K85" s="178">
        <v>0</v>
      </c>
      <c r="L85" s="80">
        <f t="shared" si="26"/>
        <v>0</v>
      </c>
      <c r="M85" s="178">
        <v>0</v>
      </c>
      <c r="N85" s="80">
        <f t="shared" si="27"/>
        <v>0</v>
      </c>
      <c r="O85" s="178">
        <v>0</v>
      </c>
      <c r="P85" s="80">
        <f t="shared" si="28"/>
        <v>0</v>
      </c>
      <c r="Q85" s="178">
        <v>0</v>
      </c>
      <c r="R85" s="80">
        <f t="shared" si="29"/>
        <v>0</v>
      </c>
      <c r="S85" s="178">
        <v>0</v>
      </c>
      <c r="T85" s="80">
        <f t="shared" si="30"/>
        <v>0</v>
      </c>
      <c r="U85" s="178">
        <v>0</v>
      </c>
      <c r="V85" s="80">
        <f t="shared" si="31"/>
        <v>0</v>
      </c>
      <c r="X85" s="192"/>
    </row>
    <row r="86" spans="1:24" ht="12.75" customHeight="1">
      <c r="A86" s="2" t="s">
        <v>430</v>
      </c>
      <c r="B86" s="35"/>
      <c r="C86" s="178">
        <v>7800</v>
      </c>
      <c r="D86" s="80">
        <f t="shared" si="32"/>
        <v>4.0000000000000001E-3</v>
      </c>
      <c r="E86" s="178">
        <v>8512</v>
      </c>
      <c r="F86" s="80">
        <f t="shared" si="23"/>
        <v>4.0000000000000001E-3</v>
      </c>
      <c r="G86" s="178">
        <v>8836</v>
      </c>
      <c r="H86" s="80">
        <f t="shared" si="24"/>
        <v>4.0000000000000001E-3</v>
      </c>
      <c r="I86" s="178">
        <v>9172</v>
      </c>
      <c r="J86" s="80">
        <f t="shared" si="25"/>
        <v>4.0000000000000001E-3</v>
      </c>
      <c r="K86" s="178">
        <v>9436</v>
      </c>
      <c r="L86" s="80">
        <f t="shared" si="26"/>
        <v>4.0000000000000001E-3</v>
      </c>
      <c r="M86" s="178">
        <v>9708</v>
      </c>
      <c r="N86" s="80">
        <f t="shared" si="27"/>
        <v>4.0000000000000001E-3</v>
      </c>
      <c r="O86" s="178">
        <v>9988</v>
      </c>
      <c r="P86" s="80">
        <f t="shared" si="28"/>
        <v>4.0000000000000001E-3</v>
      </c>
      <c r="Q86" s="178">
        <v>10276.000000000002</v>
      </c>
      <c r="R86" s="80">
        <f t="shared" si="29"/>
        <v>4.000000000000001E-3</v>
      </c>
      <c r="S86" s="178">
        <v>10571.999999999998</v>
      </c>
      <c r="T86" s="80">
        <f t="shared" si="30"/>
        <v>3.9999999999999992E-3</v>
      </c>
      <c r="U86" s="178">
        <v>10876</v>
      </c>
      <c r="V86" s="80">
        <f t="shared" si="31"/>
        <v>4.0000000000000001E-3</v>
      </c>
      <c r="X86" s="192"/>
    </row>
    <row r="87" spans="1:24" ht="12.75" customHeight="1">
      <c r="A87" s="2" t="s">
        <v>431</v>
      </c>
      <c r="B87" s="35"/>
      <c r="C87" s="178">
        <v>0</v>
      </c>
      <c r="D87" s="80">
        <f t="shared" si="32"/>
        <v>0</v>
      </c>
      <c r="E87" s="178">
        <v>0</v>
      </c>
      <c r="F87" s="80">
        <f t="shared" si="23"/>
        <v>0</v>
      </c>
      <c r="G87" s="178">
        <v>0</v>
      </c>
      <c r="H87" s="80">
        <f t="shared" si="24"/>
        <v>0</v>
      </c>
      <c r="I87" s="178">
        <v>0</v>
      </c>
      <c r="J87" s="80">
        <f t="shared" si="25"/>
        <v>0</v>
      </c>
      <c r="K87" s="178">
        <v>0</v>
      </c>
      <c r="L87" s="80">
        <f t="shared" si="26"/>
        <v>0</v>
      </c>
      <c r="M87" s="178">
        <v>0</v>
      </c>
      <c r="N87" s="80">
        <f t="shared" si="27"/>
        <v>0</v>
      </c>
      <c r="O87" s="178">
        <v>0</v>
      </c>
      <c r="P87" s="80">
        <f t="shared" si="28"/>
        <v>0</v>
      </c>
      <c r="Q87" s="178">
        <v>0</v>
      </c>
      <c r="R87" s="80">
        <f t="shared" si="29"/>
        <v>0</v>
      </c>
      <c r="S87" s="178">
        <v>0</v>
      </c>
      <c r="T87" s="80">
        <f t="shared" si="30"/>
        <v>0</v>
      </c>
      <c r="U87" s="178">
        <v>0</v>
      </c>
      <c r="V87" s="80">
        <f t="shared" si="31"/>
        <v>0</v>
      </c>
      <c r="X87" s="192"/>
    </row>
    <row r="88" spans="1:24" ht="12.75" customHeight="1">
      <c r="A88" s="2" t="s">
        <v>432</v>
      </c>
      <c r="B88" s="35"/>
      <c r="C88" s="178">
        <v>9945</v>
      </c>
      <c r="D88" s="80">
        <f t="shared" si="32"/>
        <v>5.1000000000000004E-3</v>
      </c>
      <c r="E88" s="178">
        <v>10852.8</v>
      </c>
      <c r="F88" s="80">
        <f t="shared" si="23"/>
        <v>5.0999999999999995E-3</v>
      </c>
      <c r="G88" s="178">
        <v>11265.900000000001</v>
      </c>
      <c r="H88" s="80">
        <f t="shared" si="24"/>
        <v>5.1000000000000004E-3</v>
      </c>
      <c r="I88" s="178">
        <v>11694.300000000001</v>
      </c>
      <c r="J88" s="80">
        <f t="shared" si="25"/>
        <v>5.1000000000000004E-3</v>
      </c>
      <c r="K88" s="178">
        <v>12030.900000000001</v>
      </c>
      <c r="L88" s="80">
        <f t="shared" si="26"/>
        <v>5.1000000000000004E-3</v>
      </c>
      <c r="M88" s="178">
        <v>12377.700000000003</v>
      </c>
      <c r="N88" s="80">
        <f t="shared" si="27"/>
        <v>5.1000000000000012E-3</v>
      </c>
      <c r="O88" s="178">
        <v>12734.7</v>
      </c>
      <c r="P88" s="80">
        <f t="shared" si="28"/>
        <v>5.1000000000000004E-3</v>
      </c>
      <c r="Q88" s="178">
        <v>13101.900000000001</v>
      </c>
      <c r="R88" s="80">
        <f t="shared" si="29"/>
        <v>5.1000000000000004E-3</v>
      </c>
      <c r="S88" s="178">
        <v>13479.3</v>
      </c>
      <c r="T88" s="80">
        <f t="shared" si="30"/>
        <v>5.0999999999999995E-3</v>
      </c>
      <c r="U88" s="178">
        <v>13866.900000000001</v>
      </c>
      <c r="V88" s="80">
        <f t="shared" si="31"/>
        <v>5.1000000000000004E-3</v>
      </c>
      <c r="X88" s="192"/>
    </row>
    <row r="89" spans="1:24" ht="12.75" customHeight="1">
      <c r="A89" s="2" t="s">
        <v>433</v>
      </c>
      <c r="B89" s="35"/>
      <c r="C89" s="178">
        <v>0</v>
      </c>
      <c r="D89" s="80">
        <f t="shared" si="32"/>
        <v>0</v>
      </c>
      <c r="E89" s="178">
        <v>0</v>
      </c>
      <c r="F89" s="80">
        <f t="shared" si="23"/>
        <v>0</v>
      </c>
      <c r="G89" s="178">
        <v>0</v>
      </c>
      <c r="H89" s="80">
        <f t="shared" si="24"/>
        <v>0</v>
      </c>
      <c r="I89" s="178">
        <v>0</v>
      </c>
      <c r="J89" s="80">
        <f t="shared" si="25"/>
        <v>0</v>
      </c>
      <c r="K89" s="178">
        <v>0</v>
      </c>
      <c r="L89" s="80">
        <f t="shared" si="26"/>
        <v>0</v>
      </c>
      <c r="M89" s="178">
        <v>0</v>
      </c>
      <c r="N89" s="80">
        <f t="shared" si="27"/>
        <v>0</v>
      </c>
      <c r="O89" s="178">
        <v>0</v>
      </c>
      <c r="P89" s="80">
        <f t="shared" si="28"/>
        <v>0</v>
      </c>
      <c r="Q89" s="178">
        <v>0</v>
      </c>
      <c r="R89" s="80">
        <f t="shared" si="29"/>
        <v>0</v>
      </c>
      <c r="S89" s="178">
        <v>0</v>
      </c>
      <c r="T89" s="80">
        <f t="shared" si="30"/>
        <v>0</v>
      </c>
      <c r="U89" s="178">
        <v>0</v>
      </c>
      <c r="V89" s="80">
        <f t="shared" si="31"/>
        <v>0</v>
      </c>
      <c r="X89" s="192"/>
    </row>
    <row r="90" spans="1:24" ht="12.75" customHeight="1">
      <c r="A90" s="2" t="s">
        <v>434</v>
      </c>
      <c r="B90" s="35"/>
      <c r="C90" s="178">
        <v>390</v>
      </c>
      <c r="D90" s="80">
        <f t="shared" si="32"/>
        <v>2.0000000000000001E-4</v>
      </c>
      <c r="E90" s="178">
        <v>425.6</v>
      </c>
      <c r="F90" s="80">
        <f t="shared" si="23"/>
        <v>2.0000000000000001E-4</v>
      </c>
      <c r="G90" s="178">
        <v>441.8</v>
      </c>
      <c r="H90" s="80">
        <f t="shared" si="24"/>
        <v>2.0000000000000001E-4</v>
      </c>
      <c r="I90" s="178">
        <v>458.6</v>
      </c>
      <c r="J90" s="80">
        <f t="shared" si="25"/>
        <v>2.0000000000000001E-4</v>
      </c>
      <c r="K90" s="178">
        <v>471.8</v>
      </c>
      <c r="L90" s="80">
        <f t="shared" si="26"/>
        <v>2.0000000000000001E-4</v>
      </c>
      <c r="M90" s="178">
        <v>485.40000000000003</v>
      </c>
      <c r="N90" s="80">
        <f t="shared" si="27"/>
        <v>2.0000000000000001E-4</v>
      </c>
      <c r="O90" s="178">
        <v>499.40000000000003</v>
      </c>
      <c r="P90" s="80">
        <f t="shared" si="28"/>
        <v>2.0000000000000001E-4</v>
      </c>
      <c r="Q90" s="178">
        <v>513.80000000000007</v>
      </c>
      <c r="R90" s="80">
        <f t="shared" si="29"/>
        <v>2.0000000000000004E-4</v>
      </c>
      <c r="S90" s="178">
        <v>528.6</v>
      </c>
      <c r="T90" s="80">
        <f t="shared" si="30"/>
        <v>2.0000000000000001E-4</v>
      </c>
      <c r="U90" s="178">
        <v>543.80000000000007</v>
      </c>
      <c r="V90" s="80">
        <f t="shared" si="31"/>
        <v>2.0000000000000004E-4</v>
      </c>
      <c r="X90" s="192"/>
    </row>
    <row r="91" spans="1:24" ht="12.75" customHeight="1">
      <c r="A91" s="2" t="s">
        <v>435</v>
      </c>
      <c r="C91" s="178">
        <v>0</v>
      </c>
      <c r="D91" s="80">
        <f t="shared" si="32"/>
        <v>0</v>
      </c>
      <c r="E91" s="178">
        <v>0</v>
      </c>
      <c r="F91" s="80">
        <f t="shared" si="23"/>
        <v>0</v>
      </c>
      <c r="G91" s="178">
        <v>0</v>
      </c>
      <c r="H91" s="80">
        <f t="shared" si="24"/>
        <v>0</v>
      </c>
      <c r="I91" s="178">
        <v>0</v>
      </c>
      <c r="J91" s="80">
        <f t="shared" si="25"/>
        <v>0</v>
      </c>
      <c r="K91" s="178">
        <v>0</v>
      </c>
      <c r="L91" s="80">
        <f t="shared" si="26"/>
        <v>0</v>
      </c>
      <c r="M91" s="178">
        <v>0</v>
      </c>
      <c r="N91" s="80">
        <f t="shared" si="27"/>
        <v>0</v>
      </c>
      <c r="O91" s="178">
        <v>0</v>
      </c>
      <c r="P91" s="80">
        <f t="shared" si="28"/>
        <v>0</v>
      </c>
      <c r="Q91" s="178">
        <v>0</v>
      </c>
      <c r="R91" s="80">
        <f t="shared" si="29"/>
        <v>0</v>
      </c>
      <c r="S91" s="178">
        <v>0</v>
      </c>
      <c r="T91" s="80">
        <f t="shared" si="30"/>
        <v>0</v>
      </c>
      <c r="U91" s="178">
        <v>0</v>
      </c>
      <c r="V91" s="80">
        <f t="shared" si="31"/>
        <v>0</v>
      </c>
      <c r="X91" s="192"/>
    </row>
    <row r="92" spans="1:24" ht="12.75" customHeight="1">
      <c r="A92" s="2" t="s">
        <v>436</v>
      </c>
      <c r="B92" s="35"/>
      <c r="C92" s="178">
        <v>10140</v>
      </c>
      <c r="D92" s="80">
        <f t="shared" si="32"/>
        <v>5.1999999999999998E-3</v>
      </c>
      <c r="E92" s="178">
        <v>11065.599999999999</v>
      </c>
      <c r="F92" s="80">
        <f t="shared" si="23"/>
        <v>5.1999999999999989E-3</v>
      </c>
      <c r="G92" s="178">
        <v>11486.8</v>
      </c>
      <c r="H92" s="80">
        <f t="shared" si="24"/>
        <v>5.1999999999999998E-3</v>
      </c>
      <c r="I92" s="178">
        <v>11923.6</v>
      </c>
      <c r="J92" s="80">
        <f t="shared" si="25"/>
        <v>5.1999999999999998E-3</v>
      </c>
      <c r="K92" s="178">
        <v>12266.8</v>
      </c>
      <c r="L92" s="80">
        <f t="shared" si="26"/>
        <v>5.1999999999999998E-3</v>
      </c>
      <c r="M92" s="178">
        <v>12620.400000000001</v>
      </c>
      <c r="N92" s="80">
        <f t="shared" si="27"/>
        <v>5.2000000000000006E-3</v>
      </c>
      <c r="O92" s="178">
        <v>12984.4</v>
      </c>
      <c r="P92" s="80">
        <f t="shared" si="28"/>
        <v>5.1999999999999998E-3</v>
      </c>
      <c r="Q92" s="178">
        <v>13358.8</v>
      </c>
      <c r="R92" s="80">
        <f t="shared" si="29"/>
        <v>5.1999999999999998E-3</v>
      </c>
      <c r="S92" s="178">
        <v>13743.599999999999</v>
      </c>
      <c r="T92" s="80">
        <f t="shared" si="30"/>
        <v>5.1999999999999998E-3</v>
      </c>
      <c r="U92" s="178">
        <v>14138.800000000001</v>
      </c>
      <c r="V92" s="80">
        <f t="shared" si="31"/>
        <v>5.2000000000000006E-3</v>
      </c>
      <c r="X92" s="192"/>
    </row>
    <row r="93" spans="1:24" ht="12.75" customHeight="1">
      <c r="A93" s="2" t="s">
        <v>437</v>
      </c>
      <c r="B93" s="35"/>
      <c r="C93" s="178">
        <v>0</v>
      </c>
      <c r="D93" s="80">
        <f t="shared" si="32"/>
        <v>0</v>
      </c>
      <c r="E93" s="178">
        <v>0</v>
      </c>
      <c r="F93" s="80">
        <f t="shared" si="23"/>
        <v>0</v>
      </c>
      <c r="G93" s="178">
        <v>0</v>
      </c>
      <c r="H93" s="80">
        <f t="shared" si="24"/>
        <v>0</v>
      </c>
      <c r="I93" s="178">
        <v>0</v>
      </c>
      <c r="J93" s="80">
        <f t="shared" si="25"/>
        <v>0</v>
      </c>
      <c r="K93" s="178">
        <v>0</v>
      </c>
      <c r="L93" s="80">
        <f t="shared" si="26"/>
        <v>0</v>
      </c>
      <c r="M93" s="178">
        <v>0</v>
      </c>
      <c r="N93" s="80">
        <f t="shared" si="27"/>
        <v>0</v>
      </c>
      <c r="O93" s="178">
        <v>0</v>
      </c>
      <c r="P93" s="80">
        <f t="shared" si="28"/>
        <v>0</v>
      </c>
      <c r="Q93" s="178">
        <v>0</v>
      </c>
      <c r="R93" s="80">
        <f t="shared" si="29"/>
        <v>0</v>
      </c>
      <c r="S93" s="178">
        <v>0</v>
      </c>
      <c r="T93" s="80">
        <f t="shared" si="30"/>
        <v>0</v>
      </c>
      <c r="U93" s="178">
        <v>0</v>
      </c>
      <c r="V93" s="80">
        <f t="shared" si="31"/>
        <v>0</v>
      </c>
      <c r="X93" s="192"/>
    </row>
    <row r="94" spans="1:24" ht="12.75" customHeight="1">
      <c r="A94" s="2" t="s">
        <v>438</v>
      </c>
      <c r="B94" s="35"/>
      <c r="C94" s="178">
        <v>0</v>
      </c>
      <c r="D94" s="80">
        <f t="shared" si="32"/>
        <v>0</v>
      </c>
      <c r="E94" s="178">
        <v>0</v>
      </c>
      <c r="F94" s="80">
        <f t="shared" si="23"/>
        <v>0</v>
      </c>
      <c r="G94" s="178">
        <v>0</v>
      </c>
      <c r="H94" s="80">
        <f t="shared" si="24"/>
        <v>0</v>
      </c>
      <c r="I94" s="178">
        <v>0</v>
      </c>
      <c r="J94" s="80">
        <f t="shared" si="25"/>
        <v>0</v>
      </c>
      <c r="K94" s="178">
        <v>0</v>
      </c>
      <c r="L94" s="80">
        <f t="shared" si="26"/>
        <v>0</v>
      </c>
      <c r="M94" s="178">
        <v>0</v>
      </c>
      <c r="N94" s="80">
        <f t="shared" si="27"/>
        <v>0</v>
      </c>
      <c r="O94" s="178">
        <v>0</v>
      </c>
      <c r="P94" s="80">
        <f t="shared" si="28"/>
        <v>0</v>
      </c>
      <c r="Q94" s="178">
        <v>0</v>
      </c>
      <c r="R94" s="80">
        <f t="shared" si="29"/>
        <v>0</v>
      </c>
      <c r="S94" s="178">
        <v>0</v>
      </c>
      <c r="T94" s="80">
        <f t="shared" si="30"/>
        <v>0</v>
      </c>
      <c r="U94" s="178">
        <v>0</v>
      </c>
      <c r="V94" s="80">
        <f t="shared" si="31"/>
        <v>0</v>
      </c>
      <c r="X94" s="192"/>
    </row>
    <row r="95" spans="1:24" ht="12.75" customHeight="1">
      <c r="A95" s="2" t="s">
        <v>439</v>
      </c>
      <c r="B95" s="35"/>
      <c r="C95" s="178">
        <v>0</v>
      </c>
      <c r="D95" s="80">
        <f t="shared" si="32"/>
        <v>0</v>
      </c>
      <c r="E95" s="178">
        <v>0</v>
      </c>
      <c r="F95" s="80">
        <f t="shared" si="23"/>
        <v>0</v>
      </c>
      <c r="G95" s="178">
        <v>0</v>
      </c>
      <c r="H95" s="80">
        <f t="shared" si="24"/>
        <v>0</v>
      </c>
      <c r="I95" s="178">
        <v>0</v>
      </c>
      <c r="J95" s="80">
        <f t="shared" si="25"/>
        <v>0</v>
      </c>
      <c r="K95" s="178">
        <v>0</v>
      </c>
      <c r="L95" s="80">
        <f t="shared" si="26"/>
        <v>0</v>
      </c>
      <c r="M95" s="178">
        <v>0</v>
      </c>
      <c r="N95" s="80">
        <f t="shared" si="27"/>
        <v>0</v>
      </c>
      <c r="O95" s="178">
        <v>0</v>
      </c>
      <c r="P95" s="80">
        <f t="shared" si="28"/>
        <v>0</v>
      </c>
      <c r="Q95" s="178">
        <v>0</v>
      </c>
      <c r="R95" s="80">
        <f t="shared" si="29"/>
        <v>0</v>
      </c>
      <c r="S95" s="178">
        <v>0</v>
      </c>
      <c r="T95" s="80">
        <f t="shared" si="30"/>
        <v>0</v>
      </c>
      <c r="U95" s="178">
        <v>0</v>
      </c>
      <c r="V95" s="80">
        <f t="shared" si="31"/>
        <v>0</v>
      </c>
      <c r="X95" s="192"/>
    </row>
    <row r="96" spans="1:24" ht="12.75" customHeight="1">
      <c r="A96" s="2" t="s">
        <v>440</v>
      </c>
      <c r="B96" s="35"/>
      <c r="C96" s="178">
        <v>0</v>
      </c>
      <c r="D96" s="80">
        <f t="shared" si="32"/>
        <v>0</v>
      </c>
      <c r="E96" s="178">
        <v>0</v>
      </c>
      <c r="F96" s="80">
        <f t="shared" si="23"/>
        <v>0</v>
      </c>
      <c r="G96" s="178">
        <v>0</v>
      </c>
      <c r="H96" s="80">
        <f t="shared" si="24"/>
        <v>0</v>
      </c>
      <c r="I96" s="178">
        <v>0</v>
      </c>
      <c r="J96" s="80">
        <f t="shared" si="25"/>
        <v>0</v>
      </c>
      <c r="K96" s="178">
        <v>0</v>
      </c>
      <c r="L96" s="80">
        <f t="shared" si="26"/>
        <v>0</v>
      </c>
      <c r="M96" s="178">
        <v>0</v>
      </c>
      <c r="N96" s="80">
        <f t="shared" si="27"/>
        <v>0</v>
      </c>
      <c r="O96" s="178">
        <v>0</v>
      </c>
      <c r="P96" s="80">
        <f t="shared" si="28"/>
        <v>0</v>
      </c>
      <c r="Q96" s="178">
        <v>0</v>
      </c>
      <c r="R96" s="80">
        <f t="shared" si="29"/>
        <v>0</v>
      </c>
      <c r="S96" s="178">
        <v>0</v>
      </c>
      <c r="T96" s="80">
        <f t="shared" si="30"/>
        <v>0</v>
      </c>
      <c r="U96" s="178">
        <v>0</v>
      </c>
      <c r="V96" s="80">
        <f t="shared" si="31"/>
        <v>0</v>
      </c>
      <c r="X96" s="192"/>
    </row>
    <row r="97" spans="1:24" ht="12.75" customHeight="1">
      <c r="A97" s="2" t="s">
        <v>441</v>
      </c>
      <c r="B97" s="35"/>
      <c r="C97" s="178">
        <v>19760.014999999999</v>
      </c>
      <c r="D97" s="80">
        <f t="shared" si="32"/>
        <v>1.0133341025641025E-2</v>
      </c>
      <c r="E97" s="178">
        <v>21712.7949716</v>
      </c>
      <c r="F97" s="80">
        <f t="shared" si="23"/>
        <v>1.0203381095676691E-2</v>
      </c>
      <c r="G97" s="178">
        <v>22443.051163605996</v>
      </c>
      <c r="H97" s="80">
        <f t="shared" si="24"/>
        <v>1.0159823976281573E-2</v>
      </c>
      <c r="I97" s="178">
        <v>23139.925054881394</v>
      </c>
      <c r="J97" s="80">
        <f t="shared" si="25"/>
        <v>1.0091550394627734E-2</v>
      </c>
      <c r="K97" s="178">
        <v>23718.423181253427</v>
      </c>
      <c r="L97" s="80">
        <f t="shared" si="26"/>
        <v>1.0054439669882759E-2</v>
      </c>
      <c r="M97" s="178">
        <v>24208.778964949368</v>
      </c>
      <c r="N97" s="80">
        <f t="shared" si="27"/>
        <v>9.9747750164603903E-3</v>
      </c>
      <c r="O97" s="178">
        <v>24813.998439073097</v>
      </c>
      <c r="P97" s="80">
        <f t="shared" si="28"/>
        <v>9.9375244049151375E-3</v>
      </c>
      <c r="Q97" s="178">
        <v>25310.278407854563</v>
      </c>
      <c r="R97" s="80">
        <f t="shared" si="29"/>
        <v>9.8521908944548715E-3</v>
      </c>
      <c r="S97" s="178">
        <v>25833.6165877241</v>
      </c>
      <c r="T97" s="80">
        <f t="shared" si="30"/>
        <v>9.7743536086735156E-3</v>
      </c>
      <c r="U97" s="178">
        <v>26479.457002417203</v>
      </c>
      <c r="V97" s="80">
        <f t="shared" si="31"/>
        <v>9.7386748813597657E-3</v>
      </c>
      <c r="X97" s="192"/>
    </row>
    <row r="98" spans="1:24" ht="12.75" customHeight="1">
      <c r="A98" s="117" t="s">
        <v>444</v>
      </c>
      <c r="B98" s="35"/>
      <c r="C98" s="178">
        <v>2339.9999999999995</v>
      </c>
      <c r="D98" s="80">
        <f t="shared" si="32"/>
        <v>1.1999999999999997E-3</v>
      </c>
      <c r="E98" s="178">
        <v>2553.5999999999995</v>
      </c>
      <c r="F98" s="80">
        <f t="shared" si="23"/>
        <v>1.1999999999999997E-3</v>
      </c>
      <c r="G98" s="178">
        <v>2650.7999999999997</v>
      </c>
      <c r="H98" s="80">
        <f t="shared" si="24"/>
        <v>1.1999999999999999E-3</v>
      </c>
      <c r="I98" s="178">
        <v>2751.5999999999995</v>
      </c>
      <c r="J98" s="80">
        <f t="shared" si="25"/>
        <v>1.1999999999999997E-3</v>
      </c>
      <c r="K98" s="178">
        <v>2830.8</v>
      </c>
      <c r="L98" s="80">
        <f t="shared" si="26"/>
        <v>1.2000000000000001E-3</v>
      </c>
      <c r="M98" s="178">
        <v>2912.4</v>
      </c>
      <c r="N98" s="80">
        <f t="shared" si="27"/>
        <v>1.2000000000000001E-3</v>
      </c>
      <c r="O98" s="178">
        <v>2996.4</v>
      </c>
      <c r="P98" s="80">
        <f t="shared" si="28"/>
        <v>1.2000000000000001E-3</v>
      </c>
      <c r="Q98" s="178">
        <v>3082.7999999999997</v>
      </c>
      <c r="R98" s="80">
        <f t="shared" si="29"/>
        <v>1.1999999999999999E-3</v>
      </c>
      <c r="S98" s="178">
        <v>3171.5999999999995</v>
      </c>
      <c r="T98" s="80">
        <f t="shared" si="30"/>
        <v>1.1999999999999999E-3</v>
      </c>
      <c r="U98" s="178">
        <v>3262.7999999999997</v>
      </c>
      <c r="V98" s="80">
        <f t="shared" si="31"/>
        <v>1.1999999999999999E-3</v>
      </c>
      <c r="X98" s="192"/>
    </row>
    <row r="99" spans="1:24" ht="12.75" customHeight="1">
      <c r="A99" s="117" t="s">
        <v>444</v>
      </c>
      <c r="B99" s="35"/>
      <c r="C99" s="178">
        <v>0</v>
      </c>
      <c r="D99" s="80">
        <f t="shared" si="32"/>
        <v>0</v>
      </c>
      <c r="E99" s="178">
        <v>0</v>
      </c>
      <c r="F99" s="80">
        <f t="shared" si="23"/>
        <v>0</v>
      </c>
      <c r="G99" s="178">
        <v>0</v>
      </c>
      <c r="H99" s="80">
        <f t="shared" si="24"/>
        <v>0</v>
      </c>
      <c r="I99" s="178">
        <v>0</v>
      </c>
      <c r="J99" s="80">
        <f t="shared" si="25"/>
        <v>0</v>
      </c>
      <c r="K99" s="178">
        <v>0</v>
      </c>
      <c r="L99" s="80">
        <f t="shared" si="26"/>
        <v>0</v>
      </c>
      <c r="M99" s="178">
        <v>0</v>
      </c>
      <c r="N99" s="80">
        <f t="shared" si="27"/>
        <v>0</v>
      </c>
      <c r="O99" s="178">
        <v>0</v>
      </c>
      <c r="P99" s="80">
        <f t="shared" si="28"/>
        <v>0</v>
      </c>
      <c r="Q99" s="178">
        <v>0</v>
      </c>
      <c r="R99" s="80">
        <f t="shared" si="29"/>
        <v>0</v>
      </c>
      <c r="S99" s="178">
        <v>0</v>
      </c>
      <c r="T99" s="80">
        <f t="shared" si="30"/>
        <v>0</v>
      </c>
      <c r="U99" s="178">
        <v>0</v>
      </c>
      <c r="V99" s="80">
        <f t="shared" si="31"/>
        <v>0</v>
      </c>
      <c r="X99" s="192"/>
    </row>
    <row r="100" spans="1:24" ht="12.75" customHeight="1">
      <c r="A100" s="117" t="s">
        <v>444</v>
      </c>
      <c r="B100" s="35"/>
      <c r="C100" s="178">
        <v>0</v>
      </c>
      <c r="D100" s="80">
        <f t="shared" si="32"/>
        <v>0</v>
      </c>
      <c r="E100" s="178">
        <v>0</v>
      </c>
      <c r="F100" s="80">
        <f t="shared" si="23"/>
        <v>0</v>
      </c>
      <c r="G100" s="178">
        <v>0</v>
      </c>
      <c r="H100" s="80">
        <f t="shared" si="24"/>
        <v>0</v>
      </c>
      <c r="I100" s="178">
        <v>0</v>
      </c>
      <c r="J100" s="80">
        <f t="shared" si="25"/>
        <v>0</v>
      </c>
      <c r="K100" s="178">
        <v>0</v>
      </c>
      <c r="L100" s="80">
        <f t="shared" si="26"/>
        <v>0</v>
      </c>
      <c r="M100" s="178">
        <v>0</v>
      </c>
      <c r="N100" s="80">
        <f t="shared" si="27"/>
        <v>0</v>
      </c>
      <c r="O100" s="178">
        <v>0</v>
      </c>
      <c r="P100" s="80">
        <f t="shared" si="28"/>
        <v>0</v>
      </c>
      <c r="Q100" s="178">
        <v>0</v>
      </c>
      <c r="R100" s="80">
        <f t="shared" si="29"/>
        <v>0</v>
      </c>
      <c r="S100" s="178">
        <v>0</v>
      </c>
      <c r="T100" s="80">
        <f t="shared" si="30"/>
        <v>0</v>
      </c>
      <c r="U100" s="178">
        <v>0</v>
      </c>
      <c r="V100" s="80">
        <f t="shared" si="31"/>
        <v>0</v>
      </c>
      <c r="X100" s="192"/>
    </row>
    <row r="101" spans="1:24" ht="12.75" customHeight="1">
      <c r="A101" s="2" t="s">
        <v>445</v>
      </c>
      <c r="B101" s="35"/>
      <c r="C101" s="178"/>
      <c r="D101" s="80">
        <f t="shared" si="32"/>
        <v>0</v>
      </c>
      <c r="E101" s="178"/>
      <c r="F101" s="80">
        <f t="shared" si="23"/>
        <v>0</v>
      </c>
      <c r="G101" s="178"/>
      <c r="H101" s="80">
        <f t="shared" si="24"/>
        <v>0</v>
      </c>
      <c r="I101" s="178">
        <v>0</v>
      </c>
      <c r="J101" s="80">
        <f t="shared" si="25"/>
        <v>0</v>
      </c>
      <c r="K101" s="178">
        <v>0</v>
      </c>
      <c r="L101" s="80">
        <f t="shared" si="26"/>
        <v>0</v>
      </c>
      <c r="M101" s="178">
        <v>0</v>
      </c>
      <c r="N101" s="80">
        <f t="shared" si="27"/>
        <v>0</v>
      </c>
      <c r="O101" s="178">
        <v>0</v>
      </c>
      <c r="P101" s="80">
        <f t="shared" si="28"/>
        <v>0</v>
      </c>
      <c r="Q101" s="178">
        <v>0</v>
      </c>
      <c r="R101" s="80">
        <f t="shared" si="29"/>
        <v>0</v>
      </c>
      <c r="S101" s="178">
        <v>0</v>
      </c>
      <c r="T101" s="80">
        <f t="shared" si="30"/>
        <v>0</v>
      </c>
      <c r="U101" s="178">
        <v>0</v>
      </c>
      <c r="V101" s="80">
        <f t="shared" si="31"/>
        <v>0</v>
      </c>
      <c r="X101" s="192"/>
    </row>
    <row r="102" spans="1:24" ht="12.75" customHeight="1">
      <c r="A102" s="117" t="s">
        <v>446</v>
      </c>
      <c r="B102" s="35"/>
      <c r="C102" s="178">
        <v>19500</v>
      </c>
      <c r="D102" s="80">
        <f t="shared" si="32"/>
        <v>0.01</v>
      </c>
      <c r="E102" s="178">
        <v>21280</v>
      </c>
      <c r="F102" s="80">
        <f t="shared" si="23"/>
        <v>0.01</v>
      </c>
      <c r="G102" s="178">
        <v>22090</v>
      </c>
      <c r="H102" s="80">
        <f t="shared" si="24"/>
        <v>0.01</v>
      </c>
      <c r="I102" s="178">
        <v>22930.000000000004</v>
      </c>
      <c r="J102" s="80">
        <f t="shared" si="25"/>
        <v>1.0000000000000002E-2</v>
      </c>
      <c r="K102" s="178">
        <v>23590.000000000004</v>
      </c>
      <c r="L102" s="80">
        <f t="shared" si="26"/>
        <v>1.0000000000000002E-2</v>
      </c>
      <c r="M102" s="178">
        <v>24270</v>
      </c>
      <c r="N102" s="80">
        <f t="shared" si="27"/>
        <v>0.01</v>
      </c>
      <c r="O102" s="178">
        <v>24970.000000000004</v>
      </c>
      <c r="P102" s="80">
        <f t="shared" si="28"/>
        <v>1.0000000000000002E-2</v>
      </c>
      <c r="Q102" s="178">
        <v>25690.000000000004</v>
      </c>
      <c r="R102" s="80">
        <f t="shared" si="29"/>
        <v>1.0000000000000002E-2</v>
      </c>
      <c r="S102" s="178">
        <v>26430</v>
      </c>
      <c r="T102" s="80">
        <f t="shared" si="30"/>
        <v>0.01</v>
      </c>
      <c r="U102" s="178">
        <v>27190</v>
      </c>
      <c r="V102" s="80">
        <f t="shared" si="31"/>
        <v>0.01</v>
      </c>
      <c r="X102" s="192"/>
    </row>
    <row r="103" spans="1:24" ht="12.75" customHeight="1">
      <c r="A103" s="117" t="s">
        <v>446</v>
      </c>
      <c r="B103" s="35"/>
      <c r="C103" s="178">
        <v>0</v>
      </c>
      <c r="D103" s="80">
        <f t="shared" si="32"/>
        <v>0</v>
      </c>
      <c r="E103" s="178">
        <v>0</v>
      </c>
      <c r="F103" s="80">
        <f t="shared" si="23"/>
        <v>0</v>
      </c>
      <c r="G103" s="178">
        <v>0</v>
      </c>
      <c r="H103" s="80">
        <f t="shared" si="24"/>
        <v>0</v>
      </c>
      <c r="I103" s="178">
        <v>0</v>
      </c>
      <c r="J103" s="80">
        <f t="shared" si="25"/>
        <v>0</v>
      </c>
      <c r="K103" s="178">
        <v>0</v>
      </c>
      <c r="L103" s="80">
        <f t="shared" si="26"/>
        <v>0</v>
      </c>
      <c r="M103" s="178">
        <v>0</v>
      </c>
      <c r="N103" s="80">
        <f t="shared" si="27"/>
        <v>0</v>
      </c>
      <c r="O103" s="178">
        <v>0</v>
      </c>
      <c r="P103" s="80">
        <f t="shared" si="28"/>
        <v>0</v>
      </c>
      <c r="Q103" s="178">
        <v>0</v>
      </c>
      <c r="R103" s="80">
        <f t="shared" si="29"/>
        <v>0</v>
      </c>
      <c r="S103" s="178">
        <v>0</v>
      </c>
      <c r="T103" s="80">
        <f t="shared" si="30"/>
        <v>0</v>
      </c>
      <c r="U103" s="178">
        <v>0</v>
      </c>
      <c r="V103" s="80">
        <f t="shared" si="31"/>
        <v>0</v>
      </c>
      <c r="X103" s="192"/>
    </row>
    <row r="104" spans="1:24" ht="12.75" customHeight="1">
      <c r="A104" s="117" t="s">
        <v>446</v>
      </c>
      <c r="B104" s="35"/>
      <c r="C104" s="178">
        <v>0</v>
      </c>
      <c r="D104" s="80">
        <f t="shared" si="32"/>
        <v>0</v>
      </c>
      <c r="E104" s="178">
        <v>0</v>
      </c>
      <c r="F104" s="80">
        <f t="shared" si="23"/>
        <v>0</v>
      </c>
      <c r="G104" s="178">
        <v>0</v>
      </c>
      <c r="H104" s="80">
        <f t="shared" si="24"/>
        <v>0</v>
      </c>
      <c r="I104" s="178">
        <v>0</v>
      </c>
      <c r="J104" s="80">
        <f t="shared" si="25"/>
        <v>0</v>
      </c>
      <c r="K104" s="178">
        <v>0</v>
      </c>
      <c r="L104" s="80">
        <f t="shared" si="26"/>
        <v>0</v>
      </c>
      <c r="M104" s="178">
        <v>0</v>
      </c>
      <c r="N104" s="80">
        <f t="shared" si="27"/>
        <v>0</v>
      </c>
      <c r="O104" s="178">
        <v>0</v>
      </c>
      <c r="P104" s="80">
        <f t="shared" si="28"/>
        <v>0</v>
      </c>
      <c r="Q104" s="178">
        <v>0</v>
      </c>
      <c r="R104" s="80">
        <f t="shared" si="29"/>
        <v>0</v>
      </c>
      <c r="S104" s="178">
        <v>0</v>
      </c>
      <c r="T104" s="80">
        <f t="shared" si="30"/>
        <v>0</v>
      </c>
      <c r="U104" s="178">
        <v>0</v>
      </c>
      <c r="V104" s="80">
        <f t="shared" si="31"/>
        <v>0</v>
      </c>
      <c r="X104" s="192"/>
    </row>
    <row r="105" spans="1:24" ht="12.75" customHeight="1">
      <c r="A105" s="1" t="s">
        <v>447</v>
      </c>
      <c r="B105" s="53"/>
      <c r="C105" s="82">
        <f>SUM(C52:C104)</f>
        <v>336002.59069507942</v>
      </c>
      <c r="D105" s="83">
        <f t="shared" si="32"/>
        <v>0.1723090208692715</v>
      </c>
      <c r="E105" s="82">
        <f>SUM(E52:E104)</f>
        <v>367204.85428037</v>
      </c>
      <c r="F105" s="83">
        <f t="shared" si="23"/>
        <v>0.17255867212423401</v>
      </c>
      <c r="G105" s="82">
        <f>SUM(G52:G104)</f>
        <v>380797.22848398646</v>
      </c>
      <c r="H105" s="83">
        <f t="shared" si="24"/>
        <v>0.17238444023720528</v>
      </c>
      <c r="I105" s="82">
        <f>SUM(I52:I104)</f>
        <v>395192.88866244425</v>
      </c>
      <c r="J105" s="83">
        <f t="shared" si="25"/>
        <v>0.17234753103464642</v>
      </c>
      <c r="K105" s="82">
        <f>SUM(K52:K104)</f>
        <v>406391.24892644206</v>
      </c>
      <c r="L105" s="83">
        <f t="shared" si="26"/>
        <v>0.17227267864622384</v>
      </c>
      <c r="M105" s="82">
        <f>SUM(M52:M104)</f>
        <v>417962.39717332093</v>
      </c>
      <c r="N105" s="83">
        <f t="shared" si="27"/>
        <v>0.17221359586869425</v>
      </c>
      <c r="O105" s="82">
        <f>SUM(O52:O104)</f>
        <v>429987.28605797095</v>
      </c>
      <c r="P105" s="83">
        <f t="shared" si="28"/>
        <v>0.17220155629073727</v>
      </c>
      <c r="Q105" s="82">
        <f>SUM(Q52:Q104)</f>
        <v>442259.02932990529</v>
      </c>
      <c r="R105" s="83">
        <f t="shared" si="29"/>
        <v>0.17215221071619513</v>
      </c>
      <c r="S105" s="82">
        <f>SUM(S52:S104)</f>
        <v>454885.36208151584</v>
      </c>
      <c r="T105" s="83">
        <f t="shared" si="30"/>
        <v>0.17210948243719856</v>
      </c>
      <c r="U105" s="82">
        <f>SUM(U52:U104)</f>
        <v>467970.68082828051</v>
      </c>
      <c r="V105" s="83">
        <f t="shared" si="31"/>
        <v>0.17211132064298659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448</v>
      </c>
      <c r="B107" s="53"/>
      <c r="C107" s="82">
        <f>C28-C33-C46-C105</f>
        <v>375007.2773049206</v>
      </c>
      <c r="D107" s="83">
        <f>IFERROR(C107/C$28,0)</f>
        <v>0.19231142425893363</v>
      </c>
      <c r="E107" s="82">
        <f>E28-E33-E46-E105</f>
        <v>439623.72187163</v>
      </c>
      <c r="F107" s="83">
        <f>IFERROR(E107/E$28,0)</f>
        <v>0.20659009486448779</v>
      </c>
      <c r="G107" s="82">
        <f>G28-G33-G46-G105</f>
        <v>427876.2001533336</v>
      </c>
      <c r="H107" s="83">
        <f>IFERROR(G107/G$28,0)</f>
        <v>0.19369678594537509</v>
      </c>
      <c r="I107" s="82">
        <f>I28-I33-I46-I105</f>
        <v>476163.02248086996</v>
      </c>
      <c r="J107" s="83">
        <f>IFERROR(I107/I$28,0)</f>
        <v>0.20765940797246837</v>
      </c>
      <c r="K107" s="82">
        <f>K28-K33-K46-K105</f>
        <v>468745.74749545514</v>
      </c>
      <c r="L107" s="83">
        <f>IFERROR(K107/K$28,0)</f>
        <v>0.19870527659832773</v>
      </c>
      <c r="M107" s="82">
        <f>M28-M33-M46-M105</f>
        <v>514531.02809696161</v>
      </c>
      <c r="N107" s="83">
        <f>IFERROR(M107/M$28,0)</f>
        <v>0.21200289579602868</v>
      </c>
      <c r="O107" s="82">
        <f>O28-O33-O46-O105</f>
        <v>557246.28734406887</v>
      </c>
      <c r="P107" s="83">
        <f>IFERROR(O107/O$28,0)</f>
        <v>0.22316631451504559</v>
      </c>
      <c r="Q107" s="82">
        <f>Q28-Q33-Q46-Q105</f>
        <v>605853.96554017521</v>
      </c>
      <c r="R107" s="83">
        <f>IFERROR(Q107/Q$28,0)</f>
        <v>0.23583260628266844</v>
      </c>
      <c r="S107" s="82">
        <f>S28-S33-S46-S105</f>
        <v>660704.59254904161</v>
      </c>
      <c r="T107" s="83">
        <f>IFERROR(S107/S$28,0)</f>
        <v>0.24998281973100325</v>
      </c>
      <c r="U107" s="82">
        <f>U28-U33-U46-U105</f>
        <v>804284.33516804082</v>
      </c>
      <c r="V107" s="83">
        <f>IFERROR(U107/U$28,0)</f>
        <v>0.29580152084150085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449</v>
      </c>
      <c r="B110" s="40"/>
      <c r="C110" s="86" t="str">
        <f>C50</f>
        <v>FY 2018-19</v>
      </c>
      <c r="D110" s="86" t="s">
        <v>366</v>
      </c>
      <c r="E110" s="86" t="str">
        <f>E50</f>
        <v>FY 2019-20</v>
      </c>
      <c r="F110" s="86" t="s">
        <v>366</v>
      </c>
      <c r="G110" s="86" t="str">
        <f>G50</f>
        <v>FY 2020-21</v>
      </c>
      <c r="H110" s="86" t="s">
        <v>366</v>
      </c>
      <c r="I110" s="86" t="str">
        <f>I50</f>
        <v>FY 2021-22</v>
      </c>
      <c r="J110" s="86" t="s">
        <v>366</v>
      </c>
      <c r="K110" s="86" t="str">
        <f>K50</f>
        <v>FY 2022-23</v>
      </c>
      <c r="L110" s="86" t="s">
        <v>366</v>
      </c>
      <c r="M110" s="86" t="str">
        <f>M50</f>
        <v>FY 2023-24</v>
      </c>
      <c r="N110" s="86" t="s">
        <v>366</v>
      </c>
      <c r="O110" s="86" t="str">
        <f>O50</f>
        <v>FY 2024-25</v>
      </c>
      <c r="P110" s="86" t="s">
        <v>366</v>
      </c>
      <c r="Q110" s="86" t="str">
        <f>Q50</f>
        <v>FY 2025-26</v>
      </c>
      <c r="R110" s="86" t="s">
        <v>366</v>
      </c>
      <c r="S110" s="86" t="str">
        <f>S50</f>
        <v>FY 2026-27</v>
      </c>
      <c r="T110" s="86" t="s">
        <v>366</v>
      </c>
      <c r="U110" s="86" t="str">
        <f>U50</f>
        <v>FY 2027-28</v>
      </c>
      <c r="V110" s="86" t="s">
        <v>366</v>
      </c>
    </row>
    <row r="111" spans="1:24" ht="12.75" customHeight="1">
      <c r="A111" s="2" t="s">
        <v>403</v>
      </c>
      <c r="B111" s="35"/>
      <c r="C111" s="79">
        <f>C59</f>
        <v>0</v>
      </c>
      <c r="D111" s="80">
        <f t="shared" ref="D111:D116" si="33">IFERROR(C111/C$28,0)</f>
        <v>0</v>
      </c>
      <c r="E111" s="79">
        <f>E59</f>
        <v>0</v>
      </c>
      <c r="F111" s="80">
        <f t="shared" ref="F111:F116" si="34">IFERROR(E111/E$28,0)</f>
        <v>0</v>
      </c>
      <c r="G111" s="79">
        <f>G59</f>
        <v>0</v>
      </c>
      <c r="H111" s="80">
        <f t="shared" ref="H111:H116" si="35">IFERROR(G111/G$28,0)</f>
        <v>0</v>
      </c>
      <c r="I111" s="79">
        <f>I59</f>
        <v>0</v>
      </c>
      <c r="J111" s="80">
        <f t="shared" ref="J111:J116" si="36">IFERROR(I111/I$28,0)</f>
        <v>0</v>
      </c>
      <c r="K111" s="79">
        <f>K59</f>
        <v>0</v>
      </c>
      <c r="L111" s="80">
        <f t="shared" ref="L111:L116" si="37">IFERROR(K111/K$28,0)</f>
        <v>0</v>
      </c>
      <c r="M111" s="79">
        <f>M59</f>
        <v>0</v>
      </c>
      <c r="N111" s="80">
        <f t="shared" ref="N111:N116" si="38">IFERROR(M111/M$28,0)</f>
        <v>0</v>
      </c>
      <c r="O111" s="79">
        <f>O59</f>
        <v>0</v>
      </c>
      <c r="P111" s="80">
        <f t="shared" ref="P111:P116" si="39">IFERROR(O111/O$28,0)</f>
        <v>0</v>
      </c>
      <c r="Q111" s="79">
        <f>Q59</f>
        <v>0</v>
      </c>
      <c r="R111" s="80">
        <f t="shared" ref="R111:R116" si="40">IFERROR(Q111/Q$28,0)</f>
        <v>0</v>
      </c>
      <c r="S111" s="79">
        <f>S59</f>
        <v>0</v>
      </c>
      <c r="T111" s="80">
        <f t="shared" ref="T111:T116" si="41">IFERROR(S111/S$28,0)</f>
        <v>0</v>
      </c>
      <c r="U111" s="79">
        <f>U59</f>
        <v>0</v>
      </c>
      <c r="V111" s="80">
        <f t="shared" ref="V111:V116" si="42">IFERROR(U111/U$28,0)</f>
        <v>0</v>
      </c>
    </row>
    <row r="112" spans="1:24" ht="12.75" customHeight="1">
      <c r="A112" s="2" t="s">
        <v>450</v>
      </c>
      <c r="B112" s="35"/>
      <c r="C112" s="79">
        <f>C62</f>
        <v>0</v>
      </c>
      <c r="D112" s="80">
        <f t="shared" si="33"/>
        <v>0</v>
      </c>
      <c r="E112" s="79">
        <f>E62</f>
        <v>0</v>
      </c>
      <c r="F112" s="80">
        <f t="shared" si="34"/>
        <v>0</v>
      </c>
      <c r="G112" s="79">
        <f>G62</f>
        <v>0</v>
      </c>
      <c r="H112" s="80">
        <f t="shared" si="35"/>
        <v>0</v>
      </c>
      <c r="I112" s="79">
        <f>I62</f>
        <v>0</v>
      </c>
      <c r="J112" s="80">
        <f t="shared" si="36"/>
        <v>0</v>
      </c>
      <c r="K112" s="79">
        <f>K62</f>
        <v>0</v>
      </c>
      <c r="L112" s="80">
        <f t="shared" si="37"/>
        <v>0</v>
      </c>
      <c r="M112" s="79">
        <f>M62</f>
        <v>0</v>
      </c>
      <c r="N112" s="80">
        <f t="shared" si="38"/>
        <v>0</v>
      </c>
      <c r="O112" s="79">
        <f>O62</f>
        <v>0</v>
      </c>
      <c r="P112" s="80">
        <f t="shared" si="39"/>
        <v>0</v>
      </c>
      <c r="Q112" s="79">
        <f>Q62</f>
        <v>0</v>
      </c>
      <c r="R112" s="80">
        <f t="shared" si="40"/>
        <v>0</v>
      </c>
      <c r="S112" s="79">
        <f>S62</f>
        <v>0</v>
      </c>
      <c r="T112" s="80">
        <f t="shared" si="41"/>
        <v>0</v>
      </c>
      <c r="U112" s="79">
        <f>U62</f>
        <v>0</v>
      </c>
      <c r="V112" s="80">
        <f t="shared" si="42"/>
        <v>0</v>
      </c>
    </row>
    <row r="113" spans="1:22" ht="12.75" customHeight="1">
      <c r="A113" s="117" t="s">
        <v>446</v>
      </c>
      <c r="B113" s="41"/>
      <c r="C113" s="111">
        <v>0</v>
      </c>
      <c r="D113" s="80">
        <f t="shared" si="33"/>
        <v>0</v>
      </c>
      <c r="E113" s="111">
        <v>0</v>
      </c>
      <c r="F113" s="80">
        <f t="shared" si="34"/>
        <v>0</v>
      </c>
      <c r="G113" s="111">
        <v>0</v>
      </c>
      <c r="H113" s="80">
        <f t="shared" si="35"/>
        <v>0</v>
      </c>
      <c r="I113" s="111">
        <v>0</v>
      </c>
      <c r="J113" s="80">
        <f t="shared" si="36"/>
        <v>0</v>
      </c>
      <c r="K113" s="111">
        <v>0</v>
      </c>
      <c r="L113" s="80">
        <f t="shared" si="37"/>
        <v>0</v>
      </c>
      <c r="M113" s="111">
        <v>0</v>
      </c>
      <c r="N113" s="80">
        <f t="shared" si="38"/>
        <v>0</v>
      </c>
      <c r="O113" s="111">
        <v>0</v>
      </c>
      <c r="P113" s="80">
        <f t="shared" si="39"/>
        <v>0</v>
      </c>
      <c r="Q113" s="111">
        <v>0</v>
      </c>
      <c r="R113" s="80">
        <f t="shared" si="40"/>
        <v>0</v>
      </c>
      <c r="S113" s="111">
        <v>0</v>
      </c>
      <c r="T113" s="80">
        <f t="shared" si="41"/>
        <v>0</v>
      </c>
      <c r="U113" s="111">
        <v>0</v>
      </c>
      <c r="V113" s="80">
        <f t="shared" si="42"/>
        <v>0</v>
      </c>
    </row>
    <row r="114" spans="1:22" ht="12.75" customHeight="1">
      <c r="A114" s="117" t="s">
        <v>446</v>
      </c>
      <c r="B114" s="41"/>
      <c r="C114" s="111">
        <v>0</v>
      </c>
      <c r="D114" s="80">
        <f t="shared" si="33"/>
        <v>0</v>
      </c>
      <c r="E114" s="111">
        <v>0</v>
      </c>
      <c r="F114" s="80">
        <f t="shared" si="34"/>
        <v>0</v>
      </c>
      <c r="G114" s="111">
        <v>0</v>
      </c>
      <c r="H114" s="80">
        <f t="shared" si="35"/>
        <v>0</v>
      </c>
      <c r="I114" s="111">
        <v>0</v>
      </c>
      <c r="J114" s="80">
        <f t="shared" si="36"/>
        <v>0</v>
      </c>
      <c r="K114" s="111">
        <v>0</v>
      </c>
      <c r="L114" s="80">
        <f t="shared" si="37"/>
        <v>0</v>
      </c>
      <c r="M114" s="111">
        <v>0</v>
      </c>
      <c r="N114" s="80">
        <f t="shared" si="38"/>
        <v>0</v>
      </c>
      <c r="O114" s="111">
        <v>0</v>
      </c>
      <c r="P114" s="80">
        <f t="shared" si="39"/>
        <v>0</v>
      </c>
      <c r="Q114" s="111">
        <v>0</v>
      </c>
      <c r="R114" s="80">
        <f t="shared" si="40"/>
        <v>0</v>
      </c>
      <c r="S114" s="111">
        <v>0</v>
      </c>
      <c r="T114" s="80">
        <f t="shared" si="41"/>
        <v>0</v>
      </c>
      <c r="U114" s="111">
        <v>0</v>
      </c>
      <c r="V114" s="80">
        <f t="shared" si="42"/>
        <v>0</v>
      </c>
    </row>
    <row r="115" spans="1:22" ht="12.75" customHeight="1">
      <c r="A115" s="117" t="s">
        <v>446</v>
      </c>
      <c r="B115" s="41"/>
      <c r="C115" s="112">
        <v>0</v>
      </c>
      <c r="D115" s="80">
        <f t="shared" si="33"/>
        <v>0</v>
      </c>
      <c r="E115" s="112">
        <v>0</v>
      </c>
      <c r="F115" s="80">
        <f t="shared" si="34"/>
        <v>0</v>
      </c>
      <c r="G115" s="112">
        <v>0</v>
      </c>
      <c r="H115" s="80">
        <f t="shared" si="35"/>
        <v>0</v>
      </c>
      <c r="I115" s="112">
        <v>0</v>
      </c>
      <c r="J115" s="80">
        <f t="shared" si="36"/>
        <v>0</v>
      </c>
      <c r="K115" s="112">
        <v>0</v>
      </c>
      <c r="L115" s="80">
        <f t="shared" si="37"/>
        <v>0</v>
      </c>
      <c r="M115" s="112">
        <v>0</v>
      </c>
      <c r="N115" s="80">
        <f t="shared" si="38"/>
        <v>0</v>
      </c>
      <c r="O115" s="112">
        <v>0</v>
      </c>
      <c r="P115" s="80">
        <f t="shared" si="39"/>
        <v>0</v>
      </c>
      <c r="Q115" s="112">
        <v>0</v>
      </c>
      <c r="R115" s="80">
        <f t="shared" si="40"/>
        <v>0</v>
      </c>
      <c r="S115" s="112">
        <v>0</v>
      </c>
      <c r="T115" s="80">
        <f t="shared" si="41"/>
        <v>0</v>
      </c>
      <c r="U115" s="112">
        <v>0</v>
      </c>
      <c r="V115" s="80">
        <f t="shared" si="42"/>
        <v>0</v>
      </c>
    </row>
    <row r="116" spans="1:22" ht="12.75" customHeight="1">
      <c r="A116" s="40" t="s">
        <v>451</v>
      </c>
      <c r="B116" s="42"/>
      <c r="C116" s="85">
        <f>SUM(C111:C115)</f>
        <v>0</v>
      </c>
      <c r="D116" s="83">
        <f t="shared" si="33"/>
        <v>0</v>
      </c>
      <c r="E116" s="85">
        <f>SUM(E111:E115)</f>
        <v>0</v>
      </c>
      <c r="F116" s="83">
        <f t="shared" si="34"/>
        <v>0</v>
      </c>
      <c r="G116" s="85">
        <f>SUM(G111:G115)</f>
        <v>0</v>
      </c>
      <c r="H116" s="83">
        <f t="shared" si="35"/>
        <v>0</v>
      </c>
      <c r="I116" s="85">
        <f>SUM(I111:I115)</f>
        <v>0</v>
      </c>
      <c r="J116" s="83">
        <f t="shared" si="36"/>
        <v>0</v>
      </c>
      <c r="K116" s="85">
        <f>SUM(K111:K115)</f>
        <v>0</v>
      </c>
      <c r="L116" s="83">
        <f t="shared" si="37"/>
        <v>0</v>
      </c>
      <c r="M116" s="85">
        <f>SUM(M111:M115)</f>
        <v>0</v>
      </c>
      <c r="N116" s="83">
        <f t="shared" si="38"/>
        <v>0</v>
      </c>
      <c r="O116" s="85">
        <f>SUM(O111:O115)</f>
        <v>0</v>
      </c>
      <c r="P116" s="83">
        <f t="shared" si="39"/>
        <v>0</v>
      </c>
      <c r="Q116" s="85">
        <f>SUM(Q111:Q115)</f>
        <v>0</v>
      </c>
      <c r="R116" s="83">
        <f t="shared" si="40"/>
        <v>0</v>
      </c>
      <c r="S116" s="85">
        <f>SUM(S111:S115)</f>
        <v>0</v>
      </c>
      <c r="T116" s="83">
        <f t="shared" si="41"/>
        <v>0</v>
      </c>
      <c r="U116" s="85">
        <f>SUM(U111:U115)</f>
        <v>0</v>
      </c>
      <c r="V116" s="83">
        <f t="shared" si="42"/>
        <v>0</v>
      </c>
    </row>
    <row r="118" spans="1:22" ht="12.75" customHeight="1">
      <c r="A118" s="43" t="s">
        <v>452</v>
      </c>
      <c r="B118" s="43"/>
    </row>
    <row r="119" spans="1:22" ht="12.75" customHeight="1">
      <c r="A119" s="47" t="s">
        <v>467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7" tint="0.59999389629810485"/>
  </sheetPr>
  <dimension ref="A1:X119"/>
  <sheetViews>
    <sheetView topLeftCell="A9" zoomScale="70" zoomScaleNormal="70" workbookViewId="0" xr3:uid="{33642244-9AC9-5136-AF77-195C889548CE}">
      <selection activeCell="W59" sqref="W59"/>
    </sheetView>
  </sheetViews>
  <sheetFormatPr defaultColWidth="9.140625" defaultRowHeight="12.75" customHeight="1"/>
  <cols>
    <col min="1" max="1" width="9.5703125" style="2" customWidth="1"/>
    <col min="2" max="2" width="38.5703125" style="2" customWidth="1"/>
    <col min="3" max="3" width="12.7109375" style="2" customWidth="1"/>
    <col min="4" max="4" width="8.7109375" style="2" customWidth="1"/>
    <col min="5" max="5" width="12.7109375" style="2" customWidth="1"/>
    <col min="6" max="6" width="8.7109375" style="2" customWidth="1"/>
    <col min="7" max="7" width="12.710937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355</v>
      </c>
      <c r="G2" s="33" t="s">
        <v>35</v>
      </c>
      <c r="H2" s="34"/>
      <c r="I2" s="34"/>
      <c r="V2" s="32"/>
    </row>
    <row r="3" spans="1:22" ht="12.75" customHeight="1">
      <c r="A3" s="1" t="s">
        <v>357</v>
      </c>
      <c r="D3" s="118" t="s">
        <v>358</v>
      </c>
      <c r="G3" s="115" t="str">
        <f>+G2</f>
        <v>Miro's Food Truck (Green Library)</v>
      </c>
      <c r="H3" s="116"/>
      <c r="I3" s="116"/>
      <c r="V3" s="32"/>
    </row>
    <row r="4" spans="1:22" ht="12.75" customHeight="1">
      <c r="A4" s="1" t="s">
        <v>359</v>
      </c>
      <c r="B4" s="109" t="s">
        <v>221</v>
      </c>
      <c r="D4" s="118" t="s">
        <v>360</v>
      </c>
      <c r="G4" s="115" t="s">
        <v>36</v>
      </c>
      <c r="H4" s="116"/>
      <c r="I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361</v>
      </c>
      <c r="B7" s="1"/>
    </row>
    <row r="8" spans="1:22" ht="12.75" customHeight="1">
      <c r="A8" s="2" t="s">
        <v>362</v>
      </c>
      <c r="C8" s="109">
        <v>160</v>
      </c>
      <c r="E8" s="109">
        <f>+C8</f>
        <v>160</v>
      </c>
      <c r="G8" s="109">
        <f>+E8</f>
        <v>160</v>
      </c>
      <c r="I8" s="109">
        <f>+G8</f>
        <v>160</v>
      </c>
      <c r="K8" s="109">
        <f>+I8</f>
        <v>160</v>
      </c>
      <c r="M8" s="109">
        <f>+K8</f>
        <v>160</v>
      </c>
      <c r="O8" s="109">
        <f>+M8</f>
        <v>160</v>
      </c>
      <c r="Q8" s="109">
        <f>+O8</f>
        <v>160</v>
      </c>
      <c r="S8" s="109">
        <f>+Q8</f>
        <v>160</v>
      </c>
      <c r="U8" s="109">
        <f>+S8</f>
        <v>160</v>
      </c>
    </row>
    <row r="10" spans="1:22" ht="12.75" customHeight="1">
      <c r="A10" s="2" t="s">
        <v>462</v>
      </c>
      <c r="C10" s="109"/>
      <c r="E10" s="109"/>
      <c r="G10" s="109"/>
      <c r="I10" s="109"/>
      <c r="K10" s="109"/>
      <c r="M10" s="109"/>
      <c r="O10" s="109"/>
      <c r="Q10" s="109"/>
      <c r="S10" s="109"/>
      <c r="U10" s="109"/>
    </row>
    <row r="12" spans="1:22" ht="12.75" customHeight="1">
      <c r="A12" s="2" t="s">
        <v>463</v>
      </c>
      <c r="C12" s="110"/>
      <c r="E12" s="110"/>
      <c r="G12" s="110"/>
      <c r="I12" s="110"/>
      <c r="K12" s="110"/>
      <c r="M12" s="110"/>
      <c r="O12" s="110"/>
      <c r="Q12" s="110"/>
      <c r="S12" s="110"/>
      <c r="U12" s="110"/>
    </row>
    <row r="14" spans="1:22" ht="12.75" customHeight="1">
      <c r="A14" s="2" t="s">
        <v>464</v>
      </c>
      <c r="C14" s="121">
        <f>C12*C10*C8</f>
        <v>0</v>
      </c>
      <c r="E14" s="121">
        <f>E12*E10*E8</f>
        <v>0</v>
      </c>
      <c r="G14" s="121">
        <f>G12*G10*G8</f>
        <v>0</v>
      </c>
      <c r="I14" s="121">
        <f>I12*I10*I8</f>
        <v>0</v>
      </c>
      <c r="K14" s="121">
        <f>K12*K10*K8</f>
        <v>0</v>
      </c>
      <c r="M14" s="121">
        <f>M12*M10*M8</f>
        <v>0</v>
      </c>
      <c r="O14" s="121">
        <f>O12*O10*O8</f>
        <v>0</v>
      </c>
      <c r="Q14" s="121">
        <f>Q12*Q10*Q8</f>
        <v>0</v>
      </c>
      <c r="S14" s="121">
        <f>S12*S10*S8</f>
        <v>0</v>
      </c>
      <c r="U14" s="121">
        <f>U12*U10*U8</f>
        <v>0</v>
      </c>
    </row>
    <row r="15" spans="1:22" ht="12.75" customHeight="1">
      <c r="A15" s="219">
        <v>0.1</v>
      </c>
    </row>
    <row r="16" spans="1:22" ht="12.75" customHeight="1">
      <c r="B16" s="35"/>
      <c r="C16" s="86" t="str">
        <f>C6</f>
        <v>FY 2018-19</v>
      </c>
      <c r="D16" s="86" t="s">
        <v>366</v>
      </c>
      <c r="E16" s="86" t="str">
        <f>E6</f>
        <v>FY 2019-20</v>
      </c>
      <c r="F16" s="86" t="s">
        <v>366</v>
      </c>
      <c r="G16" s="86" t="str">
        <f>G6</f>
        <v>FY 2020-21</v>
      </c>
      <c r="H16" s="86" t="s">
        <v>366</v>
      </c>
      <c r="I16" s="86" t="str">
        <f>I6</f>
        <v>FY 2021-22</v>
      </c>
      <c r="J16" s="86" t="s">
        <v>366</v>
      </c>
      <c r="K16" s="86" t="str">
        <f>K6</f>
        <v>FY 2022-23</v>
      </c>
      <c r="L16" s="86" t="s">
        <v>366</v>
      </c>
      <c r="M16" s="86" t="str">
        <f>M6</f>
        <v>FY 2023-24</v>
      </c>
      <c r="N16" s="86" t="s">
        <v>366</v>
      </c>
      <c r="O16" s="86" t="str">
        <f>O6</f>
        <v>FY 2024-25</v>
      </c>
      <c r="P16" s="86" t="s">
        <v>366</v>
      </c>
      <c r="Q16" s="86" t="str">
        <f>Q6</f>
        <v>FY 2025-26</v>
      </c>
      <c r="R16" s="86" t="s">
        <v>366</v>
      </c>
      <c r="S16" s="86" t="str">
        <f>S6</f>
        <v>FY 2026-27</v>
      </c>
      <c r="T16" s="86" t="s">
        <v>366</v>
      </c>
      <c r="U16" s="86" t="str">
        <f>U6</f>
        <v>FY 2027-28</v>
      </c>
      <c r="V16" s="86" t="s">
        <v>366</v>
      </c>
    </row>
    <row r="17" spans="1:24" ht="12.75" customHeight="1">
      <c r="A17" s="1" t="s">
        <v>367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368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369</v>
      </c>
      <c r="B19" s="35"/>
      <c r="C19" s="200">
        <f>+C14-C20</f>
        <v>0</v>
      </c>
      <c r="D19" s="80">
        <f>IFERROR(C19/C$28,0)</f>
        <v>0</v>
      </c>
      <c r="E19" s="200">
        <f>+E14-E20</f>
        <v>0</v>
      </c>
      <c r="F19" s="80">
        <f>IFERROR(E19/E$28,0)</f>
        <v>0</v>
      </c>
      <c r="G19" s="111">
        <f>E19*1.02</f>
        <v>0</v>
      </c>
      <c r="H19" s="80">
        <f>IFERROR(G19/G$28,0)</f>
        <v>0</v>
      </c>
      <c r="I19" s="111">
        <f>G19*1.02</f>
        <v>0</v>
      </c>
      <c r="J19" s="80">
        <f>IFERROR(I19/I$28,0)</f>
        <v>0</v>
      </c>
      <c r="K19" s="111">
        <f>I19*1.02</f>
        <v>0</v>
      </c>
      <c r="L19" s="80">
        <f>IFERROR(K19/K$28,0)</f>
        <v>0</v>
      </c>
      <c r="M19" s="111">
        <f>K19*1.02</f>
        <v>0</v>
      </c>
      <c r="N19" s="80">
        <f>IFERROR(M19/M$28,0)</f>
        <v>0</v>
      </c>
      <c r="O19" s="111">
        <f>M19*1.02</f>
        <v>0</v>
      </c>
      <c r="P19" s="80">
        <f>IFERROR(O19/O$28,0)</f>
        <v>0</v>
      </c>
      <c r="Q19" s="111">
        <f>O19*1.02</f>
        <v>0</v>
      </c>
      <c r="R19" s="80">
        <f>IFERROR(Q19/Q$28,0)</f>
        <v>0</v>
      </c>
      <c r="S19" s="111">
        <f>Q19*1.02</f>
        <v>0</v>
      </c>
      <c r="T19" s="80">
        <f>IFERROR(S19/S$28,0)</f>
        <v>0</v>
      </c>
      <c r="U19" s="111">
        <f>S19*1.02</f>
        <v>0</v>
      </c>
      <c r="V19" s="80">
        <f>IFERROR(U19/U$28,0)</f>
        <v>0</v>
      </c>
    </row>
    <row r="20" spans="1:24" ht="12.75" customHeight="1">
      <c r="A20" s="2" t="s">
        <v>370</v>
      </c>
      <c r="B20" s="35"/>
      <c r="C20" s="111">
        <f>+C14*12.38%</f>
        <v>0</v>
      </c>
      <c r="D20" s="80">
        <f>IFERROR(C20/C$28,0)</f>
        <v>0</v>
      </c>
      <c r="E20" s="111">
        <f>+E14*53.27%</f>
        <v>0</v>
      </c>
      <c r="F20" s="80">
        <f>IFERROR(E20/E$28,0)</f>
        <v>0</v>
      </c>
      <c r="G20" s="111">
        <f t="shared" ref="G20:U21" si="0">E20*1.02</f>
        <v>0</v>
      </c>
      <c r="H20" s="80">
        <f>IFERROR(G20/G$28,0)</f>
        <v>0</v>
      </c>
      <c r="I20" s="111">
        <f t="shared" si="0"/>
        <v>0</v>
      </c>
      <c r="J20" s="80">
        <f>IFERROR(I20/I$28,0)</f>
        <v>0</v>
      </c>
      <c r="K20" s="111">
        <f t="shared" si="0"/>
        <v>0</v>
      </c>
      <c r="L20" s="80">
        <f>IFERROR(K20/K$28,0)</f>
        <v>0</v>
      </c>
      <c r="M20" s="111">
        <f t="shared" si="0"/>
        <v>0</v>
      </c>
      <c r="N20" s="80">
        <f>IFERROR(M20/M$28,0)</f>
        <v>0</v>
      </c>
      <c r="O20" s="111">
        <f t="shared" si="0"/>
        <v>0</v>
      </c>
      <c r="P20" s="80">
        <f>IFERROR(O20/O$28,0)</f>
        <v>0</v>
      </c>
      <c r="Q20" s="111">
        <f t="shared" si="0"/>
        <v>0</v>
      </c>
      <c r="R20" s="80">
        <f>IFERROR(Q20/Q$28,0)</f>
        <v>0</v>
      </c>
      <c r="S20" s="111">
        <f t="shared" si="0"/>
        <v>0</v>
      </c>
      <c r="T20" s="80">
        <f>IFERROR(S20/S$28,0)</f>
        <v>0</v>
      </c>
      <c r="U20" s="111">
        <f t="shared" si="0"/>
        <v>0</v>
      </c>
      <c r="V20" s="80">
        <f>IFERROR(U20/U$28,0)</f>
        <v>0</v>
      </c>
    </row>
    <row r="21" spans="1:24" ht="12.75" customHeight="1">
      <c r="A21" s="2" t="s">
        <v>371</v>
      </c>
      <c r="B21" s="35"/>
      <c r="C21" s="111"/>
      <c r="D21" s="80">
        <f>IFERROR(C21/C$28,0)</f>
        <v>0</v>
      </c>
      <c r="E21" s="111">
        <v>0</v>
      </c>
      <c r="F21" s="80">
        <f>IFERROR(E21/E$28,0)</f>
        <v>0</v>
      </c>
      <c r="G21" s="111">
        <f t="shared" si="0"/>
        <v>0</v>
      </c>
      <c r="H21" s="80">
        <f>IFERROR(G21/G$28,0)</f>
        <v>0</v>
      </c>
      <c r="I21" s="111">
        <f t="shared" si="0"/>
        <v>0</v>
      </c>
      <c r="J21" s="80">
        <f>IFERROR(I21/I$28,0)</f>
        <v>0</v>
      </c>
      <c r="K21" s="111">
        <f t="shared" si="0"/>
        <v>0</v>
      </c>
      <c r="L21" s="80">
        <f>IFERROR(K21/K$28,0)</f>
        <v>0</v>
      </c>
      <c r="M21" s="111">
        <f t="shared" si="0"/>
        <v>0</v>
      </c>
      <c r="N21" s="80">
        <f>IFERROR(M21/M$28,0)</f>
        <v>0</v>
      </c>
      <c r="O21" s="111">
        <f t="shared" si="0"/>
        <v>0</v>
      </c>
      <c r="P21" s="80">
        <f>IFERROR(O21/O$28,0)</f>
        <v>0</v>
      </c>
      <c r="Q21" s="111">
        <f t="shared" si="0"/>
        <v>0</v>
      </c>
      <c r="R21" s="80">
        <f>IFERROR(Q21/Q$28,0)</f>
        <v>0</v>
      </c>
      <c r="S21" s="111">
        <f t="shared" si="0"/>
        <v>0</v>
      </c>
      <c r="T21" s="80">
        <f>IFERROR(S21/S$28,0)</f>
        <v>0</v>
      </c>
      <c r="U21" s="111">
        <f t="shared" si="0"/>
        <v>0</v>
      </c>
      <c r="V21" s="80">
        <f>IFERROR(U21/U$28,0)</f>
        <v>0</v>
      </c>
    </row>
    <row r="22" spans="1:24" ht="12.75" customHeight="1">
      <c r="A22" s="2" t="s">
        <v>372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373</v>
      </c>
      <c r="B23" s="123"/>
      <c r="C23" s="79"/>
      <c r="D23" s="80">
        <f t="shared" ref="D23:D28" si="1">IFERROR(C23/C$28,0)</f>
        <v>0</v>
      </c>
      <c r="E23" s="79"/>
      <c r="F23" s="80">
        <f t="shared" ref="F23:F28" si="2">IFERROR(E23/E$28,0)</f>
        <v>0</v>
      </c>
      <c r="G23" s="79"/>
      <c r="H23" s="80">
        <f t="shared" ref="H23:H28" si="3">IFERROR(G23/G$28,0)</f>
        <v>0</v>
      </c>
      <c r="I23" s="79"/>
      <c r="J23" s="80">
        <f t="shared" ref="J23:J28" si="4">IFERROR(I23/I$28,0)</f>
        <v>0</v>
      </c>
      <c r="K23" s="79"/>
      <c r="L23" s="80">
        <f t="shared" ref="L23:L28" si="5">IFERROR(K23/K$28,0)</f>
        <v>0</v>
      </c>
      <c r="M23" s="79"/>
      <c r="N23" s="80">
        <f t="shared" ref="N23:N28" si="6">IFERROR(M23/M$28,0)</f>
        <v>0</v>
      </c>
      <c r="O23" s="79"/>
      <c r="P23" s="80">
        <f t="shared" ref="P23:P28" si="7">IFERROR(O23/O$28,0)</f>
        <v>0</v>
      </c>
      <c r="Q23" s="79"/>
      <c r="R23" s="80">
        <f t="shared" ref="R23:R28" si="8">IFERROR(Q23/Q$28,0)</f>
        <v>0</v>
      </c>
      <c r="S23" s="79"/>
      <c r="T23" s="80">
        <f t="shared" ref="T23:T28" si="9">IFERROR(S23/S$28,0)</f>
        <v>0</v>
      </c>
      <c r="U23" s="79"/>
      <c r="V23" s="80">
        <f t="shared" ref="V23:V28" si="10">IFERROR(U23/U$28,0)</f>
        <v>0</v>
      </c>
    </row>
    <row r="24" spans="1:24" ht="12.75" customHeight="1">
      <c r="A24" s="122" t="s">
        <v>374</v>
      </c>
      <c r="B24" s="123"/>
      <c r="C24" s="79"/>
      <c r="D24" s="80">
        <f t="shared" si="1"/>
        <v>0</v>
      </c>
      <c r="E24" s="79"/>
      <c r="F24" s="80">
        <f t="shared" si="2"/>
        <v>0</v>
      </c>
      <c r="G24" s="79"/>
      <c r="H24" s="80">
        <f t="shared" si="3"/>
        <v>0</v>
      </c>
      <c r="I24" s="79"/>
      <c r="J24" s="80">
        <f t="shared" si="4"/>
        <v>0</v>
      </c>
      <c r="K24" s="79"/>
      <c r="L24" s="80">
        <f t="shared" si="5"/>
        <v>0</v>
      </c>
      <c r="M24" s="79"/>
      <c r="N24" s="80">
        <f t="shared" si="6"/>
        <v>0</v>
      </c>
      <c r="O24" s="79"/>
      <c r="P24" s="80">
        <f t="shared" si="7"/>
        <v>0</v>
      </c>
      <c r="Q24" s="79"/>
      <c r="R24" s="80">
        <f t="shared" si="8"/>
        <v>0</v>
      </c>
      <c r="S24" s="79"/>
      <c r="T24" s="80">
        <f t="shared" si="9"/>
        <v>0</v>
      </c>
      <c r="U24" s="79"/>
      <c r="V24" s="80">
        <f t="shared" si="10"/>
        <v>0</v>
      </c>
      <c r="X24" s="79"/>
    </row>
    <row r="25" spans="1:24" ht="12.75" customHeight="1">
      <c r="A25" s="2" t="s">
        <v>375</v>
      </c>
      <c r="B25" s="35"/>
      <c r="C25" s="111"/>
      <c r="D25" s="80">
        <f t="shared" si="1"/>
        <v>0</v>
      </c>
      <c r="E25" s="111"/>
      <c r="F25" s="80">
        <f t="shared" si="2"/>
        <v>0</v>
      </c>
      <c r="G25" s="111"/>
      <c r="H25" s="80">
        <f t="shared" si="3"/>
        <v>0</v>
      </c>
      <c r="I25" s="111"/>
      <c r="J25" s="80">
        <f t="shared" si="4"/>
        <v>0</v>
      </c>
      <c r="K25" s="111"/>
      <c r="L25" s="80">
        <f t="shared" si="5"/>
        <v>0</v>
      </c>
      <c r="M25" s="111"/>
      <c r="N25" s="80">
        <f t="shared" si="6"/>
        <v>0</v>
      </c>
      <c r="O25" s="111"/>
      <c r="P25" s="80">
        <f t="shared" si="7"/>
        <v>0</v>
      </c>
      <c r="Q25" s="111"/>
      <c r="R25" s="80">
        <f t="shared" si="8"/>
        <v>0</v>
      </c>
      <c r="S25" s="111"/>
      <c r="T25" s="80">
        <f t="shared" si="9"/>
        <v>0</v>
      </c>
      <c r="U25" s="111"/>
      <c r="V25" s="80">
        <f t="shared" si="10"/>
        <v>0</v>
      </c>
      <c r="X25" s="79"/>
    </row>
    <row r="26" spans="1:24" ht="12.75" customHeight="1">
      <c r="A26" s="122" t="s">
        <v>376</v>
      </c>
      <c r="B26" s="35"/>
      <c r="C26" s="79"/>
      <c r="D26" s="80">
        <f t="shared" si="1"/>
        <v>0</v>
      </c>
      <c r="E26" s="79"/>
      <c r="F26" s="80">
        <f t="shared" si="2"/>
        <v>0</v>
      </c>
      <c r="G26" s="79"/>
      <c r="H26" s="80">
        <f t="shared" si="3"/>
        <v>0</v>
      </c>
      <c r="I26" s="79"/>
      <c r="J26" s="80">
        <f t="shared" si="4"/>
        <v>0</v>
      </c>
      <c r="K26" s="79"/>
      <c r="L26" s="80">
        <f t="shared" si="5"/>
        <v>0</v>
      </c>
      <c r="M26" s="79"/>
      <c r="N26" s="80">
        <f t="shared" si="6"/>
        <v>0</v>
      </c>
      <c r="O26" s="79"/>
      <c r="P26" s="80">
        <f t="shared" si="7"/>
        <v>0</v>
      </c>
      <c r="Q26" s="79"/>
      <c r="R26" s="80">
        <f t="shared" si="8"/>
        <v>0</v>
      </c>
      <c r="S26" s="79"/>
      <c r="T26" s="80">
        <f t="shared" si="9"/>
        <v>0</v>
      </c>
      <c r="U26" s="79"/>
      <c r="V26" s="80">
        <f t="shared" si="10"/>
        <v>0</v>
      </c>
    </row>
    <row r="27" spans="1:24" ht="12.75" customHeight="1">
      <c r="A27" s="2" t="s">
        <v>468</v>
      </c>
      <c r="B27" s="35"/>
      <c r="C27" s="112">
        <f>250000*0.12</f>
        <v>30000</v>
      </c>
      <c r="D27" s="80">
        <f t="shared" si="1"/>
        <v>1</v>
      </c>
      <c r="E27" s="112">
        <f>+C27*1.02</f>
        <v>30600</v>
      </c>
      <c r="F27" s="80">
        <f t="shared" si="2"/>
        <v>1</v>
      </c>
      <c r="G27" s="112">
        <f>+E27*1.02</f>
        <v>31212</v>
      </c>
      <c r="H27" s="80">
        <f t="shared" si="3"/>
        <v>1</v>
      </c>
      <c r="I27" s="112">
        <f>+G27*1.02</f>
        <v>31836.240000000002</v>
      </c>
      <c r="J27" s="80">
        <f t="shared" si="4"/>
        <v>1</v>
      </c>
      <c r="K27" s="112">
        <f>+I27*1.02</f>
        <v>32472.964800000002</v>
      </c>
      <c r="L27" s="80">
        <f t="shared" si="5"/>
        <v>1</v>
      </c>
      <c r="M27" s="112">
        <f>+K27*1.02</f>
        <v>33122.424096000002</v>
      </c>
      <c r="N27" s="80">
        <f t="shared" si="6"/>
        <v>1</v>
      </c>
      <c r="O27" s="112">
        <f>+M27*1.02</f>
        <v>33784.872577920003</v>
      </c>
      <c r="P27" s="80">
        <f t="shared" si="7"/>
        <v>1</v>
      </c>
      <c r="Q27" s="112">
        <f>+O27*1.02</f>
        <v>34460.570029478404</v>
      </c>
      <c r="R27" s="80">
        <f t="shared" si="8"/>
        <v>1</v>
      </c>
      <c r="S27" s="112">
        <f>+Q27*1.02</f>
        <v>35149.781430067975</v>
      </c>
      <c r="T27" s="80">
        <f t="shared" si="9"/>
        <v>1</v>
      </c>
      <c r="U27" s="112">
        <f>+S27*1.02</f>
        <v>35852.777058669337</v>
      </c>
      <c r="V27" s="80">
        <f t="shared" si="10"/>
        <v>1</v>
      </c>
    </row>
    <row r="28" spans="1:24" ht="12.75" customHeight="1">
      <c r="A28" s="1" t="s">
        <v>378</v>
      </c>
      <c r="B28" s="53"/>
      <c r="C28" s="82">
        <f>SUM(C19:C27)</f>
        <v>30000</v>
      </c>
      <c r="D28" s="83">
        <f t="shared" si="1"/>
        <v>1</v>
      </c>
      <c r="E28" s="82">
        <f>SUM(E19:E27)</f>
        <v>30600</v>
      </c>
      <c r="F28" s="83">
        <f t="shared" si="2"/>
        <v>1</v>
      </c>
      <c r="G28" s="82">
        <f>SUM(G19:G27)</f>
        <v>31212</v>
      </c>
      <c r="H28" s="83">
        <f t="shared" si="3"/>
        <v>1</v>
      </c>
      <c r="I28" s="82">
        <f>SUM(I19:I27)</f>
        <v>31836.240000000002</v>
      </c>
      <c r="J28" s="83">
        <f t="shared" si="4"/>
        <v>1</v>
      </c>
      <c r="K28" s="82">
        <f>SUM(K19:K27)</f>
        <v>32472.964800000002</v>
      </c>
      <c r="L28" s="83">
        <f t="shared" si="5"/>
        <v>1</v>
      </c>
      <c r="M28" s="82">
        <f>SUM(M19:M27)</f>
        <v>33122.424096000002</v>
      </c>
      <c r="N28" s="83">
        <f t="shared" si="6"/>
        <v>1</v>
      </c>
      <c r="O28" s="82">
        <f>SUM(O19:O27)</f>
        <v>33784.872577920003</v>
      </c>
      <c r="P28" s="83">
        <f t="shared" si="7"/>
        <v>1</v>
      </c>
      <c r="Q28" s="82">
        <f>SUM(Q19:Q27)</f>
        <v>34460.570029478404</v>
      </c>
      <c r="R28" s="83">
        <f t="shared" si="8"/>
        <v>1</v>
      </c>
      <c r="S28" s="82">
        <f>SUM(S19:S27)</f>
        <v>35149.781430067975</v>
      </c>
      <c r="T28" s="83">
        <f t="shared" si="9"/>
        <v>1</v>
      </c>
      <c r="U28" s="82">
        <f>SUM(U19:U27)</f>
        <v>35852.777058669337</v>
      </c>
      <c r="V28" s="83">
        <f t="shared" si="10"/>
        <v>1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379</v>
      </c>
      <c r="B30" s="53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380</v>
      </c>
      <c r="B31" s="35"/>
      <c r="C31" s="199">
        <f>$C$30*C14</f>
        <v>0</v>
      </c>
      <c r="D31" s="80">
        <f>IFERROR(C31/C$28,0)</f>
        <v>0</v>
      </c>
      <c r="E31" s="199">
        <f>$C$30*E14</f>
        <v>0</v>
      </c>
      <c r="F31" s="80">
        <f>IFERROR(E31/E$28,0)</f>
        <v>0</v>
      </c>
      <c r="G31" s="199">
        <f>$C$30*G14</f>
        <v>0</v>
      </c>
      <c r="H31" s="80">
        <f>IFERROR(G31/G$28,0)</f>
        <v>0</v>
      </c>
      <c r="I31" s="199">
        <f>$C$30*I14</f>
        <v>0</v>
      </c>
      <c r="J31" s="80">
        <f>IFERROR(I31/I$28,0)</f>
        <v>0</v>
      </c>
      <c r="K31" s="199">
        <f>$C$30*K14</f>
        <v>0</v>
      </c>
      <c r="L31" s="80">
        <f>IFERROR(K31/K$28,0)</f>
        <v>0</v>
      </c>
      <c r="M31" s="199">
        <f>$C$30*M14</f>
        <v>0</v>
      </c>
      <c r="N31" s="80">
        <f>IFERROR(M31/M$28,0)</f>
        <v>0</v>
      </c>
      <c r="O31" s="199">
        <f>$C$30*O14</f>
        <v>0</v>
      </c>
      <c r="P31" s="80">
        <f>IFERROR(O31/O$28,0)</f>
        <v>0</v>
      </c>
      <c r="Q31" s="199">
        <f>$C$30*Q14</f>
        <v>0</v>
      </c>
      <c r="R31" s="80">
        <f>IFERROR(Q31/Q$28,0)</f>
        <v>0</v>
      </c>
      <c r="S31" s="199">
        <f>$C$30*S14</f>
        <v>0</v>
      </c>
      <c r="T31" s="80">
        <f>IFERROR(S31/S$28,0)</f>
        <v>0</v>
      </c>
      <c r="U31" s="199">
        <f>$C$30*U14</f>
        <v>0</v>
      </c>
      <c r="V31" s="80">
        <f>IFERROR(U31/U$28,0)</f>
        <v>0</v>
      </c>
    </row>
    <row r="32" spans="1:24" ht="12.75" customHeight="1">
      <c r="A32" s="8" t="s">
        <v>381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382</v>
      </c>
      <c r="B33" s="53"/>
      <c r="C33" s="82">
        <f>SUM(C31:C32)</f>
        <v>0</v>
      </c>
      <c r="D33" s="83">
        <f>IFERROR(C33/C$28,0)</f>
        <v>0</v>
      </c>
      <c r="E33" s="82">
        <f>SUM(E31:E32)</f>
        <v>0</v>
      </c>
      <c r="F33" s="83">
        <f>IFERROR(E33/E$28,0)</f>
        <v>0</v>
      </c>
      <c r="G33" s="82">
        <f>SUM(G31:G32)</f>
        <v>0</v>
      </c>
      <c r="H33" s="83">
        <f>IFERROR(G33/G$28,0)</f>
        <v>0</v>
      </c>
      <c r="I33" s="82">
        <f>SUM(I31:I32)</f>
        <v>0</v>
      </c>
      <c r="J33" s="83">
        <f>IFERROR(I33/I$28,0)</f>
        <v>0</v>
      </c>
      <c r="K33" s="82">
        <f>SUM(K31:K32)</f>
        <v>0</v>
      </c>
      <c r="L33" s="83">
        <f>IFERROR(K33/K$28,0)</f>
        <v>0</v>
      </c>
      <c r="M33" s="82">
        <f>SUM(M31:M32)</f>
        <v>0</v>
      </c>
      <c r="N33" s="83">
        <f>IFERROR(M33/M$28,0)</f>
        <v>0</v>
      </c>
      <c r="O33" s="82">
        <f>SUM(O31:O32)</f>
        <v>0</v>
      </c>
      <c r="P33" s="83">
        <f>IFERROR(O33/O$28,0)</f>
        <v>0</v>
      </c>
      <c r="Q33" s="82">
        <f>SUM(Q31:Q32)</f>
        <v>0</v>
      </c>
      <c r="R33" s="83">
        <f>IFERROR(Q33/Q$28,0)</f>
        <v>0</v>
      </c>
      <c r="S33" s="82">
        <f>SUM(S31:S32)</f>
        <v>0</v>
      </c>
      <c r="T33" s="83">
        <f>IFERROR(S33/S$28,0)</f>
        <v>0</v>
      </c>
      <c r="U33" s="82">
        <f>SUM(U31:U32)</f>
        <v>0</v>
      </c>
      <c r="V33" s="83">
        <f>IFERROR(U33/U$28,0)</f>
        <v>0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383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384</v>
      </c>
      <c r="B36" s="35"/>
      <c r="C36" s="113"/>
      <c r="D36" s="80">
        <f t="shared" ref="D36:D46" si="11">IFERROR(C36/C$28,0)</f>
        <v>0</v>
      </c>
      <c r="E36" s="178"/>
      <c r="F36" s="80">
        <f t="shared" ref="F36:F46" si="12">IFERROR(E36/E$28,0)</f>
        <v>0</v>
      </c>
      <c r="G36" s="178"/>
      <c r="H36" s="80">
        <f t="shared" ref="H36:H46" si="13">IFERROR(G36/G$28,0)</f>
        <v>0</v>
      </c>
      <c r="I36" s="178"/>
      <c r="J36" s="80">
        <f t="shared" ref="J36:J46" si="14">IFERROR(I36/I$28,0)</f>
        <v>0</v>
      </c>
      <c r="K36" s="178"/>
      <c r="L36" s="80">
        <f t="shared" ref="L36:L46" si="15">IFERROR(K36/K$28,0)</f>
        <v>0</v>
      </c>
      <c r="M36" s="178"/>
      <c r="N36" s="80">
        <f t="shared" ref="N36:N46" si="16">IFERROR(M36/M$28,0)</f>
        <v>0</v>
      </c>
      <c r="O36" s="178"/>
      <c r="P36" s="80">
        <f t="shared" ref="P36:P46" si="17">IFERROR(O36/O$28,0)</f>
        <v>0</v>
      </c>
      <c r="Q36" s="178"/>
      <c r="R36" s="80">
        <f t="shared" ref="R36:R46" si="18">IFERROR(Q36/Q$28,0)</f>
        <v>0</v>
      </c>
      <c r="S36" s="178"/>
      <c r="T36" s="80">
        <f t="shared" ref="T36:T46" si="19">IFERROR(S36/S$28,0)</f>
        <v>0</v>
      </c>
      <c r="U36" s="178"/>
      <c r="V36" s="80">
        <f t="shared" ref="V36:V46" si="20">IFERROR(U36/U$28,0)</f>
        <v>0</v>
      </c>
    </row>
    <row r="37" spans="1:22" ht="12.75" customHeight="1">
      <c r="A37" s="2" t="s">
        <v>385</v>
      </c>
      <c r="B37" s="35"/>
      <c r="C37" s="113"/>
      <c r="D37" s="80">
        <f t="shared" si="11"/>
        <v>0</v>
      </c>
      <c r="E37" s="178">
        <f>+C37*1.112</f>
        <v>0</v>
      </c>
      <c r="F37" s="80">
        <f t="shared" si="12"/>
        <v>0</v>
      </c>
      <c r="G37" s="178">
        <f>+E37*1.035</f>
        <v>0</v>
      </c>
      <c r="H37" s="80">
        <f t="shared" si="13"/>
        <v>0</v>
      </c>
      <c r="I37" s="178">
        <f>+G37*1.032</f>
        <v>0</v>
      </c>
      <c r="J37" s="80">
        <f t="shared" si="14"/>
        <v>0</v>
      </c>
      <c r="K37" s="178">
        <f>+I37*1.025</f>
        <v>0</v>
      </c>
      <c r="L37" s="80">
        <f t="shared" si="15"/>
        <v>0</v>
      </c>
      <c r="M37" s="178">
        <f>+K37*1.025</f>
        <v>0</v>
      </c>
      <c r="N37" s="80">
        <f t="shared" si="16"/>
        <v>0</v>
      </c>
      <c r="O37" s="178">
        <f>+M37*1.025</f>
        <v>0</v>
      </c>
      <c r="P37" s="80">
        <f t="shared" si="17"/>
        <v>0</v>
      </c>
      <c r="Q37" s="178">
        <f>+O37*1.025</f>
        <v>0</v>
      </c>
      <c r="R37" s="80">
        <f t="shared" si="18"/>
        <v>0</v>
      </c>
      <c r="S37" s="178">
        <f>+Q37*1.025</f>
        <v>0</v>
      </c>
      <c r="T37" s="80">
        <f t="shared" si="19"/>
        <v>0</v>
      </c>
      <c r="U37" s="178">
        <f>+S37*1.025</f>
        <v>0</v>
      </c>
      <c r="V37" s="80">
        <f t="shared" si="20"/>
        <v>0</v>
      </c>
    </row>
    <row r="38" spans="1:22" ht="12.75" customHeight="1">
      <c r="A38" s="2" t="s">
        <v>386</v>
      </c>
      <c r="B38" s="35"/>
      <c r="C38" s="113"/>
      <c r="D38" s="80">
        <f t="shared" si="11"/>
        <v>0</v>
      </c>
      <c r="E38" s="178">
        <f t="shared" ref="E38:E39" si="21">+C38*1.112</f>
        <v>0</v>
      </c>
      <c r="F38" s="80">
        <f t="shared" si="12"/>
        <v>0</v>
      </c>
      <c r="G38" s="178">
        <f>+E38*1.035</f>
        <v>0</v>
      </c>
      <c r="H38" s="80">
        <f t="shared" si="13"/>
        <v>0</v>
      </c>
      <c r="I38" s="178">
        <f>+G38*1.032</f>
        <v>0</v>
      </c>
      <c r="J38" s="80">
        <f t="shared" si="14"/>
        <v>0</v>
      </c>
      <c r="K38" s="178">
        <f>+I38*1.025</f>
        <v>0</v>
      </c>
      <c r="L38" s="80">
        <f t="shared" si="15"/>
        <v>0</v>
      </c>
      <c r="M38" s="178">
        <f>+K38*1.025</f>
        <v>0</v>
      </c>
      <c r="N38" s="80">
        <f t="shared" si="16"/>
        <v>0</v>
      </c>
      <c r="O38" s="178">
        <f>+M38*1.025</f>
        <v>0</v>
      </c>
      <c r="P38" s="80">
        <f t="shared" si="17"/>
        <v>0</v>
      </c>
      <c r="Q38" s="178">
        <f>+O38*1.025</f>
        <v>0</v>
      </c>
      <c r="R38" s="80">
        <f t="shared" si="18"/>
        <v>0</v>
      </c>
      <c r="S38" s="178">
        <f>+Q38*1.025</f>
        <v>0</v>
      </c>
      <c r="T38" s="80">
        <f t="shared" si="19"/>
        <v>0</v>
      </c>
      <c r="U38" s="178">
        <f>+S38*1.025</f>
        <v>0</v>
      </c>
      <c r="V38" s="80">
        <f t="shared" si="20"/>
        <v>0</v>
      </c>
    </row>
    <row r="39" spans="1:22" ht="12.75" customHeight="1">
      <c r="A39" s="2" t="s">
        <v>387</v>
      </c>
      <c r="B39" s="35"/>
      <c r="C39" s="113"/>
      <c r="D39" s="80">
        <f t="shared" si="11"/>
        <v>0</v>
      </c>
      <c r="E39" s="178">
        <f t="shared" si="21"/>
        <v>0</v>
      </c>
      <c r="F39" s="80">
        <f t="shared" si="12"/>
        <v>0</v>
      </c>
      <c r="G39" s="178">
        <f>+E39*1.035</f>
        <v>0</v>
      </c>
      <c r="H39" s="80">
        <f t="shared" si="13"/>
        <v>0</v>
      </c>
      <c r="I39" s="178">
        <f>+G39*1.032</f>
        <v>0</v>
      </c>
      <c r="J39" s="80">
        <f t="shared" si="14"/>
        <v>0</v>
      </c>
      <c r="K39" s="178">
        <f>+I39*1.025</f>
        <v>0</v>
      </c>
      <c r="L39" s="80">
        <f t="shared" si="15"/>
        <v>0</v>
      </c>
      <c r="M39" s="178">
        <f>+K39*1.025</f>
        <v>0</v>
      </c>
      <c r="N39" s="80">
        <f t="shared" si="16"/>
        <v>0</v>
      </c>
      <c r="O39" s="178">
        <f>+M39*1.025</f>
        <v>0</v>
      </c>
      <c r="P39" s="80">
        <f t="shared" si="17"/>
        <v>0</v>
      </c>
      <c r="Q39" s="178">
        <f>+O39*1.025</f>
        <v>0</v>
      </c>
      <c r="R39" s="80">
        <f t="shared" si="18"/>
        <v>0</v>
      </c>
      <c r="S39" s="178">
        <f>+Q39*1.025</f>
        <v>0</v>
      </c>
      <c r="T39" s="80">
        <f t="shared" si="19"/>
        <v>0</v>
      </c>
      <c r="U39" s="178">
        <f>+S39*1.025</f>
        <v>0</v>
      </c>
      <c r="V39" s="80">
        <f t="shared" si="20"/>
        <v>0</v>
      </c>
    </row>
    <row r="40" spans="1:22" ht="12.75" customHeight="1">
      <c r="A40" s="2" t="s">
        <v>388</v>
      </c>
      <c r="B40" s="35"/>
      <c r="C40" s="113">
        <f>C36*0.124</f>
        <v>0</v>
      </c>
      <c r="D40" s="80">
        <f t="shared" si="11"/>
        <v>0</v>
      </c>
      <c r="E40" s="113">
        <f>E36*0.124</f>
        <v>0</v>
      </c>
      <c r="F40" s="80">
        <f t="shared" si="12"/>
        <v>0</v>
      </c>
      <c r="G40" s="113">
        <f>G36*0.124</f>
        <v>0</v>
      </c>
      <c r="H40" s="80">
        <f t="shared" si="13"/>
        <v>0</v>
      </c>
      <c r="I40" s="113">
        <f>I36*0.124</f>
        <v>0</v>
      </c>
      <c r="J40" s="80">
        <f t="shared" si="14"/>
        <v>0</v>
      </c>
      <c r="K40" s="113">
        <f>K36*0.124</f>
        <v>0</v>
      </c>
      <c r="L40" s="80">
        <f t="shared" si="15"/>
        <v>0</v>
      </c>
      <c r="M40" s="113">
        <f>M36*0.124</f>
        <v>0</v>
      </c>
      <c r="N40" s="80">
        <f t="shared" si="16"/>
        <v>0</v>
      </c>
      <c r="O40" s="113">
        <f>O36*0.124</f>
        <v>0</v>
      </c>
      <c r="P40" s="80">
        <f t="shared" si="17"/>
        <v>0</v>
      </c>
      <c r="Q40" s="113">
        <f>Q36*0.124</f>
        <v>0</v>
      </c>
      <c r="R40" s="80">
        <f t="shared" si="18"/>
        <v>0</v>
      </c>
      <c r="S40" s="113">
        <f>S36*0.124</f>
        <v>0</v>
      </c>
      <c r="T40" s="80">
        <f t="shared" si="19"/>
        <v>0</v>
      </c>
      <c r="U40" s="113">
        <f>U36*0.124</f>
        <v>0</v>
      </c>
      <c r="V40" s="80">
        <f t="shared" si="20"/>
        <v>0</v>
      </c>
    </row>
    <row r="41" spans="1:22" ht="12.75" customHeight="1">
      <c r="A41" s="2" t="s">
        <v>389</v>
      </c>
      <c r="B41" s="35"/>
      <c r="C41" s="113">
        <f>C37*0.124</f>
        <v>0</v>
      </c>
      <c r="D41" s="80">
        <f t="shared" si="11"/>
        <v>0</v>
      </c>
      <c r="E41" s="113">
        <f>E37*0.124</f>
        <v>0</v>
      </c>
      <c r="F41" s="80">
        <f t="shared" si="12"/>
        <v>0</v>
      </c>
      <c r="G41" s="113">
        <f>G37*0.124</f>
        <v>0</v>
      </c>
      <c r="H41" s="80">
        <f t="shared" si="13"/>
        <v>0</v>
      </c>
      <c r="I41" s="113">
        <f>I37*0.124</f>
        <v>0</v>
      </c>
      <c r="J41" s="80">
        <f t="shared" si="14"/>
        <v>0</v>
      </c>
      <c r="K41" s="113">
        <f>K37*0.124</f>
        <v>0</v>
      </c>
      <c r="L41" s="80">
        <f t="shared" si="15"/>
        <v>0</v>
      </c>
      <c r="M41" s="113">
        <f>M37*0.124</f>
        <v>0</v>
      </c>
      <c r="N41" s="80">
        <f t="shared" si="16"/>
        <v>0</v>
      </c>
      <c r="O41" s="113">
        <f>O37*0.124</f>
        <v>0</v>
      </c>
      <c r="P41" s="80">
        <f t="shared" si="17"/>
        <v>0</v>
      </c>
      <c r="Q41" s="113">
        <f>Q37*0.124</f>
        <v>0</v>
      </c>
      <c r="R41" s="80">
        <f t="shared" si="18"/>
        <v>0</v>
      </c>
      <c r="S41" s="113">
        <f>S37*0.124</f>
        <v>0</v>
      </c>
      <c r="T41" s="80">
        <f t="shared" si="19"/>
        <v>0</v>
      </c>
      <c r="U41" s="113">
        <f>U37*0.124</f>
        <v>0</v>
      </c>
      <c r="V41" s="80">
        <f t="shared" si="20"/>
        <v>0</v>
      </c>
    </row>
    <row r="42" spans="1:22" ht="12.75" customHeight="1">
      <c r="A42" s="2" t="s">
        <v>390</v>
      </c>
      <c r="B42" s="35"/>
      <c r="C42" s="113"/>
      <c r="D42" s="80">
        <f t="shared" si="11"/>
        <v>0</v>
      </c>
      <c r="E42" s="178"/>
      <c r="F42" s="80">
        <f t="shared" si="12"/>
        <v>0</v>
      </c>
      <c r="G42" s="178"/>
      <c r="H42" s="80">
        <f t="shared" si="13"/>
        <v>0</v>
      </c>
      <c r="I42" s="178"/>
      <c r="J42" s="80">
        <f t="shared" si="14"/>
        <v>0</v>
      </c>
      <c r="K42" s="178"/>
      <c r="L42" s="80">
        <f t="shared" si="15"/>
        <v>0</v>
      </c>
      <c r="M42" s="178"/>
      <c r="N42" s="80">
        <f t="shared" si="16"/>
        <v>0</v>
      </c>
      <c r="O42" s="178"/>
      <c r="P42" s="80">
        <f t="shared" si="17"/>
        <v>0</v>
      </c>
      <c r="Q42" s="178"/>
      <c r="R42" s="80">
        <f t="shared" si="18"/>
        <v>0</v>
      </c>
      <c r="S42" s="178"/>
      <c r="T42" s="80">
        <f t="shared" si="19"/>
        <v>0</v>
      </c>
      <c r="U42" s="178"/>
      <c r="V42" s="80">
        <f t="shared" si="20"/>
        <v>0</v>
      </c>
    </row>
    <row r="43" spans="1:22" ht="12.75" customHeight="1">
      <c r="A43" s="2" t="s">
        <v>391</v>
      </c>
      <c r="B43" s="35"/>
      <c r="C43" s="113"/>
      <c r="D43" s="80">
        <f t="shared" si="11"/>
        <v>0</v>
      </c>
      <c r="E43" s="178"/>
      <c r="F43" s="80">
        <f t="shared" si="12"/>
        <v>0</v>
      </c>
      <c r="G43" s="178"/>
      <c r="H43" s="80">
        <f t="shared" si="13"/>
        <v>0</v>
      </c>
      <c r="I43" s="178"/>
      <c r="J43" s="80">
        <f t="shared" si="14"/>
        <v>0</v>
      </c>
      <c r="K43" s="178"/>
      <c r="L43" s="80">
        <f t="shared" si="15"/>
        <v>0</v>
      </c>
      <c r="M43" s="178"/>
      <c r="N43" s="80">
        <f t="shared" si="16"/>
        <v>0</v>
      </c>
      <c r="O43" s="178"/>
      <c r="P43" s="80">
        <f t="shared" si="17"/>
        <v>0</v>
      </c>
      <c r="Q43" s="178"/>
      <c r="R43" s="80">
        <f t="shared" si="18"/>
        <v>0</v>
      </c>
      <c r="S43" s="178"/>
      <c r="T43" s="80">
        <f t="shared" si="19"/>
        <v>0</v>
      </c>
      <c r="U43" s="178"/>
      <c r="V43" s="80">
        <f t="shared" si="20"/>
        <v>0</v>
      </c>
    </row>
    <row r="44" spans="1:22" ht="12.75" customHeight="1">
      <c r="A44" s="2" t="s">
        <v>392</v>
      </c>
      <c r="B44" s="35"/>
      <c r="C44" s="113"/>
      <c r="D44" s="80">
        <f t="shared" si="11"/>
        <v>0</v>
      </c>
      <c r="E44" s="178"/>
      <c r="F44" s="80">
        <f t="shared" si="12"/>
        <v>0</v>
      </c>
      <c r="G44" s="178"/>
      <c r="H44" s="80">
        <f t="shared" si="13"/>
        <v>0</v>
      </c>
      <c r="I44" s="178"/>
      <c r="J44" s="80">
        <f t="shared" si="14"/>
        <v>0</v>
      </c>
      <c r="K44" s="178"/>
      <c r="L44" s="80">
        <f t="shared" si="15"/>
        <v>0</v>
      </c>
      <c r="M44" s="178"/>
      <c r="N44" s="80">
        <f t="shared" si="16"/>
        <v>0</v>
      </c>
      <c r="O44" s="178"/>
      <c r="P44" s="80">
        <f t="shared" si="17"/>
        <v>0</v>
      </c>
      <c r="Q44" s="178"/>
      <c r="R44" s="80">
        <f t="shared" si="18"/>
        <v>0</v>
      </c>
      <c r="S44" s="178"/>
      <c r="T44" s="80">
        <f t="shared" si="19"/>
        <v>0</v>
      </c>
      <c r="U44" s="178"/>
      <c r="V44" s="80">
        <f t="shared" si="20"/>
        <v>0</v>
      </c>
    </row>
    <row r="45" spans="1:22" ht="12.75" customHeight="1">
      <c r="A45" s="2" t="s">
        <v>393</v>
      </c>
      <c r="B45" s="35"/>
      <c r="C45" s="114">
        <f>SUM(C36:C39)*0.094</f>
        <v>0</v>
      </c>
      <c r="D45" s="80">
        <f t="shared" si="11"/>
        <v>0</v>
      </c>
      <c r="E45" s="114">
        <f>SUM(E36:E39)*0.094</f>
        <v>0</v>
      </c>
      <c r="F45" s="80">
        <f t="shared" si="12"/>
        <v>0</v>
      </c>
      <c r="G45" s="114">
        <f>SUM(G36:G39)*0.094</f>
        <v>0</v>
      </c>
      <c r="H45" s="80">
        <f t="shared" si="13"/>
        <v>0</v>
      </c>
      <c r="I45" s="114">
        <f>SUM(I36:I39)*0.094</f>
        <v>0</v>
      </c>
      <c r="J45" s="80">
        <f t="shared" si="14"/>
        <v>0</v>
      </c>
      <c r="K45" s="114">
        <f>SUM(K36:K39)*0.094</f>
        <v>0</v>
      </c>
      <c r="L45" s="80">
        <f t="shared" si="15"/>
        <v>0</v>
      </c>
      <c r="M45" s="114">
        <f>SUM(M36:M39)*0.094</f>
        <v>0</v>
      </c>
      <c r="N45" s="80">
        <f t="shared" si="16"/>
        <v>0</v>
      </c>
      <c r="O45" s="114">
        <f>SUM(O36:O39)*0.094</f>
        <v>0</v>
      </c>
      <c r="P45" s="80">
        <f t="shared" si="17"/>
        <v>0</v>
      </c>
      <c r="Q45" s="114">
        <f>SUM(Q36:Q39)*0.094</f>
        <v>0</v>
      </c>
      <c r="R45" s="80">
        <f t="shared" si="18"/>
        <v>0</v>
      </c>
      <c r="S45" s="114">
        <f>SUM(S36:S39)*0.094</f>
        <v>0</v>
      </c>
      <c r="T45" s="80">
        <f t="shared" si="19"/>
        <v>0</v>
      </c>
      <c r="U45" s="114">
        <f>SUM(U36:U39)*0.094</f>
        <v>0</v>
      </c>
      <c r="V45" s="80">
        <f t="shared" si="20"/>
        <v>0</v>
      </c>
    </row>
    <row r="46" spans="1:22" ht="12.75" customHeight="1">
      <c r="A46" s="1" t="s">
        <v>394</v>
      </c>
      <c r="B46" s="53"/>
      <c r="C46" s="82">
        <f>SUM(C36:C45)</f>
        <v>0</v>
      </c>
      <c r="D46" s="83">
        <f t="shared" si="11"/>
        <v>0</v>
      </c>
      <c r="E46" s="82">
        <f>SUM(E36:E45)</f>
        <v>0</v>
      </c>
      <c r="F46" s="83">
        <f t="shared" si="12"/>
        <v>0</v>
      </c>
      <c r="G46" s="82">
        <f>SUM(G36:G45)</f>
        <v>0</v>
      </c>
      <c r="H46" s="83">
        <f t="shared" si="13"/>
        <v>0</v>
      </c>
      <c r="I46" s="82">
        <f>SUM(I36:I45)</f>
        <v>0</v>
      </c>
      <c r="J46" s="83">
        <f t="shared" si="14"/>
        <v>0</v>
      </c>
      <c r="K46" s="82">
        <f>SUM(K36:K45)</f>
        <v>0</v>
      </c>
      <c r="L46" s="83">
        <f t="shared" si="15"/>
        <v>0</v>
      </c>
      <c r="M46" s="82">
        <f>SUM(M36:M45)</f>
        <v>0</v>
      </c>
      <c r="N46" s="83">
        <f t="shared" si="16"/>
        <v>0</v>
      </c>
      <c r="O46" s="82">
        <f>SUM(O36:O45)</f>
        <v>0</v>
      </c>
      <c r="P46" s="83">
        <f t="shared" si="17"/>
        <v>0</v>
      </c>
      <c r="Q46" s="82">
        <f>SUM(Q36:Q45)</f>
        <v>0</v>
      </c>
      <c r="R46" s="83">
        <f t="shared" si="18"/>
        <v>0</v>
      </c>
      <c r="S46" s="82">
        <f>SUM(S36:S45)</f>
        <v>0</v>
      </c>
      <c r="T46" s="83">
        <f t="shared" si="19"/>
        <v>0</v>
      </c>
      <c r="U46" s="82">
        <f>SUM(U36:U45)</f>
        <v>0</v>
      </c>
      <c r="V46" s="83">
        <f t="shared" si="20"/>
        <v>0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366</v>
      </c>
      <c r="E50" s="86" t="str">
        <f>E6</f>
        <v>FY 2019-20</v>
      </c>
      <c r="F50" s="86" t="s">
        <v>366</v>
      </c>
      <c r="G50" s="86" t="str">
        <f>G6</f>
        <v>FY 2020-21</v>
      </c>
      <c r="H50" s="86" t="s">
        <v>366</v>
      </c>
      <c r="I50" s="86" t="str">
        <f>I6</f>
        <v>FY 2021-22</v>
      </c>
      <c r="J50" s="86" t="s">
        <v>366</v>
      </c>
      <c r="K50" s="86" t="str">
        <f>K6</f>
        <v>FY 2022-23</v>
      </c>
      <c r="L50" s="86" t="s">
        <v>366</v>
      </c>
      <c r="M50" s="86" t="str">
        <f>M6</f>
        <v>FY 2023-24</v>
      </c>
      <c r="N50" s="86" t="s">
        <v>366</v>
      </c>
      <c r="O50" s="86" t="str">
        <f>O6</f>
        <v>FY 2024-25</v>
      </c>
      <c r="P50" s="86" t="s">
        <v>366</v>
      </c>
      <c r="Q50" s="86" t="str">
        <f>Q6</f>
        <v>FY 2025-26</v>
      </c>
      <c r="R50" s="86" t="s">
        <v>366</v>
      </c>
      <c r="S50" s="86" t="str">
        <f>S6</f>
        <v>FY 2026-27</v>
      </c>
      <c r="T50" s="86" t="s">
        <v>366</v>
      </c>
      <c r="U50" s="86" t="str">
        <f>U6</f>
        <v>FY 2027-28</v>
      </c>
      <c r="V50" s="86" t="s">
        <v>366</v>
      </c>
    </row>
    <row r="51" spans="1:24" ht="12.75" customHeight="1">
      <c r="A51" s="1" t="s">
        <v>395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396</v>
      </c>
      <c r="B52" s="35"/>
      <c r="C52" s="178">
        <v>0</v>
      </c>
      <c r="D52" s="80">
        <f t="shared" ref="D52:D83" si="22">IFERROR(C52/C$28,0)</f>
        <v>0</v>
      </c>
      <c r="E52" s="178">
        <v>0</v>
      </c>
      <c r="F52" s="80">
        <f t="shared" ref="F52:F105" si="23">IFERROR(E52/E$28,0)</f>
        <v>0</v>
      </c>
      <c r="G52" s="178">
        <v>0</v>
      </c>
      <c r="H52" s="80">
        <f t="shared" ref="H52:H105" si="24">IFERROR(G52/G$28,0)</f>
        <v>0</v>
      </c>
      <c r="I52" s="178">
        <v>0</v>
      </c>
      <c r="J52" s="80">
        <f t="shared" ref="J52:J105" si="25">IFERROR(I52/I$28,0)</f>
        <v>0</v>
      </c>
      <c r="K52" s="178">
        <v>0</v>
      </c>
      <c r="L52" s="80">
        <f t="shared" ref="L52:L105" si="26">IFERROR(K52/K$28,0)</f>
        <v>0</v>
      </c>
      <c r="M52" s="178">
        <v>0</v>
      </c>
      <c r="N52" s="80">
        <f t="shared" ref="N52:N105" si="27">IFERROR(M52/M$28,0)</f>
        <v>0</v>
      </c>
      <c r="O52" s="178">
        <v>0</v>
      </c>
      <c r="P52" s="80">
        <f t="shared" ref="P52:P105" si="28">IFERROR(O52/O$28,0)</f>
        <v>0</v>
      </c>
      <c r="Q52" s="178">
        <v>0</v>
      </c>
      <c r="R52" s="80">
        <f t="shared" ref="R52:R105" si="29">IFERROR(Q52/Q$28,0)</f>
        <v>0</v>
      </c>
      <c r="S52" s="178">
        <v>0</v>
      </c>
      <c r="T52" s="80">
        <f t="shared" ref="T52:T105" si="30">IFERROR(S52/S$28,0)</f>
        <v>0</v>
      </c>
      <c r="U52" s="178">
        <v>0</v>
      </c>
      <c r="V52" s="80">
        <f t="shared" ref="V52:V105" si="31">IFERROR(U52/U$28,0)</f>
        <v>0</v>
      </c>
      <c r="X52" s="192"/>
    </row>
    <row r="53" spans="1:24" ht="12.75" customHeight="1">
      <c r="A53" s="2" t="s">
        <v>397</v>
      </c>
      <c r="B53" s="35"/>
      <c r="C53" s="178">
        <v>0</v>
      </c>
      <c r="D53" s="80">
        <f t="shared" si="22"/>
        <v>0</v>
      </c>
      <c r="E53" s="178">
        <v>0</v>
      </c>
      <c r="F53" s="80">
        <f t="shared" si="23"/>
        <v>0</v>
      </c>
      <c r="G53" s="178">
        <v>0</v>
      </c>
      <c r="H53" s="80">
        <f t="shared" si="24"/>
        <v>0</v>
      </c>
      <c r="I53" s="178">
        <v>0</v>
      </c>
      <c r="J53" s="80">
        <f t="shared" si="25"/>
        <v>0</v>
      </c>
      <c r="K53" s="178">
        <v>0</v>
      </c>
      <c r="L53" s="80">
        <f t="shared" si="26"/>
        <v>0</v>
      </c>
      <c r="M53" s="178">
        <v>0</v>
      </c>
      <c r="N53" s="80">
        <f t="shared" si="27"/>
        <v>0</v>
      </c>
      <c r="O53" s="178">
        <v>0</v>
      </c>
      <c r="P53" s="80">
        <f t="shared" si="28"/>
        <v>0</v>
      </c>
      <c r="Q53" s="178">
        <v>0</v>
      </c>
      <c r="R53" s="80">
        <f t="shared" si="29"/>
        <v>0</v>
      </c>
      <c r="S53" s="178">
        <v>0</v>
      </c>
      <c r="T53" s="80">
        <f t="shared" si="30"/>
        <v>0</v>
      </c>
      <c r="U53" s="178">
        <v>0</v>
      </c>
      <c r="V53" s="80">
        <f t="shared" si="31"/>
        <v>0</v>
      </c>
      <c r="X53" s="192"/>
    </row>
    <row r="54" spans="1:24" ht="12.75" customHeight="1">
      <c r="A54" s="2" t="s">
        <v>398</v>
      </c>
      <c r="B54" s="35"/>
      <c r="C54" s="178">
        <v>0</v>
      </c>
      <c r="D54" s="80">
        <f t="shared" si="22"/>
        <v>0</v>
      </c>
      <c r="E54" s="178">
        <v>0</v>
      </c>
      <c r="F54" s="80">
        <f t="shared" si="23"/>
        <v>0</v>
      </c>
      <c r="G54" s="178">
        <v>0</v>
      </c>
      <c r="H54" s="80">
        <f t="shared" si="24"/>
        <v>0</v>
      </c>
      <c r="I54" s="178">
        <v>0</v>
      </c>
      <c r="J54" s="80">
        <f t="shared" si="25"/>
        <v>0</v>
      </c>
      <c r="K54" s="178">
        <v>0</v>
      </c>
      <c r="L54" s="80">
        <f t="shared" si="26"/>
        <v>0</v>
      </c>
      <c r="M54" s="178">
        <v>0</v>
      </c>
      <c r="N54" s="80">
        <f t="shared" si="27"/>
        <v>0</v>
      </c>
      <c r="O54" s="178">
        <v>0</v>
      </c>
      <c r="P54" s="80">
        <f t="shared" si="28"/>
        <v>0</v>
      </c>
      <c r="Q54" s="178">
        <v>0</v>
      </c>
      <c r="R54" s="80">
        <f t="shared" si="29"/>
        <v>0</v>
      </c>
      <c r="S54" s="178">
        <v>0</v>
      </c>
      <c r="T54" s="80">
        <f t="shared" si="30"/>
        <v>0</v>
      </c>
      <c r="U54" s="178">
        <v>0</v>
      </c>
      <c r="V54" s="80">
        <f t="shared" si="31"/>
        <v>0</v>
      </c>
      <c r="X54" s="192"/>
    </row>
    <row r="55" spans="1:24" ht="12.75" customHeight="1">
      <c r="A55" s="2" t="s">
        <v>399</v>
      </c>
      <c r="B55" s="35"/>
      <c r="C55" s="178">
        <v>0</v>
      </c>
      <c r="D55" s="80">
        <f t="shared" si="22"/>
        <v>0</v>
      </c>
      <c r="E55" s="178">
        <v>0</v>
      </c>
      <c r="F55" s="80">
        <f t="shared" si="23"/>
        <v>0</v>
      </c>
      <c r="G55" s="178">
        <v>0</v>
      </c>
      <c r="H55" s="80">
        <f t="shared" si="24"/>
        <v>0</v>
      </c>
      <c r="I55" s="178">
        <v>0</v>
      </c>
      <c r="J55" s="80">
        <f t="shared" si="25"/>
        <v>0</v>
      </c>
      <c r="K55" s="178">
        <v>0</v>
      </c>
      <c r="L55" s="80">
        <f t="shared" si="26"/>
        <v>0</v>
      </c>
      <c r="M55" s="178">
        <v>0</v>
      </c>
      <c r="N55" s="80">
        <f t="shared" si="27"/>
        <v>0</v>
      </c>
      <c r="O55" s="178">
        <v>0</v>
      </c>
      <c r="P55" s="80">
        <f t="shared" si="28"/>
        <v>0</v>
      </c>
      <c r="Q55" s="178">
        <v>0</v>
      </c>
      <c r="R55" s="80">
        <f t="shared" si="29"/>
        <v>0</v>
      </c>
      <c r="S55" s="178">
        <v>0</v>
      </c>
      <c r="T55" s="80">
        <f t="shared" si="30"/>
        <v>0</v>
      </c>
      <c r="U55" s="178">
        <v>0</v>
      </c>
      <c r="V55" s="80">
        <f t="shared" si="31"/>
        <v>0</v>
      </c>
      <c r="X55" s="192"/>
    </row>
    <row r="56" spans="1:24" ht="12.75" customHeight="1">
      <c r="A56" s="2" t="s">
        <v>400</v>
      </c>
      <c r="B56" s="35"/>
      <c r="C56" s="178">
        <v>0</v>
      </c>
      <c r="D56" s="80">
        <f t="shared" si="22"/>
        <v>0</v>
      </c>
      <c r="E56" s="178">
        <v>0</v>
      </c>
      <c r="F56" s="80">
        <f t="shared" si="23"/>
        <v>0</v>
      </c>
      <c r="G56" s="178">
        <v>0</v>
      </c>
      <c r="H56" s="80">
        <f t="shared" si="24"/>
        <v>0</v>
      </c>
      <c r="I56" s="178">
        <v>0</v>
      </c>
      <c r="J56" s="80">
        <f t="shared" si="25"/>
        <v>0</v>
      </c>
      <c r="K56" s="178">
        <v>0</v>
      </c>
      <c r="L56" s="80">
        <f t="shared" si="26"/>
        <v>0</v>
      </c>
      <c r="M56" s="178">
        <v>0</v>
      </c>
      <c r="N56" s="80">
        <f t="shared" si="27"/>
        <v>0</v>
      </c>
      <c r="O56" s="178">
        <v>0</v>
      </c>
      <c r="P56" s="80">
        <f t="shared" si="28"/>
        <v>0</v>
      </c>
      <c r="Q56" s="178">
        <v>0</v>
      </c>
      <c r="R56" s="80">
        <f t="shared" si="29"/>
        <v>0</v>
      </c>
      <c r="S56" s="178">
        <v>0</v>
      </c>
      <c r="T56" s="80">
        <f t="shared" si="30"/>
        <v>0</v>
      </c>
      <c r="U56" s="178">
        <v>0</v>
      </c>
      <c r="V56" s="80">
        <f t="shared" si="31"/>
        <v>0</v>
      </c>
      <c r="X56" s="192"/>
    </row>
    <row r="57" spans="1:24" ht="12.75" customHeight="1">
      <c r="A57" s="2" t="s">
        <v>401</v>
      </c>
      <c r="B57" s="35"/>
      <c r="C57" s="178">
        <v>0</v>
      </c>
      <c r="D57" s="80">
        <f t="shared" si="22"/>
        <v>0</v>
      </c>
      <c r="E57" s="178">
        <v>0</v>
      </c>
      <c r="F57" s="80">
        <f t="shared" si="23"/>
        <v>0</v>
      </c>
      <c r="G57" s="178">
        <v>0</v>
      </c>
      <c r="H57" s="80">
        <f t="shared" si="24"/>
        <v>0</v>
      </c>
      <c r="I57" s="178">
        <v>0</v>
      </c>
      <c r="J57" s="80">
        <f t="shared" si="25"/>
        <v>0</v>
      </c>
      <c r="K57" s="178">
        <v>0</v>
      </c>
      <c r="L57" s="80">
        <f t="shared" si="26"/>
        <v>0</v>
      </c>
      <c r="M57" s="178">
        <v>0</v>
      </c>
      <c r="N57" s="80">
        <f t="shared" si="27"/>
        <v>0</v>
      </c>
      <c r="O57" s="178">
        <v>0</v>
      </c>
      <c r="P57" s="80">
        <f t="shared" si="28"/>
        <v>0</v>
      </c>
      <c r="Q57" s="178">
        <v>0</v>
      </c>
      <c r="R57" s="80">
        <f t="shared" si="29"/>
        <v>0</v>
      </c>
      <c r="S57" s="178">
        <v>0</v>
      </c>
      <c r="T57" s="80">
        <f t="shared" si="30"/>
        <v>0</v>
      </c>
      <c r="U57" s="178">
        <v>0</v>
      </c>
      <c r="V57" s="80">
        <f t="shared" si="31"/>
        <v>0</v>
      </c>
      <c r="X57" s="192"/>
    </row>
    <row r="58" spans="1:24" ht="12.75" customHeight="1">
      <c r="A58" s="2" t="s">
        <v>402</v>
      </c>
      <c r="B58" s="35"/>
      <c r="C58" s="178">
        <v>0</v>
      </c>
      <c r="D58" s="80">
        <f t="shared" si="22"/>
        <v>0</v>
      </c>
      <c r="E58" s="178">
        <v>0</v>
      </c>
      <c r="F58" s="80">
        <f t="shared" si="23"/>
        <v>0</v>
      </c>
      <c r="G58" s="178">
        <v>0</v>
      </c>
      <c r="H58" s="80">
        <f t="shared" si="24"/>
        <v>0</v>
      </c>
      <c r="I58" s="178">
        <v>0</v>
      </c>
      <c r="J58" s="80">
        <f t="shared" si="25"/>
        <v>0</v>
      </c>
      <c r="K58" s="178">
        <v>0</v>
      </c>
      <c r="L58" s="80">
        <f t="shared" si="26"/>
        <v>0</v>
      </c>
      <c r="M58" s="178">
        <v>0</v>
      </c>
      <c r="N58" s="80">
        <f t="shared" si="27"/>
        <v>0</v>
      </c>
      <c r="O58" s="178">
        <v>0</v>
      </c>
      <c r="P58" s="80">
        <f t="shared" si="28"/>
        <v>0</v>
      </c>
      <c r="Q58" s="178">
        <v>0</v>
      </c>
      <c r="R58" s="80">
        <f t="shared" si="29"/>
        <v>0</v>
      </c>
      <c r="S58" s="178">
        <v>0</v>
      </c>
      <c r="T58" s="80">
        <f t="shared" si="30"/>
        <v>0</v>
      </c>
      <c r="U58" s="178">
        <v>0</v>
      </c>
      <c r="V58" s="80">
        <f t="shared" si="31"/>
        <v>0</v>
      </c>
      <c r="X58" s="192"/>
    </row>
    <row r="59" spans="1:24" ht="12.75" customHeight="1">
      <c r="A59" s="2" t="s">
        <v>403</v>
      </c>
      <c r="B59" s="35"/>
      <c r="C59" s="178"/>
      <c r="D59" s="218">
        <f t="shared" si="22"/>
        <v>0</v>
      </c>
      <c r="E59" s="178"/>
      <c r="F59" s="80">
        <f t="shared" si="23"/>
        <v>0</v>
      </c>
      <c r="G59" s="178"/>
      <c r="H59" s="80">
        <f t="shared" si="24"/>
        <v>0</v>
      </c>
      <c r="I59" s="178"/>
      <c r="J59" s="80">
        <f t="shared" si="25"/>
        <v>0</v>
      </c>
      <c r="K59" s="178"/>
      <c r="L59" s="80">
        <f t="shared" si="26"/>
        <v>0</v>
      </c>
      <c r="M59" s="178"/>
      <c r="N59" s="80">
        <f t="shared" si="27"/>
        <v>0</v>
      </c>
      <c r="O59" s="178"/>
      <c r="P59" s="80">
        <f t="shared" si="28"/>
        <v>0</v>
      </c>
      <c r="Q59" s="178"/>
      <c r="R59" s="80">
        <f t="shared" si="29"/>
        <v>0</v>
      </c>
      <c r="S59" s="178"/>
      <c r="T59" s="80">
        <f t="shared" si="30"/>
        <v>0</v>
      </c>
      <c r="U59" s="178"/>
      <c r="V59" s="80">
        <f t="shared" si="31"/>
        <v>0</v>
      </c>
      <c r="X59" s="192"/>
    </row>
    <row r="60" spans="1:24" ht="12.75" customHeight="1">
      <c r="A60" s="2" t="s">
        <v>404</v>
      </c>
      <c r="B60" s="35"/>
      <c r="C60" s="178">
        <v>0</v>
      </c>
      <c r="D60" s="80">
        <f t="shared" si="22"/>
        <v>0</v>
      </c>
      <c r="E60" s="178">
        <v>0</v>
      </c>
      <c r="F60" s="80">
        <f t="shared" si="23"/>
        <v>0</v>
      </c>
      <c r="G60" s="178">
        <v>0</v>
      </c>
      <c r="H60" s="80">
        <f t="shared" si="24"/>
        <v>0</v>
      </c>
      <c r="I60" s="178">
        <v>0</v>
      </c>
      <c r="J60" s="80">
        <f t="shared" si="25"/>
        <v>0</v>
      </c>
      <c r="K60" s="178">
        <v>0</v>
      </c>
      <c r="L60" s="80">
        <f t="shared" si="26"/>
        <v>0</v>
      </c>
      <c r="M60" s="178">
        <v>0</v>
      </c>
      <c r="N60" s="80">
        <f t="shared" si="27"/>
        <v>0</v>
      </c>
      <c r="O60" s="178">
        <v>0</v>
      </c>
      <c r="P60" s="80">
        <f t="shared" si="28"/>
        <v>0</v>
      </c>
      <c r="Q60" s="178">
        <v>0</v>
      </c>
      <c r="R60" s="80">
        <f t="shared" si="29"/>
        <v>0</v>
      </c>
      <c r="S60" s="178">
        <v>0</v>
      </c>
      <c r="T60" s="80">
        <f t="shared" si="30"/>
        <v>0</v>
      </c>
      <c r="U60" s="178">
        <v>0</v>
      </c>
      <c r="V60" s="80">
        <f t="shared" si="31"/>
        <v>0</v>
      </c>
      <c r="X60" s="192"/>
    </row>
    <row r="61" spans="1:24" ht="12.75" customHeight="1">
      <c r="A61" s="2" t="s">
        <v>405</v>
      </c>
      <c r="B61" s="35"/>
      <c r="C61" s="178">
        <v>0</v>
      </c>
      <c r="D61" s="80">
        <f t="shared" si="22"/>
        <v>0</v>
      </c>
      <c r="E61" s="178">
        <v>0</v>
      </c>
      <c r="F61" s="80">
        <f t="shared" si="23"/>
        <v>0</v>
      </c>
      <c r="G61" s="178">
        <v>0</v>
      </c>
      <c r="H61" s="80">
        <f t="shared" si="24"/>
        <v>0</v>
      </c>
      <c r="I61" s="178">
        <v>0</v>
      </c>
      <c r="J61" s="80">
        <f t="shared" si="25"/>
        <v>0</v>
      </c>
      <c r="K61" s="178">
        <v>0</v>
      </c>
      <c r="L61" s="80">
        <f t="shared" si="26"/>
        <v>0</v>
      </c>
      <c r="M61" s="178">
        <v>0</v>
      </c>
      <c r="N61" s="80">
        <f t="shared" si="27"/>
        <v>0</v>
      </c>
      <c r="O61" s="178">
        <v>0</v>
      </c>
      <c r="P61" s="80">
        <f t="shared" si="28"/>
        <v>0</v>
      </c>
      <c r="Q61" s="178">
        <v>0</v>
      </c>
      <c r="R61" s="80">
        <f t="shared" si="29"/>
        <v>0</v>
      </c>
      <c r="S61" s="178">
        <v>0</v>
      </c>
      <c r="T61" s="80">
        <f t="shared" si="30"/>
        <v>0</v>
      </c>
      <c r="U61" s="178">
        <v>0</v>
      </c>
      <c r="V61" s="80">
        <f t="shared" si="31"/>
        <v>0</v>
      </c>
      <c r="X61" s="192"/>
    </row>
    <row r="62" spans="1:24" ht="12.75" customHeight="1">
      <c r="A62" s="2" t="s">
        <v>406</v>
      </c>
      <c r="B62" s="35"/>
      <c r="C62" s="178">
        <v>0</v>
      </c>
      <c r="D62" s="80">
        <f t="shared" si="22"/>
        <v>0</v>
      </c>
      <c r="E62" s="178">
        <v>0</v>
      </c>
      <c r="F62" s="80">
        <f t="shared" si="23"/>
        <v>0</v>
      </c>
      <c r="G62" s="178">
        <v>0</v>
      </c>
      <c r="H62" s="80">
        <f t="shared" si="24"/>
        <v>0</v>
      </c>
      <c r="I62" s="178">
        <v>0</v>
      </c>
      <c r="J62" s="80">
        <f t="shared" si="25"/>
        <v>0</v>
      </c>
      <c r="K62" s="178">
        <v>0</v>
      </c>
      <c r="L62" s="80">
        <f t="shared" si="26"/>
        <v>0</v>
      </c>
      <c r="M62" s="178">
        <v>0</v>
      </c>
      <c r="N62" s="80">
        <f t="shared" si="27"/>
        <v>0</v>
      </c>
      <c r="O62" s="178">
        <v>0</v>
      </c>
      <c r="P62" s="80">
        <f t="shared" si="28"/>
        <v>0</v>
      </c>
      <c r="Q62" s="178">
        <v>0</v>
      </c>
      <c r="R62" s="80">
        <f t="shared" si="29"/>
        <v>0</v>
      </c>
      <c r="S62" s="178">
        <v>0</v>
      </c>
      <c r="T62" s="80">
        <f t="shared" si="30"/>
        <v>0</v>
      </c>
      <c r="U62" s="178">
        <v>0</v>
      </c>
      <c r="V62" s="80">
        <f t="shared" si="31"/>
        <v>0</v>
      </c>
      <c r="X62" s="192"/>
    </row>
    <row r="63" spans="1:24" ht="12.75" customHeight="1">
      <c r="A63" s="2" t="s">
        <v>407</v>
      </c>
      <c r="B63" s="35"/>
      <c r="C63" s="178">
        <v>0</v>
      </c>
      <c r="D63" s="80">
        <f t="shared" si="22"/>
        <v>0</v>
      </c>
      <c r="E63" s="178">
        <v>0</v>
      </c>
      <c r="F63" s="80">
        <f t="shared" si="23"/>
        <v>0</v>
      </c>
      <c r="G63" s="178">
        <v>0</v>
      </c>
      <c r="H63" s="80">
        <f t="shared" si="24"/>
        <v>0</v>
      </c>
      <c r="I63" s="178">
        <v>0</v>
      </c>
      <c r="J63" s="80">
        <f t="shared" si="25"/>
        <v>0</v>
      </c>
      <c r="K63" s="178">
        <v>0</v>
      </c>
      <c r="L63" s="80">
        <f t="shared" si="26"/>
        <v>0</v>
      </c>
      <c r="M63" s="178">
        <v>0</v>
      </c>
      <c r="N63" s="80">
        <f t="shared" si="27"/>
        <v>0</v>
      </c>
      <c r="O63" s="178">
        <v>0</v>
      </c>
      <c r="P63" s="80">
        <f t="shared" si="28"/>
        <v>0</v>
      </c>
      <c r="Q63" s="178">
        <v>0</v>
      </c>
      <c r="R63" s="80">
        <f t="shared" si="29"/>
        <v>0</v>
      </c>
      <c r="S63" s="178">
        <v>0</v>
      </c>
      <c r="T63" s="80">
        <f t="shared" si="30"/>
        <v>0</v>
      </c>
      <c r="U63" s="178">
        <v>0</v>
      </c>
      <c r="V63" s="80">
        <f t="shared" si="31"/>
        <v>0</v>
      </c>
      <c r="X63" s="192"/>
    </row>
    <row r="64" spans="1:24" ht="12.75" customHeight="1">
      <c r="A64" s="2" t="s">
        <v>408</v>
      </c>
      <c r="B64" s="35"/>
      <c r="C64" s="178">
        <v>0</v>
      </c>
      <c r="D64" s="80">
        <f t="shared" si="22"/>
        <v>0</v>
      </c>
      <c r="E64" s="178">
        <v>0</v>
      </c>
      <c r="F64" s="80">
        <f t="shared" si="23"/>
        <v>0</v>
      </c>
      <c r="G64" s="178">
        <v>0</v>
      </c>
      <c r="H64" s="80">
        <f t="shared" si="24"/>
        <v>0</v>
      </c>
      <c r="I64" s="178">
        <v>0</v>
      </c>
      <c r="J64" s="80">
        <f t="shared" si="25"/>
        <v>0</v>
      </c>
      <c r="K64" s="178">
        <v>0</v>
      </c>
      <c r="L64" s="80">
        <f t="shared" si="26"/>
        <v>0</v>
      </c>
      <c r="M64" s="178">
        <v>0</v>
      </c>
      <c r="N64" s="80">
        <f t="shared" si="27"/>
        <v>0</v>
      </c>
      <c r="O64" s="178">
        <v>0</v>
      </c>
      <c r="P64" s="80">
        <f t="shared" si="28"/>
        <v>0</v>
      </c>
      <c r="Q64" s="178">
        <v>0</v>
      </c>
      <c r="R64" s="80">
        <f t="shared" si="29"/>
        <v>0</v>
      </c>
      <c r="S64" s="178">
        <v>0</v>
      </c>
      <c r="T64" s="80">
        <f t="shared" si="30"/>
        <v>0</v>
      </c>
      <c r="U64" s="178">
        <v>0</v>
      </c>
      <c r="V64" s="80">
        <f t="shared" si="31"/>
        <v>0</v>
      </c>
      <c r="X64" s="192"/>
    </row>
    <row r="65" spans="1:24" ht="12.75" customHeight="1">
      <c r="A65" s="2" t="s">
        <v>409</v>
      </c>
      <c r="B65" s="35"/>
      <c r="C65" s="178">
        <v>0</v>
      </c>
      <c r="D65" s="80">
        <f t="shared" si="22"/>
        <v>0</v>
      </c>
      <c r="E65" s="178">
        <v>0</v>
      </c>
      <c r="F65" s="80">
        <f t="shared" si="23"/>
        <v>0</v>
      </c>
      <c r="G65" s="178">
        <v>0</v>
      </c>
      <c r="H65" s="80">
        <f t="shared" si="24"/>
        <v>0</v>
      </c>
      <c r="I65" s="178">
        <v>0</v>
      </c>
      <c r="J65" s="80">
        <f t="shared" si="25"/>
        <v>0</v>
      </c>
      <c r="K65" s="178">
        <v>0</v>
      </c>
      <c r="L65" s="80">
        <f t="shared" si="26"/>
        <v>0</v>
      </c>
      <c r="M65" s="178">
        <v>0</v>
      </c>
      <c r="N65" s="80">
        <f t="shared" si="27"/>
        <v>0</v>
      </c>
      <c r="O65" s="178">
        <v>0</v>
      </c>
      <c r="P65" s="80">
        <f t="shared" si="28"/>
        <v>0</v>
      </c>
      <c r="Q65" s="178">
        <v>0</v>
      </c>
      <c r="R65" s="80">
        <f t="shared" si="29"/>
        <v>0</v>
      </c>
      <c r="S65" s="178">
        <v>0</v>
      </c>
      <c r="T65" s="80">
        <f t="shared" si="30"/>
        <v>0</v>
      </c>
      <c r="U65" s="178">
        <v>0</v>
      </c>
      <c r="V65" s="80">
        <f t="shared" si="31"/>
        <v>0</v>
      </c>
      <c r="X65" s="192"/>
    </row>
    <row r="66" spans="1:24" ht="12.75" customHeight="1">
      <c r="A66" s="2" t="s">
        <v>410</v>
      </c>
      <c r="B66" s="35"/>
      <c r="C66" s="178">
        <v>0</v>
      </c>
      <c r="D66" s="80">
        <f t="shared" si="22"/>
        <v>0</v>
      </c>
      <c r="E66" s="178">
        <v>0</v>
      </c>
      <c r="F66" s="80">
        <f t="shared" si="23"/>
        <v>0</v>
      </c>
      <c r="G66" s="178">
        <v>0</v>
      </c>
      <c r="H66" s="80">
        <f t="shared" si="24"/>
        <v>0</v>
      </c>
      <c r="I66" s="178">
        <v>0</v>
      </c>
      <c r="J66" s="80">
        <f t="shared" si="25"/>
        <v>0</v>
      </c>
      <c r="K66" s="178">
        <v>0</v>
      </c>
      <c r="L66" s="80">
        <f t="shared" si="26"/>
        <v>0</v>
      </c>
      <c r="M66" s="178">
        <v>0</v>
      </c>
      <c r="N66" s="80">
        <f t="shared" si="27"/>
        <v>0</v>
      </c>
      <c r="O66" s="178">
        <v>0</v>
      </c>
      <c r="P66" s="80">
        <f t="shared" si="28"/>
        <v>0</v>
      </c>
      <c r="Q66" s="178">
        <v>0</v>
      </c>
      <c r="R66" s="80">
        <f t="shared" si="29"/>
        <v>0</v>
      </c>
      <c r="S66" s="178">
        <v>0</v>
      </c>
      <c r="T66" s="80">
        <f t="shared" si="30"/>
        <v>0</v>
      </c>
      <c r="U66" s="178">
        <v>0</v>
      </c>
      <c r="V66" s="80">
        <f t="shared" si="31"/>
        <v>0</v>
      </c>
      <c r="X66" s="192"/>
    </row>
    <row r="67" spans="1:24" ht="12.75" customHeight="1">
      <c r="A67" s="2" t="s">
        <v>411</v>
      </c>
      <c r="B67" s="35"/>
      <c r="C67" s="178">
        <v>0</v>
      </c>
      <c r="D67" s="80">
        <f t="shared" si="22"/>
        <v>0</v>
      </c>
      <c r="E67" s="178">
        <v>0</v>
      </c>
      <c r="F67" s="80">
        <f t="shared" si="23"/>
        <v>0</v>
      </c>
      <c r="G67" s="178">
        <v>0</v>
      </c>
      <c r="H67" s="80">
        <f t="shared" si="24"/>
        <v>0</v>
      </c>
      <c r="I67" s="178">
        <v>0</v>
      </c>
      <c r="J67" s="80">
        <f t="shared" si="25"/>
        <v>0</v>
      </c>
      <c r="K67" s="178">
        <v>0</v>
      </c>
      <c r="L67" s="80">
        <f t="shared" si="26"/>
        <v>0</v>
      </c>
      <c r="M67" s="178">
        <v>0</v>
      </c>
      <c r="N67" s="80">
        <f t="shared" si="27"/>
        <v>0</v>
      </c>
      <c r="O67" s="178">
        <v>0</v>
      </c>
      <c r="P67" s="80">
        <f t="shared" si="28"/>
        <v>0</v>
      </c>
      <c r="Q67" s="178">
        <v>0</v>
      </c>
      <c r="R67" s="80">
        <f t="shared" si="29"/>
        <v>0</v>
      </c>
      <c r="S67" s="178">
        <v>0</v>
      </c>
      <c r="T67" s="80">
        <f t="shared" si="30"/>
        <v>0</v>
      </c>
      <c r="U67" s="178">
        <v>0</v>
      </c>
      <c r="V67" s="80">
        <f t="shared" si="31"/>
        <v>0</v>
      </c>
      <c r="X67" s="192"/>
    </row>
    <row r="68" spans="1:24" ht="12.75" customHeight="1">
      <c r="A68" s="2" t="s">
        <v>412</v>
      </c>
      <c r="B68" s="35"/>
      <c r="C68" s="178">
        <v>0</v>
      </c>
      <c r="D68" s="80">
        <f t="shared" si="22"/>
        <v>0</v>
      </c>
      <c r="E68" s="178">
        <v>0</v>
      </c>
      <c r="F68" s="80">
        <f t="shared" si="23"/>
        <v>0</v>
      </c>
      <c r="G68" s="178">
        <v>0</v>
      </c>
      <c r="H68" s="80">
        <f t="shared" si="24"/>
        <v>0</v>
      </c>
      <c r="I68" s="178">
        <v>0</v>
      </c>
      <c r="J68" s="80">
        <f t="shared" si="25"/>
        <v>0</v>
      </c>
      <c r="K68" s="178">
        <v>0</v>
      </c>
      <c r="L68" s="80">
        <f t="shared" si="26"/>
        <v>0</v>
      </c>
      <c r="M68" s="178">
        <v>0</v>
      </c>
      <c r="N68" s="80">
        <f t="shared" si="27"/>
        <v>0</v>
      </c>
      <c r="O68" s="178">
        <v>0</v>
      </c>
      <c r="P68" s="80">
        <f t="shared" si="28"/>
        <v>0</v>
      </c>
      <c r="Q68" s="178">
        <v>0</v>
      </c>
      <c r="R68" s="80">
        <f t="shared" si="29"/>
        <v>0</v>
      </c>
      <c r="S68" s="178">
        <v>0</v>
      </c>
      <c r="T68" s="80">
        <f t="shared" si="30"/>
        <v>0</v>
      </c>
      <c r="U68" s="178">
        <v>0</v>
      </c>
      <c r="V68" s="80">
        <f t="shared" si="31"/>
        <v>0</v>
      </c>
      <c r="X68" s="192"/>
    </row>
    <row r="69" spans="1:24" ht="12.75" customHeight="1">
      <c r="A69" s="2" t="s">
        <v>413</v>
      </c>
      <c r="B69" s="35"/>
      <c r="C69" s="178">
        <v>0</v>
      </c>
      <c r="D69" s="80">
        <f t="shared" si="22"/>
        <v>0</v>
      </c>
      <c r="E69" s="178">
        <v>0</v>
      </c>
      <c r="F69" s="80">
        <f t="shared" si="23"/>
        <v>0</v>
      </c>
      <c r="G69" s="178">
        <v>0</v>
      </c>
      <c r="H69" s="80">
        <f t="shared" si="24"/>
        <v>0</v>
      </c>
      <c r="I69" s="178">
        <v>0</v>
      </c>
      <c r="J69" s="80">
        <f t="shared" si="25"/>
        <v>0</v>
      </c>
      <c r="K69" s="178">
        <v>0</v>
      </c>
      <c r="L69" s="80">
        <f t="shared" si="26"/>
        <v>0</v>
      </c>
      <c r="M69" s="178">
        <v>0</v>
      </c>
      <c r="N69" s="80">
        <f t="shared" si="27"/>
        <v>0</v>
      </c>
      <c r="O69" s="178">
        <v>0</v>
      </c>
      <c r="P69" s="80">
        <f t="shared" si="28"/>
        <v>0</v>
      </c>
      <c r="Q69" s="178">
        <v>0</v>
      </c>
      <c r="R69" s="80">
        <f t="shared" si="29"/>
        <v>0</v>
      </c>
      <c r="S69" s="178">
        <v>0</v>
      </c>
      <c r="T69" s="80">
        <f t="shared" si="30"/>
        <v>0</v>
      </c>
      <c r="U69" s="178">
        <v>0</v>
      </c>
      <c r="V69" s="80">
        <f t="shared" si="31"/>
        <v>0</v>
      </c>
      <c r="X69" s="192"/>
    </row>
    <row r="70" spans="1:24" ht="12.75" customHeight="1">
      <c r="A70" s="2" t="s">
        <v>414</v>
      </c>
      <c r="B70" s="35"/>
      <c r="C70" s="178">
        <v>0</v>
      </c>
      <c r="D70" s="80">
        <f t="shared" si="22"/>
        <v>0</v>
      </c>
      <c r="E70" s="178">
        <v>0</v>
      </c>
      <c r="F70" s="80">
        <f t="shared" si="23"/>
        <v>0</v>
      </c>
      <c r="G70" s="178">
        <v>0</v>
      </c>
      <c r="H70" s="80">
        <f t="shared" si="24"/>
        <v>0</v>
      </c>
      <c r="I70" s="178">
        <v>0</v>
      </c>
      <c r="J70" s="80">
        <f t="shared" si="25"/>
        <v>0</v>
      </c>
      <c r="K70" s="178">
        <v>0</v>
      </c>
      <c r="L70" s="80">
        <f t="shared" si="26"/>
        <v>0</v>
      </c>
      <c r="M70" s="178">
        <v>0</v>
      </c>
      <c r="N70" s="80">
        <f t="shared" si="27"/>
        <v>0</v>
      </c>
      <c r="O70" s="178">
        <v>0</v>
      </c>
      <c r="P70" s="80">
        <f t="shared" si="28"/>
        <v>0</v>
      </c>
      <c r="Q70" s="178">
        <v>0</v>
      </c>
      <c r="R70" s="80">
        <f t="shared" si="29"/>
        <v>0</v>
      </c>
      <c r="S70" s="178">
        <v>0</v>
      </c>
      <c r="T70" s="80">
        <f t="shared" si="30"/>
        <v>0</v>
      </c>
      <c r="U70" s="178">
        <v>0</v>
      </c>
      <c r="V70" s="80">
        <f t="shared" si="31"/>
        <v>0</v>
      </c>
      <c r="X70" s="192"/>
    </row>
    <row r="71" spans="1:24" ht="12.75" customHeight="1">
      <c r="A71" s="2" t="s">
        <v>415</v>
      </c>
      <c r="B71" s="35"/>
      <c r="C71" s="178">
        <v>0</v>
      </c>
      <c r="D71" s="80">
        <f t="shared" si="22"/>
        <v>0</v>
      </c>
      <c r="E71" s="178">
        <v>0</v>
      </c>
      <c r="F71" s="80">
        <f t="shared" si="23"/>
        <v>0</v>
      </c>
      <c r="G71" s="178">
        <v>0</v>
      </c>
      <c r="H71" s="80">
        <f t="shared" si="24"/>
        <v>0</v>
      </c>
      <c r="I71" s="178">
        <v>0</v>
      </c>
      <c r="J71" s="80">
        <f t="shared" si="25"/>
        <v>0</v>
      </c>
      <c r="K71" s="178">
        <v>0</v>
      </c>
      <c r="L71" s="80">
        <f t="shared" si="26"/>
        <v>0</v>
      </c>
      <c r="M71" s="178">
        <v>0</v>
      </c>
      <c r="N71" s="80">
        <f t="shared" si="27"/>
        <v>0</v>
      </c>
      <c r="O71" s="178">
        <v>0</v>
      </c>
      <c r="P71" s="80">
        <f t="shared" si="28"/>
        <v>0</v>
      </c>
      <c r="Q71" s="178">
        <v>0</v>
      </c>
      <c r="R71" s="80">
        <f t="shared" si="29"/>
        <v>0</v>
      </c>
      <c r="S71" s="178">
        <v>0</v>
      </c>
      <c r="T71" s="80">
        <f t="shared" si="30"/>
        <v>0</v>
      </c>
      <c r="U71" s="178">
        <v>0</v>
      </c>
      <c r="V71" s="80">
        <f t="shared" si="31"/>
        <v>0</v>
      </c>
      <c r="X71" s="192"/>
    </row>
    <row r="72" spans="1:24" ht="12.75" customHeight="1">
      <c r="A72" s="2" t="s">
        <v>416</v>
      </c>
      <c r="B72" s="35"/>
      <c r="C72" s="178">
        <v>0</v>
      </c>
      <c r="D72" s="80">
        <f t="shared" si="22"/>
        <v>0</v>
      </c>
      <c r="E72" s="178">
        <v>0</v>
      </c>
      <c r="F72" s="80">
        <f t="shared" si="23"/>
        <v>0</v>
      </c>
      <c r="G72" s="178">
        <v>0</v>
      </c>
      <c r="H72" s="80">
        <f t="shared" si="24"/>
        <v>0</v>
      </c>
      <c r="I72" s="178">
        <v>0</v>
      </c>
      <c r="J72" s="80">
        <f t="shared" si="25"/>
        <v>0</v>
      </c>
      <c r="K72" s="178">
        <v>0</v>
      </c>
      <c r="L72" s="80">
        <f t="shared" si="26"/>
        <v>0</v>
      </c>
      <c r="M72" s="178">
        <v>0</v>
      </c>
      <c r="N72" s="80">
        <f t="shared" si="27"/>
        <v>0</v>
      </c>
      <c r="O72" s="178">
        <v>0</v>
      </c>
      <c r="P72" s="80">
        <f t="shared" si="28"/>
        <v>0</v>
      </c>
      <c r="Q72" s="178">
        <v>0</v>
      </c>
      <c r="R72" s="80">
        <f t="shared" si="29"/>
        <v>0</v>
      </c>
      <c r="S72" s="178">
        <v>0</v>
      </c>
      <c r="T72" s="80">
        <f t="shared" si="30"/>
        <v>0</v>
      </c>
      <c r="U72" s="178">
        <v>0</v>
      </c>
      <c r="V72" s="80">
        <f t="shared" si="31"/>
        <v>0</v>
      </c>
      <c r="X72" s="192"/>
    </row>
    <row r="73" spans="1:24" ht="12.75" customHeight="1">
      <c r="A73" s="2" t="s">
        <v>417</v>
      </c>
      <c r="B73" s="35"/>
      <c r="C73" s="178">
        <v>0</v>
      </c>
      <c r="D73" s="80">
        <f t="shared" si="22"/>
        <v>0</v>
      </c>
      <c r="E73" s="178">
        <v>0</v>
      </c>
      <c r="F73" s="80">
        <f t="shared" si="23"/>
        <v>0</v>
      </c>
      <c r="G73" s="178">
        <v>0</v>
      </c>
      <c r="H73" s="80">
        <f t="shared" si="24"/>
        <v>0</v>
      </c>
      <c r="I73" s="178">
        <v>0</v>
      </c>
      <c r="J73" s="80">
        <f t="shared" si="25"/>
        <v>0</v>
      </c>
      <c r="K73" s="178">
        <v>0</v>
      </c>
      <c r="L73" s="80">
        <f t="shared" si="26"/>
        <v>0</v>
      </c>
      <c r="M73" s="178">
        <v>0</v>
      </c>
      <c r="N73" s="80">
        <f t="shared" si="27"/>
        <v>0</v>
      </c>
      <c r="O73" s="178">
        <v>0</v>
      </c>
      <c r="P73" s="80">
        <f t="shared" si="28"/>
        <v>0</v>
      </c>
      <c r="Q73" s="178">
        <v>0</v>
      </c>
      <c r="R73" s="80">
        <f t="shared" si="29"/>
        <v>0</v>
      </c>
      <c r="S73" s="178">
        <v>0</v>
      </c>
      <c r="T73" s="80">
        <f t="shared" si="30"/>
        <v>0</v>
      </c>
      <c r="U73" s="178">
        <v>0</v>
      </c>
      <c r="V73" s="80">
        <f t="shared" si="31"/>
        <v>0</v>
      </c>
      <c r="X73" s="192"/>
    </row>
    <row r="74" spans="1:24" ht="12.75" customHeight="1">
      <c r="A74" s="2" t="s">
        <v>418</v>
      </c>
      <c r="B74" s="35"/>
      <c r="C74" s="178">
        <v>0</v>
      </c>
      <c r="D74" s="80">
        <f t="shared" si="22"/>
        <v>0</v>
      </c>
      <c r="E74" s="178">
        <v>0</v>
      </c>
      <c r="F74" s="80">
        <f t="shared" si="23"/>
        <v>0</v>
      </c>
      <c r="G74" s="178">
        <v>0</v>
      </c>
      <c r="H74" s="80">
        <f t="shared" si="24"/>
        <v>0</v>
      </c>
      <c r="I74" s="178">
        <v>0</v>
      </c>
      <c r="J74" s="80">
        <f t="shared" si="25"/>
        <v>0</v>
      </c>
      <c r="K74" s="178">
        <v>0</v>
      </c>
      <c r="L74" s="80">
        <f t="shared" si="26"/>
        <v>0</v>
      </c>
      <c r="M74" s="178">
        <v>0</v>
      </c>
      <c r="N74" s="80">
        <f t="shared" si="27"/>
        <v>0</v>
      </c>
      <c r="O74" s="178">
        <v>0</v>
      </c>
      <c r="P74" s="80">
        <f t="shared" si="28"/>
        <v>0</v>
      </c>
      <c r="Q74" s="178">
        <v>0</v>
      </c>
      <c r="R74" s="80">
        <f t="shared" si="29"/>
        <v>0</v>
      </c>
      <c r="S74" s="178">
        <v>0</v>
      </c>
      <c r="T74" s="80">
        <f t="shared" si="30"/>
        <v>0</v>
      </c>
      <c r="U74" s="178">
        <v>0</v>
      </c>
      <c r="V74" s="80">
        <f t="shared" si="31"/>
        <v>0</v>
      </c>
      <c r="X74" s="192"/>
    </row>
    <row r="75" spans="1:24" ht="12.75" customHeight="1">
      <c r="A75" s="2" t="s">
        <v>419</v>
      </c>
      <c r="B75" s="35"/>
      <c r="C75" s="178">
        <v>0</v>
      </c>
      <c r="D75" s="80">
        <f t="shared" si="22"/>
        <v>0</v>
      </c>
      <c r="E75" s="178">
        <v>0</v>
      </c>
      <c r="F75" s="80">
        <f t="shared" si="23"/>
        <v>0</v>
      </c>
      <c r="G75" s="178">
        <v>0</v>
      </c>
      <c r="H75" s="80">
        <f t="shared" si="24"/>
        <v>0</v>
      </c>
      <c r="I75" s="178">
        <v>0</v>
      </c>
      <c r="J75" s="80">
        <f t="shared" si="25"/>
        <v>0</v>
      </c>
      <c r="K75" s="178">
        <v>0</v>
      </c>
      <c r="L75" s="80">
        <f t="shared" si="26"/>
        <v>0</v>
      </c>
      <c r="M75" s="178">
        <v>0</v>
      </c>
      <c r="N75" s="80">
        <f t="shared" si="27"/>
        <v>0</v>
      </c>
      <c r="O75" s="178">
        <v>0</v>
      </c>
      <c r="P75" s="80">
        <f t="shared" si="28"/>
        <v>0</v>
      </c>
      <c r="Q75" s="178">
        <v>0</v>
      </c>
      <c r="R75" s="80">
        <f t="shared" si="29"/>
        <v>0</v>
      </c>
      <c r="S75" s="178">
        <v>0</v>
      </c>
      <c r="T75" s="80">
        <f t="shared" si="30"/>
        <v>0</v>
      </c>
      <c r="U75" s="178">
        <v>0</v>
      </c>
      <c r="V75" s="80">
        <f t="shared" si="31"/>
        <v>0</v>
      </c>
      <c r="X75" s="192"/>
    </row>
    <row r="76" spans="1:24" ht="12.75" customHeight="1">
      <c r="A76" s="2" t="s">
        <v>420</v>
      </c>
      <c r="B76" s="35"/>
      <c r="C76" s="178">
        <v>0</v>
      </c>
      <c r="D76" s="80">
        <f t="shared" si="22"/>
        <v>0</v>
      </c>
      <c r="E76" s="178">
        <v>0</v>
      </c>
      <c r="F76" s="80">
        <f t="shared" si="23"/>
        <v>0</v>
      </c>
      <c r="G76" s="178">
        <v>0</v>
      </c>
      <c r="H76" s="80">
        <f t="shared" si="24"/>
        <v>0</v>
      </c>
      <c r="I76" s="178">
        <v>0</v>
      </c>
      <c r="J76" s="80">
        <f t="shared" si="25"/>
        <v>0</v>
      </c>
      <c r="K76" s="178">
        <v>0</v>
      </c>
      <c r="L76" s="80">
        <f t="shared" si="26"/>
        <v>0</v>
      </c>
      <c r="M76" s="178">
        <v>0</v>
      </c>
      <c r="N76" s="80">
        <f t="shared" si="27"/>
        <v>0</v>
      </c>
      <c r="O76" s="178">
        <v>0</v>
      </c>
      <c r="P76" s="80">
        <f t="shared" si="28"/>
        <v>0</v>
      </c>
      <c r="Q76" s="178">
        <v>0</v>
      </c>
      <c r="R76" s="80">
        <f t="shared" si="29"/>
        <v>0</v>
      </c>
      <c r="S76" s="178">
        <v>0</v>
      </c>
      <c r="T76" s="80">
        <f t="shared" si="30"/>
        <v>0</v>
      </c>
      <c r="U76" s="178">
        <v>0</v>
      </c>
      <c r="V76" s="80">
        <f t="shared" si="31"/>
        <v>0</v>
      </c>
      <c r="X76" s="192"/>
    </row>
    <row r="77" spans="1:24" ht="12.75" customHeight="1">
      <c r="A77" s="2" t="s">
        <v>421</v>
      </c>
      <c r="B77" s="35"/>
      <c r="C77" s="178">
        <v>0</v>
      </c>
      <c r="D77" s="80">
        <f t="shared" si="22"/>
        <v>0</v>
      </c>
      <c r="E77" s="178">
        <v>0</v>
      </c>
      <c r="F77" s="80">
        <f t="shared" si="23"/>
        <v>0</v>
      </c>
      <c r="G77" s="178">
        <v>0</v>
      </c>
      <c r="H77" s="80">
        <f t="shared" si="24"/>
        <v>0</v>
      </c>
      <c r="I77" s="178">
        <v>0</v>
      </c>
      <c r="J77" s="80">
        <f t="shared" si="25"/>
        <v>0</v>
      </c>
      <c r="K77" s="178">
        <v>0</v>
      </c>
      <c r="L77" s="80">
        <f t="shared" si="26"/>
        <v>0</v>
      </c>
      <c r="M77" s="178">
        <v>0</v>
      </c>
      <c r="N77" s="80">
        <f t="shared" si="27"/>
        <v>0</v>
      </c>
      <c r="O77" s="178">
        <v>0</v>
      </c>
      <c r="P77" s="80">
        <f t="shared" si="28"/>
        <v>0</v>
      </c>
      <c r="Q77" s="178">
        <v>0</v>
      </c>
      <c r="R77" s="80">
        <f t="shared" si="29"/>
        <v>0</v>
      </c>
      <c r="S77" s="178">
        <v>0</v>
      </c>
      <c r="T77" s="80">
        <f t="shared" si="30"/>
        <v>0</v>
      </c>
      <c r="U77" s="178">
        <v>0</v>
      </c>
      <c r="V77" s="80">
        <f t="shared" si="31"/>
        <v>0</v>
      </c>
      <c r="X77" s="192"/>
    </row>
    <row r="78" spans="1:24" ht="12.75" customHeight="1">
      <c r="A78" s="2" t="s">
        <v>422</v>
      </c>
      <c r="B78" s="35"/>
      <c r="C78" s="178">
        <v>0</v>
      </c>
      <c r="D78" s="80">
        <f t="shared" si="22"/>
        <v>0</v>
      </c>
      <c r="E78" s="178">
        <v>0</v>
      </c>
      <c r="F78" s="80">
        <f t="shared" si="23"/>
        <v>0</v>
      </c>
      <c r="G78" s="178">
        <v>0</v>
      </c>
      <c r="H78" s="80">
        <f t="shared" si="24"/>
        <v>0</v>
      </c>
      <c r="I78" s="178">
        <v>0</v>
      </c>
      <c r="J78" s="80">
        <f t="shared" si="25"/>
        <v>0</v>
      </c>
      <c r="K78" s="178">
        <v>0</v>
      </c>
      <c r="L78" s="80">
        <f t="shared" si="26"/>
        <v>0</v>
      </c>
      <c r="M78" s="178">
        <v>0</v>
      </c>
      <c r="N78" s="80">
        <f t="shared" si="27"/>
        <v>0</v>
      </c>
      <c r="O78" s="178">
        <v>0</v>
      </c>
      <c r="P78" s="80">
        <f t="shared" si="28"/>
        <v>0</v>
      </c>
      <c r="Q78" s="178">
        <v>0</v>
      </c>
      <c r="R78" s="80">
        <f t="shared" si="29"/>
        <v>0</v>
      </c>
      <c r="S78" s="178">
        <v>0</v>
      </c>
      <c r="T78" s="80">
        <f t="shared" si="30"/>
        <v>0</v>
      </c>
      <c r="U78" s="178">
        <v>0</v>
      </c>
      <c r="V78" s="80">
        <f t="shared" si="31"/>
        <v>0</v>
      </c>
      <c r="X78" s="192"/>
    </row>
    <row r="79" spans="1:24" ht="12.75" customHeight="1">
      <c r="A79" s="2" t="s">
        <v>423</v>
      </c>
      <c r="B79" s="35"/>
      <c r="C79" s="178">
        <v>0</v>
      </c>
      <c r="D79" s="80">
        <f t="shared" si="22"/>
        <v>0</v>
      </c>
      <c r="E79" s="178">
        <v>0</v>
      </c>
      <c r="F79" s="80">
        <f t="shared" si="23"/>
        <v>0</v>
      </c>
      <c r="G79" s="178">
        <v>0</v>
      </c>
      <c r="H79" s="80">
        <f t="shared" si="24"/>
        <v>0</v>
      </c>
      <c r="I79" s="178">
        <v>0</v>
      </c>
      <c r="J79" s="80">
        <f t="shared" si="25"/>
        <v>0</v>
      </c>
      <c r="K79" s="178">
        <v>0</v>
      </c>
      <c r="L79" s="80">
        <f t="shared" si="26"/>
        <v>0</v>
      </c>
      <c r="M79" s="178">
        <v>0</v>
      </c>
      <c r="N79" s="80">
        <f t="shared" si="27"/>
        <v>0</v>
      </c>
      <c r="O79" s="178">
        <v>0</v>
      </c>
      <c r="P79" s="80">
        <f t="shared" si="28"/>
        <v>0</v>
      </c>
      <c r="Q79" s="178">
        <v>0</v>
      </c>
      <c r="R79" s="80">
        <f t="shared" si="29"/>
        <v>0</v>
      </c>
      <c r="S79" s="178">
        <v>0</v>
      </c>
      <c r="T79" s="80">
        <f t="shared" si="30"/>
        <v>0</v>
      </c>
      <c r="U79" s="178">
        <v>0</v>
      </c>
      <c r="V79" s="80">
        <f t="shared" si="31"/>
        <v>0</v>
      </c>
      <c r="X79" s="192"/>
    </row>
    <row r="80" spans="1:24" ht="12.75" customHeight="1">
      <c r="A80" s="2" t="s">
        <v>424</v>
      </c>
      <c r="B80" s="35"/>
      <c r="C80" s="178">
        <v>0</v>
      </c>
      <c r="D80" s="80">
        <f t="shared" si="22"/>
        <v>0</v>
      </c>
      <c r="E80" s="178">
        <v>0</v>
      </c>
      <c r="F80" s="80">
        <f t="shared" si="23"/>
        <v>0</v>
      </c>
      <c r="G80" s="178">
        <v>0</v>
      </c>
      <c r="H80" s="80">
        <f t="shared" si="24"/>
        <v>0</v>
      </c>
      <c r="I80" s="178">
        <v>0</v>
      </c>
      <c r="J80" s="80">
        <f t="shared" si="25"/>
        <v>0</v>
      </c>
      <c r="K80" s="178">
        <v>0</v>
      </c>
      <c r="L80" s="80">
        <f t="shared" si="26"/>
        <v>0</v>
      </c>
      <c r="M80" s="178">
        <v>0</v>
      </c>
      <c r="N80" s="80">
        <f t="shared" si="27"/>
        <v>0</v>
      </c>
      <c r="O80" s="178">
        <v>0</v>
      </c>
      <c r="P80" s="80">
        <f t="shared" si="28"/>
        <v>0</v>
      </c>
      <c r="Q80" s="178">
        <v>0</v>
      </c>
      <c r="R80" s="80">
        <f t="shared" si="29"/>
        <v>0</v>
      </c>
      <c r="S80" s="178">
        <v>0</v>
      </c>
      <c r="T80" s="80">
        <f t="shared" si="30"/>
        <v>0</v>
      </c>
      <c r="U80" s="178">
        <v>0</v>
      </c>
      <c r="V80" s="80">
        <f t="shared" si="31"/>
        <v>0</v>
      </c>
      <c r="X80" s="192"/>
    </row>
    <row r="81" spans="1:24" ht="12.75" customHeight="1">
      <c r="A81" s="2" t="s">
        <v>425</v>
      </c>
      <c r="B81" s="35"/>
      <c r="C81" s="178">
        <v>0</v>
      </c>
      <c r="D81" s="80">
        <f t="shared" si="22"/>
        <v>0</v>
      </c>
      <c r="E81" s="178">
        <v>0</v>
      </c>
      <c r="F81" s="80">
        <f t="shared" si="23"/>
        <v>0</v>
      </c>
      <c r="G81" s="178">
        <v>0</v>
      </c>
      <c r="H81" s="80">
        <f t="shared" si="24"/>
        <v>0</v>
      </c>
      <c r="I81" s="178">
        <v>0</v>
      </c>
      <c r="J81" s="80">
        <f t="shared" si="25"/>
        <v>0</v>
      </c>
      <c r="K81" s="178">
        <v>0</v>
      </c>
      <c r="L81" s="80">
        <f t="shared" si="26"/>
        <v>0</v>
      </c>
      <c r="M81" s="178">
        <v>0</v>
      </c>
      <c r="N81" s="80">
        <f t="shared" si="27"/>
        <v>0</v>
      </c>
      <c r="O81" s="178">
        <v>0</v>
      </c>
      <c r="P81" s="80">
        <f t="shared" si="28"/>
        <v>0</v>
      </c>
      <c r="Q81" s="178">
        <v>0</v>
      </c>
      <c r="R81" s="80">
        <f t="shared" si="29"/>
        <v>0</v>
      </c>
      <c r="S81" s="178">
        <v>0</v>
      </c>
      <c r="T81" s="80">
        <f t="shared" si="30"/>
        <v>0</v>
      </c>
      <c r="U81" s="178">
        <v>0</v>
      </c>
      <c r="V81" s="80">
        <f t="shared" si="31"/>
        <v>0</v>
      </c>
      <c r="X81" s="192"/>
    </row>
    <row r="82" spans="1:24" ht="12.75" customHeight="1">
      <c r="A82" s="2" t="s">
        <v>426</v>
      </c>
      <c r="B82" s="35"/>
      <c r="C82" s="178">
        <v>0</v>
      </c>
      <c r="D82" s="80">
        <f t="shared" si="22"/>
        <v>0</v>
      </c>
      <c r="E82" s="178">
        <v>0</v>
      </c>
      <c r="F82" s="80">
        <f t="shared" si="23"/>
        <v>0</v>
      </c>
      <c r="G82" s="178">
        <v>0</v>
      </c>
      <c r="H82" s="80">
        <f t="shared" si="24"/>
        <v>0</v>
      </c>
      <c r="I82" s="178">
        <v>0</v>
      </c>
      <c r="J82" s="80">
        <f t="shared" si="25"/>
        <v>0</v>
      </c>
      <c r="K82" s="178">
        <v>0</v>
      </c>
      <c r="L82" s="80">
        <f t="shared" si="26"/>
        <v>0</v>
      </c>
      <c r="M82" s="178">
        <v>0</v>
      </c>
      <c r="N82" s="80">
        <f t="shared" si="27"/>
        <v>0</v>
      </c>
      <c r="O82" s="178">
        <v>0</v>
      </c>
      <c r="P82" s="80">
        <f t="shared" si="28"/>
        <v>0</v>
      </c>
      <c r="Q82" s="178">
        <v>0</v>
      </c>
      <c r="R82" s="80">
        <f t="shared" si="29"/>
        <v>0</v>
      </c>
      <c r="S82" s="178">
        <v>0</v>
      </c>
      <c r="T82" s="80">
        <f t="shared" si="30"/>
        <v>0</v>
      </c>
      <c r="U82" s="178">
        <v>0</v>
      </c>
      <c r="V82" s="80">
        <f t="shared" si="31"/>
        <v>0</v>
      </c>
      <c r="X82" s="192"/>
    </row>
    <row r="83" spans="1:24" ht="12.75" customHeight="1">
      <c r="A83" s="2" t="s">
        <v>427</v>
      </c>
      <c r="B83" s="35"/>
      <c r="C83" s="178">
        <v>0</v>
      </c>
      <c r="D83" s="80">
        <f t="shared" si="22"/>
        <v>0</v>
      </c>
      <c r="E83" s="178">
        <v>0</v>
      </c>
      <c r="F83" s="80">
        <f t="shared" si="23"/>
        <v>0</v>
      </c>
      <c r="G83" s="178">
        <v>0</v>
      </c>
      <c r="H83" s="80">
        <f t="shared" si="24"/>
        <v>0</v>
      </c>
      <c r="I83" s="178">
        <v>0</v>
      </c>
      <c r="J83" s="80">
        <f t="shared" si="25"/>
        <v>0</v>
      </c>
      <c r="K83" s="178">
        <v>0</v>
      </c>
      <c r="L83" s="80">
        <f t="shared" si="26"/>
        <v>0</v>
      </c>
      <c r="M83" s="178">
        <v>0</v>
      </c>
      <c r="N83" s="80">
        <f t="shared" si="27"/>
        <v>0</v>
      </c>
      <c r="O83" s="178">
        <v>0</v>
      </c>
      <c r="P83" s="80">
        <f t="shared" si="28"/>
        <v>0</v>
      </c>
      <c r="Q83" s="178">
        <v>0</v>
      </c>
      <c r="R83" s="80">
        <f t="shared" si="29"/>
        <v>0</v>
      </c>
      <c r="S83" s="178">
        <v>0</v>
      </c>
      <c r="T83" s="80">
        <f t="shared" si="30"/>
        <v>0</v>
      </c>
      <c r="U83" s="178">
        <v>0</v>
      </c>
      <c r="V83" s="80">
        <f t="shared" si="31"/>
        <v>0</v>
      </c>
      <c r="X83" s="192"/>
    </row>
    <row r="84" spans="1:24" ht="12.75" customHeight="1">
      <c r="A84" s="2" t="s">
        <v>428</v>
      </c>
      <c r="B84" s="35"/>
      <c r="C84" s="178">
        <v>0</v>
      </c>
      <c r="D84" s="80">
        <f t="shared" ref="D84:D105" si="32">IFERROR(C84/C$28,0)</f>
        <v>0</v>
      </c>
      <c r="E84" s="178">
        <v>0</v>
      </c>
      <c r="F84" s="80">
        <f t="shared" si="23"/>
        <v>0</v>
      </c>
      <c r="G84" s="178">
        <v>0</v>
      </c>
      <c r="H84" s="80">
        <f t="shared" si="24"/>
        <v>0</v>
      </c>
      <c r="I84" s="178">
        <v>0</v>
      </c>
      <c r="J84" s="80">
        <f t="shared" si="25"/>
        <v>0</v>
      </c>
      <c r="K84" s="178">
        <v>0</v>
      </c>
      <c r="L84" s="80">
        <f t="shared" si="26"/>
        <v>0</v>
      </c>
      <c r="M84" s="178">
        <v>0</v>
      </c>
      <c r="N84" s="80">
        <f t="shared" si="27"/>
        <v>0</v>
      </c>
      <c r="O84" s="178">
        <v>0</v>
      </c>
      <c r="P84" s="80">
        <f t="shared" si="28"/>
        <v>0</v>
      </c>
      <c r="Q84" s="178">
        <v>0</v>
      </c>
      <c r="R84" s="80">
        <f t="shared" si="29"/>
        <v>0</v>
      </c>
      <c r="S84" s="178">
        <v>0</v>
      </c>
      <c r="T84" s="80">
        <f t="shared" si="30"/>
        <v>0</v>
      </c>
      <c r="U84" s="178">
        <v>0</v>
      </c>
      <c r="V84" s="80">
        <f t="shared" si="31"/>
        <v>0</v>
      </c>
      <c r="X84" s="192"/>
    </row>
    <row r="85" spans="1:24" ht="12.75" customHeight="1">
      <c r="A85" s="2" t="s">
        <v>429</v>
      </c>
      <c r="B85" s="35"/>
      <c r="C85" s="178">
        <v>0</v>
      </c>
      <c r="D85" s="80">
        <f t="shared" si="32"/>
        <v>0</v>
      </c>
      <c r="E85" s="178">
        <v>0</v>
      </c>
      <c r="F85" s="80">
        <f t="shared" si="23"/>
        <v>0</v>
      </c>
      <c r="G85" s="178">
        <v>0</v>
      </c>
      <c r="H85" s="80">
        <f t="shared" si="24"/>
        <v>0</v>
      </c>
      <c r="I85" s="178">
        <v>0</v>
      </c>
      <c r="J85" s="80">
        <f t="shared" si="25"/>
        <v>0</v>
      </c>
      <c r="K85" s="178">
        <v>0</v>
      </c>
      <c r="L85" s="80">
        <f t="shared" si="26"/>
        <v>0</v>
      </c>
      <c r="M85" s="178">
        <v>0</v>
      </c>
      <c r="N85" s="80">
        <f t="shared" si="27"/>
        <v>0</v>
      </c>
      <c r="O85" s="178">
        <v>0</v>
      </c>
      <c r="P85" s="80">
        <f t="shared" si="28"/>
        <v>0</v>
      </c>
      <c r="Q85" s="178">
        <v>0</v>
      </c>
      <c r="R85" s="80">
        <f t="shared" si="29"/>
        <v>0</v>
      </c>
      <c r="S85" s="178">
        <v>0</v>
      </c>
      <c r="T85" s="80">
        <f t="shared" si="30"/>
        <v>0</v>
      </c>
      <c r="U85" s="178">
        <v>0</v>
      </c>
      <c r="V85" s="80">
        <f t="shared" si="31"/>
        <v>0</v>
      </c>
      <c r="X85" s="192"/>
    </row>
    <row r="86" spans="1:24" ht="12.75" customHeight="1">
      <c r="A86" s="2" t="s">
        <v>430</v>
      </c>
      <c r="B86" s="35"/>
      <c r="C86" s="178">
        <v>0</v>
      </c>
      <c r="D86" s="80">
        <f t="shared" si="32"/>
        <v>0</v>
      </c>
      <c r="E86" s="178">
        <v>0</v>
      </c>
      <c r="F86" s="80">
        <f t="shared" si="23"/>
        <v>0</v>
      </c>
      <c r="G86" s="178">
        <v>0</v>
      </c>
      <c r="H86" s="80">
        <f t="shared" si="24"/>
        <v>0</v>
      </c>
      <c r="I86" s="178">
        <v>0</v>
      </c>
      <c r="J86" s="80">
        <f t="shared" si="25"/>
        <v>0</v>
      </c>
      <c r="K86" s="178">
        <v>0</v>
      </c>
      <c r="L86" s="80">
        <f t="shared" si="26"/>
        <v>0</v>
      </c>
      <c r="M86" s="178">
        <v>0</v>
      </c>
      <c r="N86" s="80">
        <f t="shared" si="27"/>
        <v>0</v>
      </c>
      <c r="O86" s="178">
        <v>0</v>
      </c>
      <c r="P86" s="80">
        <f t="shared" si="28"/>
        <v>0</v>
      </c>
      <c r="Q86" s="178">
        <v>0</v>
      </c>
      <c r="R86" s="80">
        <f t="shared" si="29"/>
        <v>0</v>
      </c>
      <c r="S86" s="178">
        <v>0</v>
      </c>
      <c r="T86" s="80">
        <f t="shared" si="30"/>
        <v>0</v>
      </c>
      <c r="U86" s="178">
        <v>0</v>
      </c>
      <c r="V86" s="80">
        <f t="shared" si="31"/>
        <v>0</v>
      </c>
      <c r="X86" s="192"/>
    </row>
    <row r="87" spans="1:24" ht="12.75" customHeight="1">
      <c r="A87" s="2" t="s">
        <v>431</v>
      </c>
      <c r="B87" s="35"/>
      <c r="C87" s="178">
        <v>0</v>
      </c>
      <c r="D87" s="80">
        <f t="shared" si="32"/>
        <v>0</v>
      </c>
      <c r="E87" s="178">
        <v>0</v>
      </c>
      <c r="F87" s="80">
        <f t="shared" si="23"/>
        <v>0</v>
      </c>
      <c r="G87" s="178">
        <v>0</v>
      </c>
      <c r="H87" s="80">
        <f t="shared" si="24"/>
        <v>0</v>
      </c>
      <c r="I87" s="178">
        <v>0</v>
      </c>
      <c r="J87" s="80">
        <f t="shared" si="25"/>
        <v>0</v>
      </c>
      <c r="K87" s="178">
        <v>0</v>
      </c>
      <c r="L87" s="80">
        <f t="shared" si="26"/>
        <v>0</v>
      </c>
      <c r="M87" s="178">
        <v>0</v>
      </c>
      <c r="N87" s="80">
        <f t="shared" si="27"/>
        <v>0</v>
      </c>
      <c r="O87" s="178">
        <v>0</v>
      </c>
      <c r="P87" s="80">
        <f t="shared" si="28"/>
        <v>0</v>
      </c>
      <c r="Q87" s="178">
        <v>0</v>
      </c>
      <c r="R87" s="80">
        <f t="shared" si="29"/>
        <v>0</v>
      </c>
      <c r="S87" s="178">
        <v>0</v>
      </c>
      <c r="T87" s="80">
        <f t="shared" si="30"/>
        <v>0</v>
      </c>
      <c r="U87" s="178">
        <v>0</v>
      </c>
      <c r="V87" s="80">
        <f t="shared" si="31"/>
        <v>0</v>
      </c>
      <c r="X87" s="192"/>
    </row>
    <row r="88" spans="1:24" ht="12.75" customHeight="1">
      <c r="A88" s="2" t="s">
        <v>432</v>
      </c>
      <c r="B88" s="35"/>
      <c r="C88" s="178">
        <v>0</v>
      </c>
      <c r="D88" s="80">
        <f t="shared" si="32"/>
        <v>0</v>
      </c>
      <c r="E88" s="178">
        <v>0</v>
      </c>
      <c r="F88" s="80">
        <f t="shared" si="23"/>
        <v>0</v>
      </c>
      <c r="G88" s="178">
        <v>0</v>
      </c>
      <c r="H88" s="80">
        <f t="shared" si="24"/>
        <v>0</v>
      </c>
      <c r="I88" s="178">
        <v>0</v>
      </c>
      <c r="J88" s="80">
        <f t="shared" si="25"/>
        <v>0</v>
      </c>
      <c r="K88" s="178">
        <v>0</v>
      </c>
      <c r="L88" s="80">
        <f t="shared" si="26"/>
        <v>0</v>
      </c>
      <c r="M88" s="178">
        <v>0</v>
      </c>
      <c r="N88" s="80">
        <f t="shared" si="27"/>
        <v>0</v>
      </c>
      <c r="O88" s="178">
        <v>0</v>
      </c>
      <c r="P88" s="80">
        <f t="shared" si="28"/>
        <v>0</v>
      </c>
      <c r="Q88" s="178">
        <v>0</v>
      </c>
      <c r="R88" s="80">
        <f t="shared" si="29"/>
        <v>0</v>
      </c>
      <c r="S88" s="178">
        <v>0</v>
      </c>
      <c r="T88" s="80">
        <f t="shared" si="30"/>
        <v>0</v>
      </c>
      <c r="U88" s="178">
        <v>0</v>
      </c>
      <c r="V88" s="80">
        <f t="shared" si="31"/>
        <v>0</v>
      </c>
      <c r="X88" s="192"/>
    </row>
    <row r="89" spans="1:24" ht="12.75" customHeight="1">
      <c r="A89" s="2" t="s">
        <v>433</v>
      </c>
      <c r="B89" s="35"/>
      <c r="C89" s="178">
        <v>0</v>
      </c>
      <c r="D89" s="80">
        <f t="shared" si="32"/>
        <v>0</v>
      </c>
      <c r="E89" s="178">
        <v>0</v>
      </c>
      <c r="F89" s="80">
        <f t="shared" si="23"/>
        <v>0</v>
      </c>
      <c r="G89" s="178">
        <v>0</v>
      </c>
      <c r="H89" s="80">
        <f t="shared" si="24"/>
        <v>0</v>
      </c>
      <c r="I89" s="178">
        <v>0</v>
      </c>
      <c r="J89" s="80">
        <f t="shared" si="25"/>
        <v>0</v>
      </c>
      <c r="K89" s="178">
        <v>0</v>
      </c>
      <c r="L89" s="80">
        <f t="shared" si="26"/>
        <v>0</v>
      </c>
      <c r="M89" s="178">
        <v>0</v>
      </c>
      <c r="N89" s="80">
        <f t="shared" si="27"/>
        <v>0</v>
      </c>
      <c r="O89" s="178">
        <v>0</v>
      </c>
      <c r="P89" s="80">
        <f t="shared" si="28"/>
        <v>0</v>
      </c>
      <c r="Q89" s="178">
        <v>0</v>
      </c>
      <c r="R89" s="80">
        <f t="shared" si="29"/>
        <v>0</v>
      </c>
      <c r="S89" s="178">
        <v>0</v>
      </c>
      <c r="T89" s="80">
        <f t="shared" si="30"/>
        <v>0</v>
      </c>
      <c r="U89" s="178">
        <v>0</v>
      </c>
      <c r="V89" s="80">
        <f t="shared" si="31"/>
        <v>0</v>
      </c>
      <c r="X89" s="192"/>
    </row>
    <row r="90" spans="1:24" ht="12.75" customHeight="1">
      <c r="A90" s="2" t="s">
        <v>434</v>
      </c>
      <c r="B90" s="35"/>
      <c r="C90" s="178">
        <v>0</v>
      </c>
      <c r="D90" s="80">
        <f t="shared" si="32"/>
        <v>0</v>
      </c>
      <c r="E90" s="178">
        <v>0</v>
      </c>
      <c r="F90" s="80">
        <f t="shared" si="23"/>
        <v>0</v>
      </c>
      <c r="G90" s="178">
        <v>0</v>
      </c>
      <c r="H90" s="80">
        <f t="shared" si="24"/>
        <v>0</v>
      </c>
      <c r="I90" s="178">
        <v>0</v>
      </c>
      <c r="J90" s="80">
        <f t="shared" si="25"/>
        <v>0</v>
      </c>
      <c r="K90" s="178">
        <v>0</v>
      </c>
      <c r="L90" s="80">
        <f t="shared" si="26"/>
        <v>0</v>
      </c>
      <c r="M90" s="178">
        <v>0</v>
      </c>
      <c r="N90" s="80">
        <f t="shared" si="27"/>
        <v>0</v>
      </c>
      <c r="O90" s="178">
        <v>0</v>
      </c>
      <c r="P90" s="80">
        <f t="shared" si="28"/>
        <v>0</v>
      </c>
      <c r="Q90" s="178">
        <v>0</v>
      </c>
      <c r="R90" s="80">
        <f t="shared" si="29"/>
        <v>0</v>
      </c>
      <c r="S90" s="178">
        <v>0</v>
      </c>
      <c r="T90" s="80">
        <f t="shared" si="30"/>
        <v>0</v>
      </c>
      <c r="U90" s="178">
        <v>0</v>
      </c>
      <c r="V90" s="80">
        <f t="shared" si="31"/>
        <v>0</v>
      </c>
      <c r="X90" s="192"/>
    </row>
    <row r="91" spans="1:24" ht="12.75" customHeight="1">
      <c r="A91" s="2" t="s">
        <v>435</v>
      </c>
      <c r="C91" s="178">
        <v>0</v>
      </c>
      <c r="D91" s="80">
        <f t="shared" si="32"/>
        <v>0</v>
      </c>
      <c r="E91" s="178">
        <v>0</v>
      </c>
      <c r="F91" s="80">
        <f t="shared" si="23"/>
        <v>0</v>
      </c>
      <c r="G91" s="178">
        <v>0</v>
      </c>
      <c r="H91" s="80">
        <f t="shared" si="24"/>
        <v>0</v>
      </c>
      <c r="I91" s="178">
        <v>0</v>
      </c>
      <c r="J91" s="80">
        <f t="shared" si="25"/>
        <v>0</v>
      </c>
      <c r="K91" s="178">
        <v>0</v>
      </c>
      <c r="L91" s="80">
        <f t="shared" si="26"/>
        <v>0</v>
      </c>
      <c r="M91" s="178">
        <v>0</v>
      </c>
      <c r="N91" s="80">
        <f t="shared" si="27"/>
        <v>0</v>
      </c>
      <c r="O91" s="178">
        <v>0</v>
      </c>
      <c r="P91" s="80">
        <f t="shared" si="28"/>
        <v>0</v>
      </c>
      <c r="Q91" s="178">
        <v>0</v>
      </c>
      <c r="R91" s="80">
        <f t="shared" si="29"/>
        <v>0</v>
      </c>
      <c r="S91" s="178">
        <v>0</v>
      </c>
      <c r="T91" s="80">
        <f t="shared" si="30"/>
        <v>0</v>
      </c>
      <c r="U91" s="178">
        <v>0</v>
      </c>
      <c r="V91" s="80">
        <f t="shared" si="31"/>
        <v>0</v>
      </c>
      <c r="X91" s="192"/>
    </row>
    <row r="92" spans="1:24" ht="12.75" customHeight="1">
      <c r="A92" s="2" t="s">
        <v>436</v>
      </c>
      <c r="B92" s="35"/>
      <c r="C92" s="178">
        <v>0</v>
      </c>
      <c r="D92" s="80">
        <f t="shared" si="32"/>
        <v>0</v>
      </c>
      <c r="E92" s="178">
        <v>0</v>
      </c>
      <c r="F92" s="80">
        <f t="shared" si="23"/>
        <v>0</v>
      </c>
      <c r="G92" s="178">
        <v>0</v>
      </c>
      <c r="H92" s="80">
        <f t="shared" si="24"/>
        <v>0</v>
      </c>
      <c r="I92" s="178">
        <v>0</v>
      </c>
      <c r="J92" s="80">
        <f t="shared" si="25"/>
        <v>0</v>
      </c>
      <c r="K92" s="178">
        <v>0</v>
      </c>
      <c r="L92" s="80">
        <f t="shared" si="26"/>
        <v>0</v>
      </c>
      <c r="M92" s="178">
        <v>0</v>
      </c>
      <c r="N92" s="80">
        <f t="shared" si="27"/>
        <v>0</v>
      </c>
      <c r="O92" s="178">
        <v>0</v>
      </c>
      <c r="P92" s="80">
        <f t="shared" si="28"/>
        <v>0</v>
      </c>
      <c r="Q92" s="178">
        <v>0</v>
      </c>
      <c r="R92" s="80">
        <f t="shared" si="29"/>
        <v>0</v>
      </c>
      <c r="S92" s="178">
        <v>0</v>
      </c>
      <c r="T92" s="80">
        <f t="shared" si="30"/>
        <v>0</v>
      </c>
      <c r="U92" s="178">
        <v>0</v>
      </c>
      <c r="V92" s="80">
        <f t="shared" si="31"/>
        <v>0</v>
      </c>
      <c r="X92" s="192"/>
    </row>
    <row r="93" spans="1:24" ht="12.75" customHeight="1">
      <c r="A93" s="2" t="s">
        <v>437</v>
      </c>
      <c r="B93" s="35"/>
      <c r="C93" s="178">
        <v>0</v>
      </c>
      <c r="D93" s="80">
        <f t="shared" si="32"/>
        <v>0</v>
      </c>
      <c r="E93" s="178">
        <v>0</v>
      </c>
      <c r="F93" s="80">
        <f t="shared" si="23"/>
        <v>0</v>
      </c>
      <c r="G93" s="178">
        <v>0</v>
      </c>
      <c r="H93" s="80">
        <f t="shared" si="24"/>
        <v>0</v>
      </c>
      <c r="I93" s="178">
        <v>0</v>
      </c>
      <c r="J93" s="80">
        <f t="shared" si="25"/>
        <v>0</v>
      </c>
      <c r="K93" s="178">
        <v>0</v>
      </c>
      <c r="L93" s="80">
        <f t="shared" si="26"/>
        <v>0</v>
      </c>
      <c r="M93" s="178">
        <v>0</v>
      </c>
      <c r="N93" s="80">
        <f t="shared" si="27"/>
        <v>0</v>
      </c>
      <c r="O93" s="178">
        <v>0</v>
      </c>
      <c r="P93" s="80">
        <f t="shared" si="28"/>
        <v>0</v>
      </c>
      <c r="Q93" s="178">
        <v>0</v>
      </c>
      <c r="R93" s="80">
        <f t="shared" si="29"/>
        <v>0</v>
      </c>
      <c r="S93" s="178">
        <v>0</v>
      </c>
      <c r="T93" s="80">
        <f t="shared" si="30"/>
        <v>0</v>
      </c>
      <c r="U93" s="178">
        <v>0</v>
      </c>
      <c r="V93" s="80">
        <f t="shared" si="31"/>
        <v>0</v>
      </c>
      <c r="X93" s="192"/>
    </row>
    <row r="94" spans="1:24" ht="12.75" customHeight="1">
      <c r="A94" s="2" t="s">
        <v>438</v>
      </c>
      <c r="B94" s="35"/>
      <c r="C94" s="178">
        <v>0</v>
      </c>
      <c r="D94" s="80">
        <f t="shared" si="32"/>
        <v>0</v>
      </c>
      <c r="E94" s="178">
        <v>0</v>
      </c>
      <c r="F94" s="80">
        <f t="shared" si="23"/>
        <v>0</v>
      </c>
      <c r="G94" s="178">
        <v>0</v>
      </c>
      <c r="H94" s="80">
        <f t="shared" si="24"/>
        <v>0</v>
      </c>
      <c r="I94" s="178">
        <v>0</v>
      </c>
      <c r="J94" s="80">
        <f t="shared" si="25"/>
        <v>0</v>
      </c>
      <c r="K94" s="178">
        <v>0</v>
      </c>
      <c r="L94" s="80">
        <f t="shared" si="26"/>
        <v>0</v>
      </c>
      <c r="M94" s="178">
        <v>0</v>
      </c>
      <c r="N94" s="80">
        <f t="shared" si="27"/>
        <v>0</v>
      </c>
      <c r="O94" s="178">
        <v>0</v>
      </c>
      <c r="P94" s="80">
        <f t="shared" si="28"/>
        <v>0</v>
      </c>
      <c r="Q94" s="178">
        <v>0</v>
      </c>
      <c r="R94" s="80">
        <f t="shared" si="29"/>
        <v>0</v>
      </c>
      <c r="S94" s="178">
        <v>0</v>
      </c>
      <c r="T94" s="80">
        <f t="shared" si="30"/>
        <v>0</v>
      </c>
      <c r="U94" s="178">
        <v>0</v>
      </c>
      <c r="V94" s="80">
        <f t="shared" si="31"/>
        <v>0</v>
      </c>
      <c r="X94" s="192"/>
    </row>
    <row r="95" spans="1:24" ht="12.75" customHeight="1">
      <c r="A95" s="2" t="s">
        <v>439</v>
      </c>
      <c r="B95" s="35"/>
      <c r="C95" s="178">
        <v>0</v>
      </c>
      <c r="D95" s="80">
        <f t="shared" si="32"/>
        <v>0</v>
      </c>
      <c r="E95" s="178">
        <v>0</v>
      </c>
      <c r="F95" s="80">
        <f t="shared" si="23"/>
        <v>0</v>
      </c>
      <c r="G95" s="178">
        <v>0</v>
      </c>
      <c r="H95" s="80">
        <f t="shared" si="24"/>
        <v>0</v>
      </c>
      <c r="I95" s="178">
        <v>0</v>
      </c>
      <c r="J95" s="80">
        <f t="shared" si="25"/>
        <v>0</v>
      </c>
      <c r="K95" s="178">
        <v>0</v>
      </c>
      <c r="L95" s="80">
        <f t="shared" si="26"/>
        <v>0</v>
      </c>
      <c r="M95" s="178">
        <v>0</v>
      </c>
      <c r="N95" s="80">
        <f t="shared" si="27"/>
        <v>0</v>
      </c>
      <c r="O95" s="178">
        <v>0</v>
      </c>
      <c r="P95" s="80">
        <f t="shared" si="28"/>
        <v>0</v>
      </c>
      <c r="Q95" s="178">
        <v>0</v>
      </c>
      <c r="R95" s="80">
        <f t="shared" si="29"/>
        <v>0</v>
      </c>
      <c r="S95" s="178">
        <v>0</v>
      </c>
      <c r="T95" s="80">
        <f t="shared" si="30"/>
        <v>0</v>
      </c>
      <c r="U95" s="178">
        <v>0</v>
      </c>
      <c r="V95" s="80">
        <f t="shared" si="31"/>
        <v>0</v>
      </c>
      <c r="X95" s="192"/>
    </row>
    <row r="96" spans="1:24" ht="12.75" customHeight="1">
      <c r="A96" s="2" t="s">
        <v>440</v>
      </c>
      <c r="B96" s="35"/>
      <c r="C96" s="178">
        <v>0</v>
      </c>
      <c r="D96" s="80">
        <f t="shared" si="32"/>
        <v>0</v>
      </c>
      <c r="E96" s="178">
        <v>0</v>
      </c>
      <c r="F96" s="80">
        <f t="shared" si="23"/>
        <v>0</v>
      </c>
      <c r="G96" s="178">
        <v>0</v>
      </c>
      <c r="H96" s="80">
        <f t="shared" si="24"/>
        <v>0</v>
      </c>
      <c r="I96" s="178">
        <v>0</v>
      </c>
      <c r="J96" s="80">
        <f t="shared" si="25"/>
        <v>0</v>
      </c>
      <c r="K96" s="178">
        <v>0</v>
      </c>
      <c r="L96" s="80">
        <f t="shared" si="26"/>
        <v>0</v>
      </c>
      <c r="M96" s="178">
        <v>0</v>
      </c>
      <c r="N96" s="80">
        <f t="shared" si="27"/>
        <v>0</v>
      </c>
      <c r="O96" s="178">
        <v>0</v>
      </c>
      <c r="P96" s="80">
        <f t="shared" si="28"/>
        <v>0</v>
      </c>
      <c r="Q96" s="178">
        <v>0</v>
      </c>
      <c r="R96" s="80">
        <f t="shared" si="29"/>
        <v>0</v>
      </c>
      <c r="S96" s="178">
        <v>0</v>
      </c>
      <c r="T96" s="80">
        <f t="shared" si="30"/>
        <v>0</v>
      </c>
      <c r="U96" s="178">
        <v>0</v>
      </c>
      <c r="V96" s="80">
        <f t="shared" si="31"/>
        <v>0</v>
      </c>
      <c r="X96" s="192"/>
    </row>
    <row r="97" spans="1:24" ht="12.75" customHeight="1">
      <c r="A97" s="2" t="s">
        <v>441</v>
      </c>
      <c r="B97" s="35"/>
      <c r="C97" s="178">
        <v>0</v>
      </c>
      <c r="D97" s="80">
        <f t="shared" si="32"/>
        <v>0</v>
      </c>
      <c r="E97" s="178">
        <v>0</v>
      </c>
      <c r="F97" s="80">
        <f t="shared" si="23"/>
        <v>0</v>
      </c>
      <c r="G97" s="178">
        <v>0</v>
      </c>
      <c r="H97" s="80">
        <f t="shared" si="24"/>
        <v>0</v>
      </c>
      <c r="I97" s="178">
        <v>0</v>
      </c>
      <c r="J97" s="80">
        <f t="shared" si="25"/>
        <v>0</v>
      </c>
      <c r="K97" s="178">
        <v>0</v>
      </c>
      <c r="L97" s="80">
        <f t="shared" si="26"/>
        <v>0</v>
      </c>
      <c r="M97" s="178">
        <v>0</v>
      </c>
      <c r="N97" s="80">
        <f t="shared" si="27"/>
        <v>0</v>
      </c>
      <c r="O97" s="178">
        <v>0</v>
      </c>
      <c r="P97" s="80">
        <f t="shared" si="28"/>
        <v>0</v>
      </c>
      <c r="Q97" s="178">
        <v>0</v>
      </c>
      <c r="R97" s="80">
        <f t="shared" si="29"/>
        <v>0</v>
      </c>
      <c r="S97" s="178">
        <v>0</v>
      </c>
      <c r="T97" s="80">
        <f t="shared" si="30"/>
        <v>0</v>
      </c>
      <c r="U97" s="178">
        <v>0</v>
      </c>
      <c r="V97" s="80">
        <f t="shared" si="31"/>
        <v>0</v>
      </c>
      <c r="X97" s="192"/>
    </row>
    <row r="98" spans="1:24" ht="12.75" customHeight="1">
      <c r="A98" s="117" t="s">
        <v>444</v>
      </c>
      <c r="B98" s="35"/>
      <c r="C98" s="178">
        <v>0</v>
      </c>
      <c r="D98" s="80">
        <f t="shared" si="32"/>
        <v>0</v>
      </c>
      <c r="E98" s="178">
        <v>0</v>
      </c>
      <c r="F98" s="80">
        <f t="shared" si="23"/>
        <v>0</v>
      </c>
      <c r="G98" s="178">
        <v>0</v>
      </c>
      <c r="H98" s="80">
        <f t="shared" si="24"/>
        <v>0</v>
      </c>
      <c r="I98" s="178">
        <v>0</v>
      </c>
      <c r="J98" s="80">
        <f t="shared" si="25"/>
        <v>0</v>
      </c>
      <c r="K98" s="178">
        <v>0</v>
      </c>
      <c r="L98" s="80">
        <f t="shared" si="26"/>
        <v>0</v>
      </c>
      <c r="M98" s="178">
        <v>0</v>
      </c>
      <c r="N98" s="80">
        <f t="shared" si="27"/>
        <v>0</v>
      </c>
      <c r="O98" s="178">
        <v>0</v>
      </c>
      <c r="P98" s="80">
        <f t="shared" si="28"/>
        <v>0</v>
      </c>
      <c r="Q98" s="178">
        <v>0</v>
      </c>
      <c r="R98" s="80">
        <f t="shared" si="29"/>
        <v>0</v>
      </c>
      <c r="S98" s="178">
        <v>0</v>
      </c>
      <c r="T98" s="80">
        <f t="shared" si="30"/>
        <v>0</v>
      </c>
      <c r="U98" s="178">
        <v>0</v>
      </c>
      <c r="V98" s="80">
        <f t="shared" si="31"/>
        <v>0</v>
      </c>
      <c r="X98" s="192"/>
    </row>
    <row r="99" spans="1:24" ht="12.75" customHeight="1">
      <c r="A99" s="117" t="s">
        <v>444</v>
      </c>
      <c r="B99" s="35"/>
      <c r="C99" s="178">
        <v>0</v>
      </c>
      <c r="D99" s="80">
        <f t="shared" si="32"/>
        <v>0</v>
      </c>
      <c r="E99" s="178">
        <v>0</v>
      </c>
      <c r="F99" s="80">
        <f t="shared" si="23"/>
        <v>0</v>
      </c>
      <c r="G99" s="178">
        <v>0</v>
      </c>
      <c r="H99" s="80">
        <f t="shared" si="24"/>
        <v>0</v>
      </c>
      <c r="I99" s="178">
        <v>0</v>
      </c>
      <c r="J99" s="80">
        <f t="shared" si="25"/>
        <v>0</v>
      </c>
      <c r="K99" s="178">
        <v>0</v>
      </c>
      <c r="L99" s="80">
        <f t="shared" si="26"/>
        <v>0</v>
      </c>
      <c r="M99" s="178">
        <v>0</v>
      </c>
      <c r="N99" s="80">
        <f t="shared" si="27"/>
        <v>0</v>
      </c>
      <c r="O99" s="178">
        <v>0</v>
      </c>
      <c r="P99" s="80">
        <f t="shared" si="28"/>
        <v>0</v>
      </c>
      <c r="Q99" s="178">
        <v>0</v>
      </c>
      <c r="R99" s="80">
        <f t="shared" si="29"/>
        <v>0</v>
      </c>
      <c r="S99" s="178">
        <v>0</v>
      </c>
      <c r="T99" s="80">
        <f t="shared" si="30"/>
        <v>0</v>
      </c>
      <c r="U99" s="178">
        <v>0</v>
      </c>
      <c r="V99" s="80">
        <f t="shared" si="31"/>
        <v>0</v>
      </c>
      <c r="X99" s="192"/>
    </row>
    <row r="100" spans="1:24" ht="12.75" customHeight="1">
      <c r="A100" s="117" t="s">
        <v>444</v>
      </c>
      <c r="B100" s="35"/>
      <c r="C100" s="178">
        <v>0</v>
      </c>
      <c r="D100" s="80">
        <f t="shared" si="32"/>
        <v>0</v>
      </c>
      <c r="E100" s="178">
        <v>0</v>
      </c>
      <c r="F100" s="80">
        <f t="shared" si="23"/>
        <v>0</v>
      </c>
      <c r="G100" s="178">
        <v>0</v>
      </c>
      <c r="H100" s="80">
        <f t="shared" si="24"/>
        <v>0</v>
      </c>
      <c r="I100" s="178">
        <v>0</v>
      </c>
      <c r="J100" s="80">
        <f t="shared" si="25"/>
        <v>0</v>
      </c>
      <c r="K100" s="178">
        <v>0</v>
      </c>
      <c r="L100" s="80">
        <f t="shared" si="26"/>
        <v>0</v>
      </c>
      <c r="M100" s="178">
        <v>0</v>
      </c>
      <c r="N100" s="80">
        <f t="shared" si="27"/>
        <v>0</v>
      </c>
      <c r="O100" s="178">
        <v>0</v>
      </c>
      <c r="P100" s="80">
        <f t="shared" si="28"/>
        <v>0</v>
      </c>
      <c r="Q100" s="178">
        <v>0</v>
      </c>
      <c r="R100" s="80">
        <f t="shared" si="29"/>
        <v>0</v>
      </c>
      <c r="S100" s="178">
        <v>0</v>
      </c>
      <c r="T100" s="80">
        <f t="shared" si="30"/>
        <v>0</v>
      </c>
      <c r="U100" s="178">
        <v>0</v>
      </c>
      <c r="V100" s="80">
        <f t="shared" si="31"/>
        <v>0</v>
      </c>
      <c r="X100" s="192"/>
    </row>
    <row r="101" spans="1:24" ht="12.75" customHeight="1">
      <c r="A101" s="2" t="s">
        <v>445</v>
      </c>
      <c r="B101" s="35"/>
      <c r="C101" s="178"/>
      <c r="D101" s="80">
        <f t="shared" si="32"/>
        <v>0</v>
      </c>
      <c r="E101" s="178"/>
      <c r="F101" s="80">
        <f t="shared" si="23"/>
        <v>0</v>
      </c>
      <c r="G101" s="178"/>
      <c r="H101" s="80">
        <f t="shared" si="24"/>
        <v>0</v>
      </c>
      <c r="I101" s="178">
        <v>0</v>
      </c>
      <c r="J101" s="80">
        <f t="shared" si="25"/>
        <v>0</v>
      </c>
      <c r="K101" s="178">
        <v>0</v>
      </c>
      <c r="L101" s="80">
        <f t="shared" si="26"/>
        <v>0</v>
      </c>
      <c r="M101" s="178">
        <v>0</v>
      </c>
      <c r="N101" s="80">
        <f t="shared" si="27"/>
        <v>0</v>
      </c>
      <c r="O101" s="178">
        <v>0</v>
      </c>
      <c r="P101" s="80">
        <f t="shared" si="28"/>
        <v>0</v>
      </c>
      <c r="Q101" s="178">
        <v>0</v>
      </c>
      <c r="R101" s="80">
        <f t="shared" si="29"/>
        <v>0</v>
      </c>
      <c r="S101" s="178">
        <v>0</v>
      </c>
      <c r="T101" s="80">
        <f t="shared" si="30"/>
        <v>0</v>
      </c>
      <c r="U101" s="178">
        <v>0</v>
      </c>
      <c r="V101" s="80">
        <f t="shared" si="31"/>
        <v>0</v>
      </c>
      <c r="X101" s="192"/>
    </row>
    <row r="102" spans="1:24" ht="12.75" customHeight="1">
      <c r="A102" s="117" t="s">
        <v>446</v>
      </c>
      <c r="B102" s="35"/>
      <c r="C102" s="178">
        <v>0</v>
      </c>
      <c r="D102" s="80">
        <f t="shared" si="32"/>
        <v>0</v>
      </c>
      <c r="E102" s="178">
        <v>0</v>
      </c>
      <c r="F102" s="80">
        <f t="shared" si="23"/>
        <v>0</v>
      </c>
      <c r="G102" s="178">
        <v>0</v>
      </c>
      <c r="H102" s="80">
        <f t="shared" si="24"/>
        <v>0</v>
      </c>
      <c r="I102" s="178">
        <v>0</v>
      </c>
      <c r="J102" s="80">
        <f t="shared" si="25"/>
        <v>0</v>
      </c>
      <c r="K102" s="178">
        <v>0</v>
      </c>
      <c r="L102" s="80">
        <f t="shared" si="26"/>
        <v>0</v>
      </c>
      <c r="M102" s="178">
        <v>0</v>
      </c>
      <c r="N102" s="80">
        <f t="shared" si="27"/>
        <v>0</v>
      </c>
      <c r="O102" s="178">
        <v>0</v>
      </c>
      <c r="P102" s="80">
        <f t="shared" si="28"/>
        <v>0</v>
      </c>
      <c r="Q102" s="178">
        <v>0</v>
      </c>
      <c r="R102" s="80">
        <f t="shared" si="29"/>
        <v>0</v>
      </c>
      <c r="S102" s="178">
        <v>0</v>
      </c>
      <c r="T102" s="80">
        <f t="shared" si="30"/>
        <v>0</v>
      </c>
      <c r="U102" s="178">
        <v>0</v>
      </c>
      <c r="V102" s="80">
        <f t="shared" si="31"/>
        <v>0</v>
      </c>
      <c r="X102" s="192"/>
    </row>
    <row r="103" spans="1:24" ht="12.75" customHeight="1">
      <c r="A103" s="117" t="s">
        <v>446</v>
      </c>
      <c r="B103" s="35"/>
      <c r="C103" s="178">
        <v>0</v>
      </c>
      <c r="D103" s="80">
        <f t="shared" si="32"/>
        <v>0</v>
      </c>
      <c r="E103" s="178">
        <v>0</v>
      </c>
      <c r="F103" s="80">
        <f t="shared" si="23"/>
        <v>0</v>
      </c>
      <c r="G103" s="178">
        <v>0</v>
      </c>
      <c r="H103" s="80">
        <f t="shared" si="24"/>
        <v>0</v>
      </c>
      <c r="I103" s="178">
        <v>0</v>
      </c>
      <c r="J103" s="80">
        <f t="shared" si="25"/>
        <v>0</v>
      </c>
      <c r="K103" s="178">
        <v>0</v>
      </c>
      <c r="L103" s="80">
        <f t="shared" si="26"/>
        <v>0</v>
      </c>
      <c r="M103" s="178">
        <v>0</v>
      </c>
      <c r="N103" s="80">
        <f t="shared" si="27"/>
        <v>0</v>
      </c>
      <c r="O103" s="178">
        <v>0</v>
      </c>
      <c r="P103" s="80">
        <f t="shared" si="28"/>
        <v>0</v>
      </c>
      <c r="Q103" s="178">
        <v>0</v>
      </c>
      <c r="R103" s="80">
        <f t="shared" si="29"/>
        <v>0</v>
      </c>
      <c r="S103" s="178">
        <v>0</v>
      </c>
      <c r="T103" s="80">
        <f t="shared" si="30"/>
        <v>0</v>
      </c>
      <c r="U103" s="178">
        <v>0</v>
      </c>
      <c r="V103" s="80">
        <f t="shared" si="31"/>
        <v>0</v>
      </c>
      <c r="X103" s="192"/>
    </row>
    <row r="104" spans="1:24" ht="12.75" customHeight="1">
      <c r="A104" s="117" t="s">
        <v>446</v>
      </c>
      <c r="B104" s="35"/>
      <c r="C104" s="178">
        <v>0</v>
      </c>
      <c r="D104" s="80">
        <f t="shared" si="32"/>
        <v>0</v>
      </c>
      <c r="E104" s="178">
        <v>0</v>
      </c>
      <c r="F104" s="80">
        <f t="shared" si="23"/>
        <v>0</v>
      </c>
      <c r="G104" s="178">
        <v>0</v>
      </c>
      <c r="H104" s="80">
        <f t="shared" si="24"/>
        <v>0</v>
      </c>
      <c r="I104" s="178">
        <v>0</v>
      </c>
      <c r="J104" s="80">
        <f t="shared" si="25"/>
        <v>0</v>
      </c>
      <c r="K104" s="178">
        <v>0</v>
      </c>
      <c r="L104" s="80">
        <f t="shared" si="26"/>
        <v>0</v>
      </c>
      <c r="M104" s="178">
        <v>0</v>
      </c>
      <c r="N104" s="80">
        <f t="shared" si="27"/>
        <v>0</v>
      </c>
      <c r="O104" s="178">
        <v>0</v>
      </c>
      <c r="P104" s="80">
        <f t="shared" si="28"/>
        <v>0</v>
      </c>
      <c r="Q104" s="178">
        <v>0</v>
      </c>
      <c r="R104" s="80">
        <f t="shared" si="29"/>
        <v>0</v>
      </c>
      <c r="S104" s="178">
        <v>0</v>
      </c>
      <c r="T104" s="80">
        <f t="shared" si="30"/>
        <v>0</v>
      </c>
      <c r="U104" s="178">
        <v>0</v>
      </c>
      <c r="V104" s="80">
        <f t="shared" si="31"/>
        <v>0</v>
      </c>
      <c r="X104" s="192"/>
    </row>
    <row r="105" spans="1:24" ht="12.75" customHeight="1">
      <c r="A105" s="1" t="s">
        <v>447</v>
      </c>
      <c r="B105" s="53"/>
      <c r="C105" s="82">
        <f>SUM(C52:C104)</f>
        <v>0</v>
      </c>
      <c r="D105" s="83">
        <f t="shared" si="32"/>
        <v>0</v>
      </c>
      <c r="E105" s="82">
        <f>SUM(E52:E104)</f>
        <v>0</v>
      </c>
      <c r="F105" s="83">
        <f t="shared" si="23"/>
        <v>0</v>
      </c>
      <c r="G105" s="82">
        <f>SUM(G52:G104)</f>
        <v>0</v>
      </c>
      <c r="H105" s="83">
        <f t="shared" si="24"/>
        <v>0</v>
      </c>
      <c r="I105" s="82">
        <f>SUM(I52:I104)</f>
        <v>0</v>
      </c>
      <c r="J105" s="83">
        <f t="shared" si="25"/>
        <v>0</v>
      </c>
      <c r="K105" s="82">
        <f>SUM(K52:K104)</f>
        <v>0</v>
      </c>
      <c r="L105" s="83">
        <f t="shared" si="26"/>
        <v>0</v>
      </c>
      <c r="M105" s="82">
        <f>SUM(M52:M104)</f>
        <v>0</v>
      </c>
      <c r="N105" s="83">
        <f t="shared" si="27"/>
        <v>0</v>
      </c>
      <c r="O105" s="82">
        <f>SUM(O52:O104)</f>
        <v>0</v>
      </c>
      <c r="P105" s="83">
        <f t="shared" si="28"/>
        <v>0</v>
      </c>
      <c r="Q105" s="82">
        <f>SUM(Q52:Q104)</f>
        <v>0</v>
      </c>
      <c r="R105" s="83">
        <f t="shared" si="29"/>
        <v>0</v>
      </c>
      <c r="S105" s="82">
        <f>SUM(S52:S104)</f>
        <v>0</v>
      </c>
      <c r="T105" s="83">
        <f t="shared" si="30"/>
        <v>0</v>
      </c>
      <c r="U105" s="82">
        <f>SUM(U52:U104)</f>
        <v>0</v>
      </c>
      <c r="V105" s="83">
        <f t="shared" si="31"/>
        <v>0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448</v>
      </c>
      <c r="B107" s="53"/>
      <c r="C107" s="82">
        <f>C28-C33-C46-C105</f>
        <v>30000</v>
      </c>
      <c r="D107" s="83">
        <f>IFERROR(C107/C$28,0)</f>
        <v>1</v>
      </c>
      <c r="E107" s="82">
        <f>E28-E33-E46-E105</f>
        <v>30600</v>
      </c>
      <c r="F107" s="83">
        <f>IFERROR(E107/E$28,0)</f>
        <v>1</v>
      </c>
      <c r="G107" s="82">
        <f>G28-G33-G46-G105</f>
        <v>31212</v>
      </c>
      <c r="H107" s="83">
        <f>IFERROR(G107/G$28,0)</f>
        <v>1</v>
      </c>
      <c r="I107" s="82">
        <f>I28-I33-I46-I105</f>
        <v>31836.240000000002</v>
      </c>
      <c r="J107" s="83">
        <f>IFERROR(I107/I$28,0)</f>
        <v>1</v>
      </c>
      <c r="K107" s="82">
        <f>K28-K33-K46-K105</f>
        <v>32472.964800000002</v>
      </c>
      <c r="L107" s="83">
        <f>IFERROR(K107/K$28,0)</f>
        <v>1</v>
      </c>
      <c r="M107" s="82">
        <f>M28-M33-M46-M105</f>
        <v>33122.424096000002</v>
      </c>
      <c r="N107" s="83">
        <f>IFERROR(M107/M$28,0)</f>
        <v>1</v>
      </c>
      <c r="O107" s="82">
        <f>O28-O33-O46-O105</f>
        <v>33784.872577920003</v>
      </c>
      <c r="P107" s="83">
        <f>IFERROR(O107/O$28,0)</f>
        <v>1</v>
      </c>
      <c r="Q107" s="82">
        <f>Q28-Q33-Q46-Q105</f>
        <v>34460.570029478404</v>
      </c>
      <c r="R107" s="83">
        <f>IFERROR(Q107/Q$28,0)</f>
        <v>1</v>
      </c>
      <c r="S107" s="82">
        <f>S28-S33-S46-S105</f>
        <v>35149.781430067975</v>
      </c>
      <c r="T107" s="83">
        <f>IFERROR(S107/S$28,0)</f>
        <v>1</v>
      </c>
      <c r="U107" s="82">
        <f>U28-U33-U46-U105</f>
        <v>35852.777058669337</v>
      </c>
      <c r="V107" s="83">
        <f>IFERROR(U107/U$28,0)</f>
        <v>1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449</v>
      </c>
      <c r="B110" s="40"/>
      <c r="C110" s="86" t="str">
        <f>C50</f>
        <v>FY 2018-19</v>
      </c>
      <c r="D110" s="86" t="s">
        <v>366</v>
      </c>
      <c r="E110" s="86" t="str">
        <f>E50</f>
        <v>FY 2019-20</v>
      </c>
      <c r="F110" s="86" t="s">
        <v>366</v>
      </c>
      <c r="G110" s="86" t="str">
        <f>G50</f>
        <v>FY 2020-21</v>
      </c>
      <c r="H110" s="86" t="s">
        <v>366</v>
      </c>
      <c r="I110" s="86" t="str">
        <f>I50</f>
        <v>FY 2021-22</v>
      </c>
      <c r="J110" s="86" t="s">
        <v>366</v>
      </c>
      <c r="K110" s="86" t="str">
        <f>K50</f>
        <v>FY 2022-23</v>
      </c>
      <c r="L110" s="86" t="s">
        <v>366</v>
      </c>
      <c r="M110" s="86" t="str">
        <f>M50</f>
        <v>FY 2023-24</v>
      </c>
      <c r="N110" s="86" t="s">
        <v>366</v>
      </c>
      <c r="O110" s="86" t="str">
        <f>O50</f>
        <v>FY 2024-25</v>
      </c>
      <c r="P110" s="86" t="s">
        <v>366</v>
      </c>
      <c r="Q110" s="86" t="str">
        <f>Q50</f>
        <v>FY 2025-26</v>
      </c>
      <c r="R110" s="86" t="s">
        <v>366</v>
      </c>
      <c r="S110" s="86" t="str">
        <f>S50</f>
        <v>FY 2026-27</v>
      </c>
      <c r="T110" s="86" t="s">
        <v>366</v>
      </c>
      <c r="U110" s="86" t="str">
        <f>U50</f>
        <v>FY 2027-28</v>
      </c>
      <c r="V110" s="86" t="s">
        <v>366</v>
      </c>
    </row>
    <row r="111" spans="1:24" ht="12.75" customHeight="1">
      <c r="A111" s="2" t="s">
        <v>403</v>
      </c>
      <c r="B111" s="35"/>
      <c r="C111" s="79">
        <f>C59</f>
        <v>0</v>
      </c>
      <c r="D111" s="80">
        <f t="shared" ref="D111:D116" si="33">IFERROR(C111/C$28,0)</f>
        <v>0</v>
      </c>
      <c r="E111" s="79">
        <f>E59</f>
        <v>0</v>
      </c>
      <c r="F111" s="80">
        <f t="shared" ref="F111:F116" si="34">IFERROR(E111/E$28,0)</f>
        <v>0</v>
      </c>
      <c r="G111" s="79">
        <f>G59</f>
        <v>0</v>
      </c>
      <c r="H111" s="80">
        <f t="shared" ref="H111:H116" si="35">IFERROR(G111/G$28,0)</f>
        <v>0</v>
      </c>
      <c r="I111" s="79">
        <f>I59</f>
        <v>0</v>
      </c>
      <c r="J111" s="80">
        <f t="shared" ref="J111:J116" si="36">IFERROR(I111/I$28,0)</f>
        <v>0</v>
      </c>
      <c r="K111" s="79">
        <f>K59</f>
        <v>0</v>
      </c>
      <c r="L111" s="80">
        <f t="shared" ref="L111:L116" si="37">IFERROR(K111/K$28,0)</f>
        <v>0</v>
      </c>
      <c r="M111" s="79">
        <f>M59</f>
        <v>0</v>
      </c>
      <c r="N111" s="80">
        <f t="shared" ref="N111:N116" si="38">IFERROR(M111/M$28,0)</f>
        <v>0</v>
      </c>
      <c r="O111" s="79">
        <f>O59</f>
        <v>0</v>
      </c>
      <c r="P111" s="80">
        <f t="shared" ref="P111:P116" si="39">IFERROR(O111/O$28,0)</f>
        <v>0</v>
      </c>
      <c r="Q111" s="79">
        <f>Q59</f>
        <v>0</v>
      </c>
      <c r="R111" s="80">
        <f t="shared" ref="R111:R116" si="40">IFERROR(Q111/Q$28,0)</f>
        <v>0</v>
      </c>
      <c r="S111" s="79">
        <f>S59</f>
        <v>0</v>
      </c>
      <c r="T111" s="80">
        <f t="shared" ref="T111:T116" si="41">IFERROR(S111/S$28,0)</f>
        <v>0</v>
      </c>
      <c r="U111" s="79">
        <f>U59</f>
        <v>0</v>
      </c>
      <c r="V111" s="80">
        <f t="shared" ref="V111:V116" si="42">IFERROR(U111/U$28,0)</f>
        <v>0</v>
      </c>
    </row>
    <row r="112" spans="1:24" ht="12.75" customHeight="1">
      <c r="A112" s="2" t="s">
        <v>450</v>
      </c>
      <c r="B112" s="35"/>
      <c r="C112" s="79">
        <f>C62</f>
        <v>0</v>
      </c>
      <c r="D112" s="80">
        <f t="shared" si="33"/>
        <v>0</v>
      </c>
      <c r="E112" s="79">
        <f>E62</f>
        <v>0</v>
      </c>
      <c r="F112" s="80">
        <f t="shared" si="34"/>
        <v>0</v>
      </c>
      <c r="G112" s="79">
        <f>G62</f>
        <v>0</v>
      </c>
      <c r="H112" s="80">
        <f t="shared" si="35"/>
        <v>0</v>
      </c>
      <c r="I112" s="79">
        <f>I62</f>
        <v>0</v>
      </c>
      <c r="J112" s="80">
        <f t="shared" si="36"/>
        <v>0</v>
      </c>
      <c r="K112" s="79">
        <f>K62</f>
        <v>0</v>
      </c>
      <c r="L112" s="80">
        <f t="shared" si="37"/>
        <v>0</v>
      </c>
      <c r="M112" s="79">
        <f>M62</f>
        <v>0</v>
      </c>
      <c r="N112" s="80">
        <f t="shared" si="38"/>
        <v>0</v>
      </c>
      <c r="O112" s="79">
        <f>O62</f>
        <v>0</v>
      </c>
      <c r="P112" s="80">
        <f t="shared" si="39"/>
        <v>0</v>
      </c>
      <c r="Q112" s="79">
        <f>Q62</f>
        <v>0</v>
      </c>
      <c r="R112" s="80">
        <f t="shared" si="40"/>
        <v>0</v>
      </c>
      <c r="S112" s="79">
        <f>S62</f>
        <v>0</v>
      </c>
      <c r="T112" s="80">
        <f t="shared" si="41"/>
        <v>0</v>
      </c>
      <c r="U112" s="79">
        <f>U62</f>
        <v>0</v>
      </c>
      <c r="V112" s="80">
        <f t="shared" si="42"/>
        <v>0</v>
      </c>
    </row>
    <row r="113" spans="1:22" ht="12.75" customHeight="1">
      <c r="A113" s="117" t="s">
        <v>446</v>
      </c>
      <c r="B113" s="41"/>
      <c r="C113" s="111">
        <v>0</v>
      </c>
      <c r="D113" s="80">
        <f t="shared" si="33"/>
        <v>0</v>
      </c>
      <c r="E113" s="111">
        <v>0</v>
      </c>
      <c r="F113" s="80">
        <f t="shared" si="34"/>
        <v>0</v>
      </c>
      <c r="G113" s="111">
        <v>0</v>
      </c>
      <c r="H113" s="80">
        <f t="shared" si="35"/>
        <v>0</v>
      </c>
      <c r="I113" s="111">
        <v>0</v>
      </c>
      <c r="J113" s="80">
        <f t="shared" si="36"/>
        <v>0</v>
      </c>
      <c r="K113" s="111">
        <v>0</v>
      </c>
      <c r="L113" s="80">
        <f t="shared" si="37"/>
        <v>0</v>
      </c>
      <c r="M113" s="111">
        <v>0</v>
      </c>
      <c r="N113" s="80">
        <f t="shared" si="38"/>
        <v>0</v>
      </c>
      <c r="O113" s="111">
        <v>0</v>
      </c>
      <c r="P113" s="80">
        <f t="shared" si="39"/>
        <v>0</v>
      </c>
      <c r="Q113" s="111">
        <v>0</v>
      </c>
      <c r="R113" s="80">
        <f t="shared" si="40"/>
        <v>0</v>
      </c>
      <c r="S113" s="111">
        <v>0</v>
      </c>
      <c r="T113" s="80">
        <f t="shared" si="41"/>
        <v>0</v>
      </c>
      <c r="U113" s="111">
        <v>0</v>
      </c>
      <c r="V113" s="80">
        <f t="shared" si="42"/>
        <v>0</v>
      </c>
    </row>
    <row r="114" spans="1:22" ht="12.75" customHeight="1">
      <c r="A114" s="117" t="s">
        <v>446</v>
      </c>
      <c r="B114" s="41"/>
      <c r="C114" s="111">
        <v>0</v>
      </c>
      <c r="D114" s="80">
        <f t="shared" si="33"/>
        <v>0</v>
      </c>
      <c r="E114" s="111">
        <v>0</v>
      </c>
      <c r="F114" s="80">
        <f t="shared" si="34"/>
        <v>0</v>
      </c>
      <c r="G114" s="111">
        <v>0</v>
      </c>
      <c r="H114" s="80">
        <f t="shared" si="35"/>
        <v>0</v>
      </c>
      <c r="I114" s="111">
        <v>0</v>
      </c>
      <c r="J114" s="80">
        <f t="shared" si="36"/>
        <v>0</v>
      </c>
      <c r="K114" s="111">
        <v>0</v>
      </c>
      <c r="L114" s="80">
        <f t="shared" si="37"/>
        <v>0</v>
      </c>
      <c r="M114" s="111">
        <v>0</v>
      </c>
      <c r="N114" s="80">
        <f t="shared" si="38"/>
        <v>0</v>
      </c>
      <c r="O114" s="111">
        <v>0</v>
      </c>
      <c r="P114" s="80">
        <f t="shared" si="39"/>
        <v>0</v>
      </c>
      <c r="Q114" s="111">
        <v>0</v>
      </c>
      <c r="R114" s="80">
        <f t="shared" si="40"/>
        <v>0</v>
      </c>
      <c r="S114" s="111">
        <v>0</v>
      </c>
      <c r="T114" s="80">
        <f t="shared" si="41"/>
        <v>0</v>
      </c>
      <c r="U114" s="111">
        <v>0</v>
      </c>
      <c r="V114" s="80">
        <f t="shared" si="42"/>
        <v>0</v>
      </c>
    </row>
    <row r="115" spans="1:22" ht="12.75" customHeight="1">
      <c r="A115" s="117" t="s">
        <v>446</v>
      </c>
      <c r="B115" s="41"/>
      <c r="C115" s="112">
        <v>0</v>
      </c>
      <c r="D115" s="80">
        <f t="shared" si="33"/>
        <v>0</v>
      </c>
      <c r="E115" s="112">
        <v>0</v>
      </c>
      <c r="F115" s="80">
        <f t="shared" si="34"/>
        <v>0</v>
      </c>
      <c r="G115" s="112">
        <v>0</v>
      </c>
      <c r="H115" s="80">
        <f t="shared" si="35"/>
        <v>0</v>
      </c>
      <c r="I115" s="112">
        <v>0</v>
      </c>
      <c r="J115" s="80">
        <f t="shared" si="36"/>
        <v>0</v>
      </c>
      <c r="K115" s="112">
        <v>0</v>
      </c>
      <c r="L115" s="80">
        <f t="shared" si="37"/>
        <v>0</v>
      </c>
      <c r="M115" s="112">
        <v>0</v>
      </c>
      <c r="N115" s="80">
        <f t="shared" si="38"/>
        <v>0</v>
      </c>
      <c r="O115" s="112">
        <v>0</v>
      </c>
      <c r="P115" s="80">
        <f t="shared" si="39"/>
        <v>0</v>
      </c>
      <c r="Q115" s="112">
        <v>0</v>
      </c>
      <c r="R115" s="80">
        <f t="shared" si="40"/>
        <v>0</v>
      </c>
      <c r="S115" s="112">
        <v>0</v>
      </c>
      <c r="T115" s="80">
        <f t="shared" si="41"/>
        <v>0</v>
      </c>
      <c r="U115" s="112">
        <v>0</v>
      </c>
      <c r="V115" s="80">
        <f t="shared" si="42"/>
        <v>0</v>
      </c>
    </row>
    <row r="116" spans="1:22" ht="12.75" customHeight="1">
      <c r="A116" s="40" t="s">
        <v>451</v>
      </c>
      <c r="B116" s="42"/>
      <c r="C116" s="85">
        <f>SUM(C111:C115)</f>
        <v>0</v>
      </c>
      <c r="D116" s="83">
        <f t="shared" si="33"/>
        <v>0</v>
      </c>
      <c r="E116" s="85">
        <f>SUM(E111:E115)</f>
        <v>0</v>
      </c>
      <c r="F116" s="83">
        <f t="shared" si="34"/>
        <v>0</v>
      </c>
      <c r="G116" s="85">
        <f>SUM(G111:G115)</f>
        <v>0</v>
      </c>
      <c r="H116" s="83">
        <f t="shared" si="35"/>
        <v>0</v>
      </c>
      <c r="I116" s="85">
        <f>SUM(I111:I115)</f>
        <v>0</v>
      </c>
      <c r="J116" s="83">
        <f t="shared" si="36"/>
        <v>0</v>
      </c>
      <c r="K116" s="85">
        <f>SUM(K111:K115)</f>
        <v>0</v>
      </c>
      <c r="L116" s="83">
        <f t="shared" si="37"/>
        <v>0</v>
      </c>
      <c r="M116" s="85">
        <f>SUM(M111:M115)</f>
        <v>0</v>
      </c>
      <c r="N116" s="83">
        <f t="shared" si="38"/>
        <v>0</v>
      </c>
      <c r="O116" s="85">
        <f>SUM(O111:O115)</f>
        <v>0</v>
      </c>
      <c r="P116" s="83">
        <f t="shared" si="39"/>
        <v>0</v>
      </c>
      <c r="Q116" s="85">
        <f>SUM(Q111:Q115)</f>
        <v>0</v>
      </c>
      <c r="R116" s="83">
        <f t="shared" si="40"/>
        <v>0</v>
      </c>
      <c r="S116" s="85">
        <f>SUM(S111:S115)</f>
        <v>0</v>
      </c>
      <c r="T116" s="83">
        <f t="shared" si="41"/>
        <v>0</v>
      </c>
      <c r="U116" s="85">
        <f>SUM(U111:U115)</f>
        <v>0</v>
      </c>
      <c r="V116" s="83">
        <f t="shared" si="42"/>
        <v>0</v>
      </c>
    </row>
    <row r="118" spans="1:22" ht="12.75" customHeight="1">
      <c r="A118" s="43" t="s">
        <v>452</v>
      </c>
      <c r="B118" s="43"/>
    </row>
    <row r="119" spans="1:22" ht="12.75" customHeight="1">
      <c r="A119" s="47" t="s">
        <v>453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7" tint="0.59999389629810485"/>
  </sheetPr>
  <dimension ref="A1:X119"/>
  <sheetViews>
    <sheetView topLeftCell="A9" zoomScale="70" zoomScaleNormal="70" workbookViewId="0" xr3:uid="{D624DF06-3800-545C-AC8D-BADC89115800}">
      <selection activeCell="W59" sqref="W59"/>
    </sheetView>
  </sheetViews>
  <sheetFormatPr defaultColWidth="9.140625" defaultRowHeight="12.75" customHeight="1"/>
  <cols>
    <col min="1" max="1" width="9.5703125" style="2" customWidth="1"/>
    <col min="2" max="2" width="40.140625" style="2" customWidth="1"/>
    <col min="3" max="3" width="12.7109375" style="2" customWidth="1"/>
    <col min="4" max="4" width="8.7109375" style="2" customWidth="1"/>
    <col min="5" max="5" width="12.7109375" style="2" customWidth="1"/>
    <col min="6" max="6" width="8.7109375" style="2" customWidth="1"/>
    <col min="7" max="7" width="12.710937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3.85546875" style="2" customWidth="1"/>
    <col min="18" max="18" width="8.7109375" style="2" customWidth="1"/>
    <col min="19" max="19" width="15.140625" style="2" customWidth="1"/>
    <col min="20" max="20" width="8.7109375" style="2" customWidth="1"/>
    <col min="21" max="21" width="13.710937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355</v>
      </c>
      <c r="G2" s="33" t="s">
        <v>37</v>
      </c>
      <c r="H2" s="34"/>
      <c r="I2" s="34"/>
      <c r="V2" s="32"/>
    </row>
    <row r="3" spans="1:22" ht="12.75" customHeight="1">
      <c r="A3" s="1" t="s">
        <v>357</v>
      </c>
      <c r="D3" s="118" t="s">
        <v>358</v>
      </c>
      <c r="G3" s="115" t="str">
        <f>+G2</f>
        <v>Faculty Club (Graham Center)</v>
      </c>
      <c r="H3" s="116"/>
      <c r="I3" s="116"/>
      <c r="V3" s="32"/>
    </row>
    <row r="4" spans="1:22" ht="12.75" customHeight="1">
      <c r="A4" s="1" t="s">
        <v>359</v>
      </c>
      <c r="B4" s="109" t="s">
        <v>221</v>
      </c>
      <c r="D4" s="118" t="s">
        <v>360</v>
      </c>
      <c r="G4" s="115" t="s">
        <v>65</v>
      </c>
      <c r="H4" s="116"/>
      <c r="I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361</v>
      </c>
      <c r="B7" s="1"/>
    </row>
    <row r="8" spans="1:22" ht="12.75" customHeight="1">
      <c r="A8" s="2" t="s">
        <v>362</v>
      </c>
      <c r="C8" s="109">
        <v>220</v>
      </c>
      <c r="E8" s="109">
        <f>+C8</f>
        <v>220</v>
      </c>
      <c r="G8" s="109">
        <f>+E8</f>
        <v>220</v>
      </c>
      <c r="I8" s="109">
        <f>+G8</f>
        <v>220</v>
      </c>
      <c r="K8" s="109">
        <f>+I8</f>
        <v>220</v>
      </c>
      <c r="M8" s="109">
        <f>+K8</f>
        <v>220</v>
      </c>
      <c r="O8" s="109">
        <f>+M8</f>
        <v>220</v>
      </c>
      <c r="Q8" s="109">
        <f>+O8</f>
        <v>220</v>
      </c>
      <c r="S8" s="109">
        <f>+Q8</f>
        <v>220</v>
      </c>
      <c r="U8" s="109">
        <f>+S8</f>
        <v>220</v>
      </c>
    </row>
    <row r="10" spans="1:22" ht="12.75" customHeight="1">
      <c r="A10" s="2" t="s">
        <v>462</v>
      </c>
      <c r="C10" s="201">
        <f>+C14/C8/C12</f>
        <v>136.79999999999998</v>
      </c>
      <c r="D10" s="202"/>
      <c r="E10" s="201">
        <f>+E14/E8/E12</f>
        <v>155.94405594405595</v>
      </c>
      <c r="F10" s="202"/>
      <c r="G10" s="201">
        <f>+G14/G8/G12</f>
        <v>161.04294478527609</v>
      </c>
      <c r="H10" s="202"/>
      <c r="I10" s="201">
        <f>+I14/I8/I12</f>
        <v>166.36502853960738</v>
      </c>
      <c r="J10" s="202"/>
      <c r="K10" s="201">
        <f>+K14/K8/K12</f>
        <v>170.97581317764804</v>
      </c>
      <c r="L10" s="202"/>
      <c r="M10" s="201">
        <f>+M14/M8/M12</f>
        <v>173.81707821768521</v>
      </c>
      <c r="N10" s="202"/>
      <c r="O10" s="201">
        <f>+O14/O8/O12</f>
        <v>178.10479988997386</v>
      </c>
      <c r="P10" s="202"/>
      <c r="Q10" s="201">
        <f>+Q14/Q8/Q12</f>
        <v>183.32875583630872</v>
      </c>
      <c r="R10" s="202"/>
      <c r="S10" s="201">
        <f>+S14/S8/S12</f>
        <v>187.005187005187</v>
      </c>
      <c r="T10" s="202"/>
      <c r="U10" s="201">
        <f>+U14/U8/U12</f>
        <v>191.60211985324091</v>
      </c>
    </row>
    <row r="12" spans="1:22" ht="12.75" customHeight="1">
      <c r="A12" s="2" t="s">
        <v>463</v>
      </c>
      <c r="C12" s="110">
        <v>6.49</v>
      </c>
      <c r="E12" s="110">
        <v>6.5</v>
      </c>
      <c r="G12" s="110">
        <v>6.52</v>
      </c>
      <c r="I12" s="110">
        <v>6.53</v>
      </c>
      <c r="K12" s="110">
        <v>6.54</v>
      </c>
      <c r="M12" s="110">
        <v>6.59</v>
      </c>
      <c r="O12" s="110">
        <v>6.61</v>
      </c>
      <c r="Q12" s="110">
        <v>6.62</v>
      </c>
      <c r="S12" s="110">
        <v>6.66</v>
      </c>
      <c r="U12" s="110">
        <v>6.69</v>
      </c>
    </row>
    <row r="14" spans="1:22" ht="12.75" customHeight="1">
      <c r="A14" s="2" t="s">
        <v>464</v>
      </c>
      <c r="C14" s="121">
        <v>195323.04</v>
      </c>
      <c r="E14" s="121">
        <v>223000</v>
      </c>
      <c r="G14" s="121">
        <v>231000</v>
      </c>
      <c r="I14" s="121">
        <v>239000</v>
      </c>
      <c r="K14" s="121">
        <v>246000</v>
      </c>
      <c r="M14" s="121">
        <v>252000</v>
      </c>
      <c r="O14" s="121">
        <v>259000</v>
      </c>
      <c r="Q14" s="121">
        <v>267000</v>
      </c>
      <c r="S14" s="121">
        <v>274000</v>
      </c>
      <c r="U14" s="121">
        <v>282000</v>
      </c>
    </row>
    <row r="15" spans="1:22" ht="12.75" customHeight="1">
      <c r="A15" s="39">
        <v>0.1</v>
      </c>
    </row>
    <row r="16" spans="1:22" ht="12.75" customHeight="1">
      <c r="B16" s="35"/>
      <c r="C16" s="86" t="str">
        <f>C6</f>
        <v>FY 2018-19</v>
      </c>
      <c r="D16" s="86" t="s">
        <v>366</v>
      </c>
      <c r="E16" s="86" t="str">
        <f>E6</f>
        <v>FY 2019-20</v>
      </c>
      <c r="F16" s="86" t="s">
        <v>366</v>
      </c>
      <c r="G16" s="86" t="str">
        <f>G6</f>
        <v>FY 2020-21</v>
      </c>
      <c r="H16" s="86" t="s">
        <v>366</v>
      </c>
      <c r="I16" s="86" t="str">
        <f>I6</f>
        <v>FY 2021-22</v>
      </c>
      <c r="J16" s="86" t="s">
        <v>366</v>
      </c>
      <c r="K16" s="86" t="str">
        <f>K6</f>
        <v>FY 2022-23</v>
      </c>
      <c r="L16" s="86" t="s">
        <v>366</v>
      </c>
      <c r="M16" s="86" t="str">
        <f>M6</f>
        <v>FY 2023-24</v>
      </c>
      <c r="N16" s="86" t="s">
        <v>366</v>
      </c>
      <c r="O16" s="86" t="str">
        <f>O6</f>
        <v>FY 2024-25</v>
      </c>
      <c r="P16" s="86" t="s">
        <v>366</v>
      </c>
      <c r="Q16" s="86" t="str">
        <f>Q6</f>
        <v>FY 2025-26</v>
      </c>
      <c r="R16" s="86" t="s">
        <v>366</v>
      </c>
      <c r="S16" s="86" t="str">
        <f>S6</f>
        <v>FY 2026-27</v>
      </c>
      <c r="T16" s="86" t="s">
        <v>366</v>
      </c>
      <c r="U16" s="86" t="str">
        <f>U6</f>
        <v>FY 2027-28</v>
      </c>
      <c r="V16" s="86" t="s">
        <v>366</v>
      </c>
    </row>
    <row r="17" spans="1:24" ht="12.75" customHeight="1">
      <c r="A17" s="1" t="s">
        <v>367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368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369</v>
      </c>
      <c r="B19" s="35"/>
      <c r="C19" s="200">
        <f>+C14-C20</f>
        <v>171142.04764800001</v>
      </c>
      <c r="D19" s="80">
        <f>IFERROR(C19/C$28,0)</f>
        <v>0.87619999999999998</v>
      </c>
      <c r="E19" s="200">
        <f>+E14-E20</f>
        <v>187320</v>
      </c>
      <c r="F19" s="80">
        <f>IFERROR(E19/E$28,0)</f>
        <v>0.84</v>
      </c>
      <c r="G19" s="200">
        <f>+G14-G20</f>
        <v>194040</v>
      </c>
      <c r="H19" s="80">
        <f>IFERROR(G19/G$28,0)</f>
        <v>0.84</v>
      </c>
      <c r="I19" s="200">
        <f>+I14-I20</f>
        <v>200760</v>
      </c>
      <c r="J19" s="80">
        <f>IFERROR(I19/I$28,0)</f>
        <v>0.84</v>
      </c>
      <c r="K19" s="200">
        <f>+K14-K20</f>
        <v>206640</v>
      </c>
      <c r="L19" s="80">
        <f>IFERROR(K19/K$28,0)</f>
        <v>0.84</v>
      </c>
      <c r="M19" s="200">
        <f>+M14-M20</f>
        <v>211680</v>
      </c>
      <c r="N19" s="80">
        <f>IFERROR(M19/M$28,0)</f>
        <v>0.84</v>
      </c>
      <c r="O19" s="200">
        <f>+O14-O20</f>
        <v>217560</v>
      </c>
      <c r="P19" s="80">
        <f>IFERROR(O19/O$28,0)</f>
        <v>0.84</v>
      </c>
      <c r="Q19" s="200">
        <f>+Q14-Q20</f>
        <v>224280</v>
      </c>
      <c r="R19" s="80">
        <f>IFERROR(Q19/Q$28,0)</f>
        <v>0.84</v>
      </c>
      <c r="S19" s="200">
        <f>+S14-S20</f>
        <v>230160</v>
      </c>
      <c r="T19" s="80">
        <f>IFERROR(S19/S$28,0)</f>
        <v>0.84</v>
      </c>
      <c r="U19" s="200">
        <f>+U14-U20</f>
        <v>236880</v>
      </c>
      <c r="V19" s="80">
        <f>IFERROR(U19/U$28,0)</f>
        <v>0.84</v>
      </c>
    </row>
    <row r="20" spans="1:24" ht="12.75" customHeight="1">
      <c r="A20" s="2" t="s">
        <v>370</v>
      </c>
      <c r="B20" s="35"/>
      <c r="C20" s="111">
        <f>+C14*12.38%</f>
        <v>24180.992352000001</v>
      </c>
      <c r="D20" s="80">
        <f>IFERROR(C20/C$28,0)</f>
        <v>0.12380000000000001</v>
      </c>
      <c r="E20" s="111">
        <f>+E14*16%</f>
        <v>35680</v>
      </c>
      <c r="F20" s="80">
        <f>IFERROR(E20/E$28,0)</f>
        <v>0.16</v>
      </c>
      <c r="G20" s="111">
        <f>+G14*16%</f>
        <v>36960</v>
      </c>
      <c r="H20" s="80">
        <f>IFERROR(G20/G$28,0)</f>
        <v>0.16</v>
      </c>
      <c r="I20" s="111">
        <f>+I14*16%</f>
        <v>38240</v>
      </c>
      <c r="J20" s="80">
        <f>IFERROR(I20/I$28,0)</f>
        <v>0.16</v>
      </c>
      <c r="K20" s="111">
        <f>+K14*16%</f>
        <v>39360</v>
      </c>
      <c r="L20" s="80">
        <f>IFERROR(K20/K$28,0)</f>
        <v>0.16</v>
      </c>
      <c r="M20" s="111">
        <f>+M14*16%</f>
        <v>40320</v>
      </c>
      <c r="N20" s="80">
        <f>IFERROR(M20/M$28,0)</f>
        <v>0.16</v>
      </c>
      <c r="O20" s="111">
        <f>+O14*16%</f>
        <v>41440</v>
      </c>
      <c r="P20" s="80">
        <f>IFERROR(O20/O$28,0)</f>
        <v>0.16</v>
      </c>
      <c r="Q20" s="111">
        <f>+Q14*16%</f>
        <v>42720</v>
      </c>
      <c r="R20" s="80">
        <f>IFERROR(Q20/Q$28,0)</f>
        <v>0.16</v>
      </c>
      <c r="S20" s="111">
        <f>+S14*16%</f>
        <v>43840</v>
      </c>
      <c r="T20" s="80">
        <f>IFERROR(S20/S$28,0)</f>
        <v>0.16</v>
      </c>
      <c r="U20" s="111">
        <f>+U14*16%</f>
        <v>45120</v>
      </c>
      <c r="V20" s="80">
        <f>IFERROR(U20/U$28,0)</f>
        <v>0.16</v>
      </c>
    </row>
    <row r="21" spans="1:24" ht="12.75" customHeight="1">
      <c r="A21" s="2" t="s">
        <v>371</v>
      </c>
      <c r="B21" s="35"/>
      <c r="C21" s="111"/>
      <c r="D21" s="80">
        <f>IFERROR(C21/C$28,0)</f>
        <v>0</v>
      </c>
      <c r="E21" s="111">
        <v>0</v>
      </c>
      <c r="F21" s="80">
        <f>IFERROR(E21/E$28,0)</f>
        <v>0</v>
      </c>
      <c r="G21" s="111">
        <f t="shared" ref="G21:U21" si="0">E21*1.02</f>
        <v>0</v>
      </c>
      <c r="H21" s="80">
        <f>IFERROR(G21/G$28,0)</f>
        <v>0</v>
      </c>
      <c r="I21" s="111">
        <f t="shared" si="0"/>
        <v>0</v>
      </c>
      <c r="J21" s="80">
        <f>IFERROR(I21/I$28,0)</f>
        <v>0</v>
      </c>
      <c r="K21" s="111">
        <f t="shared" si="0"/>
        <v>0</v>
      </c>
      <c r="L21" s="80">
        <f>IFERROR(K21/K$28,0)</f>
        <v>0</v>
      </c>
      <c r="M21" s="111">
        <f t="shared" si="0"/>
        <v>0</v>
      </c>
      <c r="N21" s="80">
        <f>IFERROR(M21/M$28,0)</f>
        <v>0</v>
      </c>
      <c r="O21" s="111">
        <f t="shared" si="0"/>
        <v>0</v>
      </c>
      <c r="P21" s="80">
        <f>IFERROR(O21/O$28,0)</f>
        <v>0</v>
      </c>
      <c r="Q21" s="111">
        <f t="shared" si="0"/>
        <v>0</v>
      </c>
      <c r="R21" s="80">
        <f>IFERROR(Q21/Q$28,0)</f>
        <v>0</v>
      </c>
      <c r="S21" s="111">
        <f t="shared" si="0"/>
        <v>0</v>
      </c>
      <c r="T21" s="80">
        <f>IFERROR(S21/S$28,0)</f>
        <v>0</v>
      </c>
      <c r="U21" s="111">
        <f t="shared" si="0"/>
        <v>0</v>
      </c>
      <c r="V21" s="80">
        <f>IFERROR(U21/U$28,0)</f>
        <v>0</v>
      </c>
    </row>
    <row r="22" spans="1:24" ht="12.75" customHeight="1">
      <c r="A22" s="2" t="s">
        <v>372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2" t="s">
        <v>373</v>
      </c>
      <c r="B23" s="35"/>
      <c r="C23" s="111"/>
      <c r="D23" s="80">
        <f t="shared" ref="D23:D28" si="1">IFERROR(C23/C$28,0)</f>
        <v>0</v>
      </c>
      <c r="E23" s="111"/>
      <c r="F23" s="80">
        <f t="shared" ref="F23:F28" si="2">IFERROR(E23/E$28,0)</f>
        <v>0</v>
      </c>
      <c r="G23" s="111"/>
      <c r="H23" s="80">
        <f t="shared" ref="H23:H28" si="3">IFERROR(G23/G$28,0)</f>
        <v>0</v>
      </c>
      <c r="I23" s="111"/>
      <c r="J23" s="80">
        <f t="shared" ref="J23:J28" si="4">IFERROR(I23/I$28,0)</f>
        <v>0</v>
      </c>
      <c r="K23" s="111"/>
      <c r="L23" s="80">
        <f t="shared" ref="L23:L28" si="5">IFERROR(K23/K$28,0)</f>
        <v>0</v>
      </c>
      <c r="M23" s="111"/>
      <c r="N23" s="80">
        <f t="shared" ref="N23:N28" si="6">IFERROR(M23/M$28,0)</f>
        <v>0</v>
      </c>
      <c r="O23" s="111"/>
      <c r="P23" s="80">
        <f t="shared" ref="P23:P28" si="7">IFERROR(O23/O$28,0)</f>
        <v>0</v>
      </c>
      <c r="Q23" s="111"/>
      <c r="R23" s="80">
        <f t="shared" ref="R23:R28" si="8">IFERROR(Q23/Q$28,0)</f>
        <v>0</v>
      </c>
      <c r="S23" s="111"/>
      <c r="T23" s="80">
        <f t="shared" ref="T23:T28" si="9">IFERROR(S23/S$28,0)</f>
        <v>0</v>
      </c>
      <c r="U23" s="111"/>
      <c r="V23" s="80">
        <f t="shared" ref="V23:V28" si="10">IFERROR(U23/U$28,0)</f>
        <v>0</v>
      </c>
    </row>
    <row r="24" spans="1:24" ht="12.75" customHeight="1">
      <c r="A24" s="2" t="s">
        <v>374</v>
      </c>
      <c r="B24" s="35"/>
      <c r="C24" s="111"/>
      <c r="D24" s="80">
        <f t="shared" si="1"/>
        <v>0</v>
      </c>
      <c r="E24" s="111"/>
      <c r="F24" s="80">
        <f t="shared" si="2"/>
        <v>0</v>
      </c>
      <c r="G24" s="111"/>
      <c r="H24" s="80">
        <f t="shared" si="3"/>
        <v>0</v>
      </c>
      <c r="I24" s="111"/>
      <c r="J24" s="80">
        <f t="shared" si="4"/>
        <v>0</v>
      </c>
      <c r="K24" s="111"/>
      <c r="L24" s="80">
        <f t="shared" si="5"/>
        <v>0</v>
      </c>
      <c r="M24" s="111"/>
      <c r="N24" s="80">
        <f t="shared" si="6"/>
        <v>0</v>
      </c>
      <c r="O24" s="111"/>
      <c r="P24" s="80">
        <f t="shared" si="7"/>
        <v>0</v>
      </c>
      <c r="Q24" s="111"/>
      <c r="R24" s="80">
        <f t="shared" si="8"/>
        <v>0</v>
      </c>
      <c r="S24" s="111"/>
      <c r="T24" s="80">
        <f t="shared" si="9"/>
        <v>0</v>
      </c>
      <c r="U24" s="111"/>
      <c r="V24" s="80">
        <f t="shared" si="10"/>
        <v>0</v>
      </c>
      <c r="X24" s="111"/>
    </row>
    <row r="25" spans="1:24" ht="12.75" customHeight="1">
      <c r="A25" s="2" t="s">
        <v>375</v>
      </c>
      <c r="B25" s="35"/>
      <c r="C25" s="111"/>
      <c r="D25" s="80">
        <f t="shared" si="1"/>
        <v>0</v>
      </c>
      <c r="E25" s="111"/>
      <c r="F25" s="80">
        <f t="shared" si="2"/>
        <v>0</v>
      </c>
      <c r="G25" s="111"/>
      <c r="H25" s="80">
        <f t="shared" si="3"/>
        <v>0</v>
      </c>
      <c r="I25" s="111"/>
      <c r="J25" s="80">
        <f t="shared" si="4"/>
        <v>0</v>
      </c>
      <c r="K25" s="111"/>
      <c r="L25" s="80">
        <f t="shared" si="5"/>
        <v>0</v>
      </c>
      <c r="M25" s="111"/>
      <c r="N25" s="80">
        <f t="shared" si="6"/>
        <v>0</v>
      </c>
      <c r="O25" s="111"/>
      <c r="P25" s="80">
        <f t="shared" si="7"/>
        <v>0</v>
      </c>
      <c r="Q25" s="111"/>
      <c r="R25" s="80">
        <f t="shared" si="8"/>
        <v>0</v>
      </c>
      <c r="S25" s="111"/>
      <c r="T25" s="80">
        <f t="shared" si="9"/>
        <v>0</v>
      </c>
      <c r="U25" s="111"/>
      <c r="V25" s="80">
        <f t="shared" si="10"/>
        <v>0</v>
      </c>
      <c r="X25" s="111"/>
    </row>
    <row r="26" spans="1:24" ht="12.75" customHeight="1">
      <c r="A26" s="122" t="s">
        <v>376</v>
      </c>
      <c r="B26" s="35"/>
      <c r="C26" s="79"/>
      <c r="D26" s="80">
        <f t="shared" si="1"/>
        <v>0</v>
      </c>
      <c r="E26" s="79"/>
      <c r="F26" s="80">
        <f t="shared" si="2"/>
        <v>0</v>
      </c>
      <c r="G26" s="79"/>
      <c r="H26" s="80">
        <f t="shared" si="3"/>
        <v>0</v>
      </c>
      <c r="I26" s="79"/>
      <c r="J26" s="80">
        <f t="shared" si="4"/>
        <v>0</v>
      </c>
      <c r="K26" s="79"/>
      <c r="L26" s="80">
        <f t="shared" si="5"/>
        <v>0</v>
      </c>
      <c r="M26" s="79"/>
      <c r="N26" s="80">
        <f t="shared" si="6"/>
        <v>0</v>
      </c>
      <c r="O26" s="79"/>
      <c r="P26" s="80">
        <f t="shared" si="7"/>
        <v>0</v>
      </c>
      <c r="Q26" s="79"/>
      <c r="R26" s="80">
        <f t="shared" si="8"/>
        <v>0</v>
      </c>
      <c r="S26" s="79"/>
      <c r="T26" s="80">
        <f t="shared" si="9"/>
        <v>0</v>
      </c>
      <c r="U26" s="79"/>
      <c r="V26" s="80">
        <f t="shared" si="10"/>
        <v>0</v>
      </c>
    </row>
    <row r="27" spans="1:24" ht="12.75" customHeight="1">
      <c r="A27" s="2" t="s">
        <v>377</v>
      </c>
      <c r="B27" s="35"/>
      <c r="C27" s="112"/>
      <c r="D27" s="80">
        <f t="shared" si="1"/>
        <v>0</v>
      </c>
      <c r="E27" s="112"/>
      <c r="F27" s="80">
        <f t="shared" si="2"/>
        <v>0</v>
      </c>
      <c r="G27" s="112"/>
      <c r="H27" s="80">
        <f t="shared" si="3"/>
        <v>0</v>
      </c>
      <c r="I27" s="112"/>
      <c r="J27" s="80">
        <f t="shared" si="4"/>
        <v>0</v>
      </c>
      <c r="K27" s="112"/>
      <c r="L27" s="80">
        <f t="shared" si="5"/>
        <v>0</v>
      </c>
      <c r="M27" s="112"/>
      <c r="N27" s="80">
        <f t="shared" si="6"/>
        <v>0</v>
      </c>
      <c r="O27" s="112"/>
      <c r="P27" s="80">
        <f t="shared" si="7"/>
        <v>0</v>
      </c>
      <c r="Q27" s="112"/>
      <c r="R27" s="80">
        <f t="shared" si="8"/>
        <v>0</v>
      </c>
      <c r="S27" s="112"/>
      <c r="T27" s="80">
        <f t="shared" si="9"/>
        <v>0</v>
      </c>
      <c r="U27" s="112"/>
      <c r="V27" s="80">
        <f t="shared" si="10"/>
        <v>0</v>
      </c>
    </row>
    <row r="28" spans="1:24" ht="12.75" customHeight="1">
      <c r="A28" s="1" t="s">
        <v>378</v>
      </c>
      <c r="B28" s="53"/>
      <c r="C28" s="82">
        <f>SUM(C19:C27)</f>
        <v>195323.04</v>
      </c>
      <c r="D28" s="83">
        <f t="shared" si="1"/>
        <v>1</v>
      </c>
      <c r="E28" s="82">
        <f>SUM(E19:E27)</f>
        <v>223000</v>
      </c>
      <c r="F28" s="83">
        <f t="shared" si="2"/>
        <v>1</v>
      </c>
      <c r="G28" s="82">
        <f>SUM(G19:G27)</f>
        <v>231000</v>
      </c>
      <c r="H28" s="83">
        <f t="shared" si="3"/>
        <v>1</v>
      </c>
      <c r="I28" s="82">
        <f>SUM(I19:I27)</f>
        <v>239000</v>
      </c>
      <c r="J28" s="83">
        <f t="shared" si="4"/>
        <v>1</v>
      </c>
      <c r="K28" s="82">
        <f>SUM(K19:K27)</f>
        <v>246000</v>
      </c>
      <c r="L28" s="83">
        <f t="shared" si="5"/>
        <v>1</v>
      </c>
      <c r="M28" s="82">
        <f>SUM(M19:M27)</f>
        <v>252000</v>
      </c>
      <c r="N28" s="83">
        <f t="shared" si="6"/>
        <v>1</v>
      </c>
      <c r="O28" s="82">
        <f>SUM(O19:O27)</f>
        <v>259000</v>
      </c>
      <c r="P28" s="83">
        <f t="shared" si="7"/>
        <v>1</v>
      </c>
      <c r="Q28" s="82">
        <f>SUM(Q19:Q27)</f>
        <v>267000</v>
      </c>
      <c r="R28" s="83">
        <f t="shared" si="8"/>
        <v>1</v>
      </c>
      <c r="S28" s="82">
        <f>SUM(S19:S27)</f>
        <v>274000</v>
      </c>
      <c r="T28" s="83">
        <f t="shared" si="9"/>
        <v>1</v>
      </c>
      <c r="U28" s="82">
        <f>SUM(U19:U27)</f>
        <v>282000</v>
      </c>
      <c r="V28" s="83">
        <f t="shared" si="10"/>
        <v>1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379</v>
      </c>
      <c r="B30" s="53"/>
      <c r="C30" s="197">
        <v>0.33</v>
      </c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380</v>
      </c>
      <c r="B31" s="35"/>
      <c r="C31" s="178">
        <f>$C$30*C14</f>
        <v>64456.603200000005</v>
      </c>
      <c r="D31" s="80">
        <f>IFERROR(C31/C$28,0)</f>
        <v>0.33</v>
      </c>
      <c r="E31" s="178">
        <f>$C$30*E14</f>
        <v>73590</v>
      </c>
      <c r="F31" s="80">
        <f>IFERROR(E31/E$28,0)</f>
        <v>0.33</v>
      </c>
      <c r="G31" s="178">
        <f>$C$30*G14</f>
        <v>76230</v>
      </c>
      <c r="H31" s="80">
        <f>IFERROR(G31/G$28,0)</f>
        <v>0.33</v>
      </c>
      <c r="I31" s="178">
        <f>$C$30*I14</f>
        <v>78870</v>
      </c>
      <c r="J31" s="80">
        <f>IFERROR(I31/I$28,0)</f>
        <v>0.33</v>
      </c>
      <c r="K31" s="178">
        <f>$C$30*K14</f>
        <v>81180</v>
      </c>
      <c r="L31" s="80">
        <f>IFERROR(K31/K$28,0)</f>
        <v>0.33</v>
      </c>
      <c r="M31" s="178">
        <f>$C$30*M14</f>
        <v>83160</v>
      </c>
      <c r="N31" s="80">
        <f>IFERROR(M31/M$28,0)</f>
        <v>0.33</v>
      </c>
      <c r="O31" s="178">
        <f>$C$30*O14</f>
        <v>85470</v>
      </c>
      <c r="P31" s="80">
        <f>IFERROR(O31/O$28,0)</f>
        <v>0.33</v>
      </c>
      <c r="Q31" s="178">
        <f>$C$30*Q14</f>
        <v>88110</v>
      </c>
      <c r="R31" s="80">
        <f>IFERROR(Q31/Q$28,0)</f>
        <v>0.33</v>
      </c>
      <c r="S31" s="178">
        <f>$C$30*S14</f>
        <v>90420</v>
      </c>
      <c r="T31" s="80">
        <f>IFERROR(S31/S$28,0)</f>
        <v>0.33</v>
      </c>
      <c r="U31" s="178">
        <f>$C$30*U14</f>
        <v>93060</v>
      </c>
      <c r="V31" s="80">
        <f>IFERROR(U31/U$28,0)</f>
        <v>0.33</v>
      </c>
    </row>
    <row r="32" spans="1:24" ht="12.75" customHeight="1">
      <c r="A32" s="8" t="s">
        <v>381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382</v>
      </c>
      <c r="B33" s="53"/>
      <c r="C33" s="82">
        <f>SUM(C31:C32)</f>
        <v>64456.603200000005</v>
      </c>
      <c r="D33" s="83">
        <f>IFERROR(C33/C$28,0)</f>
        <v>0.33</v>
      </c>
      <c r="E33" s="82">
        <f>SUM(E31:E32)</f>
        <v>73590</v>
      </c>
      <c r="F33" s="83">
        <f>IFERROR(E33/E$28,0)</f>
        <v>0.33</v>
      </c>
      <c r="G33" s="82">
        <f>SUM(G31:G32)</f>
        <v>76230</v>
      </c>
      <c r="H33" s="83">
        <f>IFERROR(G33/G$28,0)</f>
        <v>0.33</v>
      </c>
      <c r="I33" s="82">
        <f>SUM(I31:I32)</f>
        <v>78870</v>
      </c>
      <c r="J33" s="83">
        <f>IFERROR(I33/I$28,0)</f>
        <v>0.33</v>
      </c>
      <c r="K33" s="82">
        <f>SUM(K31:K32)</f>
        <v>81180</v>
      </c>
      <c r="L33" s="83">
        <f>IFERROR(K33/K$28,0)</f>
        <v>0.33</v>
      </c>
      <c r="M33" s="82">
        <f>SUM(M31:M32)</f>
        <v>83160</v>
      </c>
      <c r="N33" s="83">
        <f>IFERROR(M33/M$28,0)</f>
        <v>0.33</v>
      </c>
      <c r="O33" s="82">
        <f>SUM(O31:O32)</f>
        <v>85470</v>
      </c>
      <c r="P33" s="83">
        <f>IFERROR(O33/O$28,0)</f>
        <v>0.33</v>
      </c>
      <c r="Q33" s="82">
        <f>SUM(Q31:Q32)</f>
        <v>88110</v>
      </c>
      <c r="R33" s="83">
        <f>IFERROR(Q33/Q$28,0)</f>
        <v>0.33</v>
      </c>
      <c r="S33" s="82">
        <f>SUM(S31:S32)</f>
        <v>90420</v>
      </c>
      <c r="T33" s="83">
        <f>IFERROR(S33/S$28,0)</f>
        <v>0.33</v>
      </c>
      <c r="U33" s="82">
        <f>SUM(U31:U32)</f>
        <v>93060</v>
      </c>
      <c r="V33" s="83">
        <f>IFERROR(U33/U$28,0)</f>
        <v>0.33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383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384</v>
      </c>
      <c r="B36" s="35"/>
      <c r="C36" s="178">
        <v>0</v>
      </c>
      <c r="D36" s="80">
        <f t="shared" ref="D36:D46" si="11">IFERROR(C36/C$28,0)</f>
        <v>0</v>
      </c>
      <c r="E36" s="178"/>
      <c r="F36" s="80">
        <f t="shared" ref="F36:F46" si="12">IFERROR(E36/E$28,0)</f>
        <v>0</v>
      </c>
      <c r="G36" s="178"/>
      <c r="H36" s="80">
        <f t="shared" ref="H36:H46" si="13">IFERROR(G36/G$28,0)</f>
        <v>0</v>
      </c>
      <c r="I36" s="178"/>
      <c r="J36" s="80">
        <f t="shared" ref="J36:J46" si="14">IFERROR(I36/I$28,0)</f>
        <v>0</v>
      </c>
      <c r="K36" s="178"/>
      <c r="L36" s="80">
        <f t="shared" ref="L36:L46" si="15">IFERROR(K36/K$28,0)</f>
        <v>0</v>
      </c>
      <c r="M36" s="178"/>
      <c r="N36" s="80">
        <f t="shared" ref="N36:N46" si="16">IFERROR(M36/M$28,0)</f>
        <v>0</v>
      </c>
      <c r="O36" s="178"/>
      <c r="P36" s="80">
        <f t="shared" ref="P36:P46" si="17">IFERROR(O36/O$28,0)</f>
        <v>0</v>
      </c>
      <c r="Q36" s="178"/>
      <c r="R36" s="80">
        <f t="shared" ref="R36:R46" si="18">IFERROR(Q36/Q$28,0)</f>
        <v>0</v>
      </c>
      <c r="S36" s="178"/>
      <c r="T36" s="80">
        <f t="shared" ref="T36:T46" si="19">IFERROR(S36/S$28,0)</f>
        <v>0</v>
      </c>
      <c r="U36" s="178"/>
      <c r="V36" s="80">
        <f t="shared" ref="V36:V46" si="20">IFERROR(U36/U$28,0)</f>
        <v>0</v>
      </c>
    </row>
    <row r="37" spans="1:22" ht="12.75" customHeight="1">
      <c r="A37" s="2" t="s">
        <v>385</v>
      </c>
      <c r="B37" s="35"/>
      <c r="C37" s="178">
        <v>105082</v>
      </c>
      <c r="D37" s="80">
        <f t="shared" si="11"/>
        <v>0.537990807433675</v>
      </c>
      <c r="E37" s="178">
        <f>+C37*1.112</f>
        <v>116851.18400000001</v>
      </c>
      <c r="F37" s="80">
        <f t="shared" si="12"/>
        <v>0.52399634080717494</v>
      </c>
      <c r="G37" s="178">
        <f>+E37*1.035</f>
        <v>120940.97543999999</v>
      </c>
      <c r="H37" s="80">
        <f t="shared" si="13"/>
        <v>0.52355400623376624</v>
      </c>
      <c r="I37" s="178">
        <f>+G37*1.032</f>
        <v>124811.08665407999</v>
      </c>
      <c r="J37" s="80">
        <f t="shared" si="14"/>
        <v>0.5222221198915481</v>
      </c>
      <c r="K37" s="178">
        <f>+I37*1.025</f>
        <v>127931.36382043197</v>
      </c>
      <c r="L37" s="80">
        <f t="shared" si="15"/>
        <v>0.52004619439199984</v>
      </c>
      <c r="M37" s="178">
        <f>+K37*1.025</f>
        <v>131129.64791594277</v>
      </c>
      <c r="N37" s="80">
        <f t="shared" si="16"/>
        <v>0.52035574569818555</v>
      </c>
      <c r="O37" s="178">
        <f>+M37*1.025</f>
        <v>134407.88911384132</v>
      </c>
      <c r="P37" s="80">
        <f t="shared" si="17"/>
        <v>0.51894937881792014</v>
      </c>
      <c r="Q37" s="178">
        <f>+O37*1.025</f>
        <v>137768.08634168733</v>
      </c>
      <c r="R37" s="80">
        <f t="shared" si="18"/>
        <v>0.51598534210369784</v>
      </c>
      <c r="S37" s="178">
        <f>+Q37*1.025</f>
        <v>141212.28850022951</v>
      </c>
      <c r="T37" s="80">
        <f t="shared" si="19"/>
        <v>0.51537331569426825</v>
      </c>
      <c r="U37" s="178">
        <f>+S37*1.025</f>
        <v>144742.59571273523</v>
      </c>
      <c r="V37" s="80">
        <f t="shared" si="20"/>
        <v>0.51327161600260718</v>
      </c>
    </row>
    <row r="38" spans="1:22" ht="12.75" customHeight="1">
      <c r="A38" s="2" t="s">
        <v>386</v>
      </c>
      <c r="B38" s="35"/>
      <c r="C38" s="178"/>
      <c r="D38" s="80">
        <f t="shared" si="11"/>
        <v>0</v>
      </c>
      <c r="E38" s="178">
        <f t="shared" ref="E38:E39" si="21">+C38*1.112</f>
        <v>0</v>
      </c>
      <c r="F38" s="80">
        <f t="shared" si="12"/>
        <v>0</v>
      </c>
      <c r="G38" s="178">
        <f>+E38*1.035</f>
        <v>0</v>
      </c>
      <c r="H38" s="80">
        <f t="shared" si="13"/>
        <v>0</v>
      </c>
      <c r="I38" s="178">
        <f>+G38*1.032</f>
        <v>0</v>
      </c>
      <c r="J38" s="80">
        <f t="shared" si="14"/>
        <v>0</v>
      </c>
      <c r="K38" s="178">
        <f>+I38*1.025</f>
        <v>0</v>
      </c>
      <c r="L38" s="80">
        <f t="shared" si="15"/>
        <v>0</v>
      </c>
      <c r="M38" s="178">
        <f>+K38*1.025</f>
        <v>0</v>
      </c>
      <c r="N38" s="80">
        <f t="shared" si="16"/>
        <v>0</v>
      </c>
      <c r="O38" s="178">
        <f>+M38*1.025</f>
        <v>0</v>
      </c>
      <c r="P38" s="80">
        <f t="shared" si="17"/>
        <v>0</v>
      </c>
      <c r="Q38" s="178">
        <f>+O38*1.025</f>
        <v>0</v>
      </c>
      <c r="R38" s="80">
        <f t="shared" si="18"/>
        <v>0</v>
      </c>
      <c r="S38" s="178">
        <f>+Q38*1.025</f>
        <v>0</v>
      </c>
      <c r="T38" s="80">
        <f t="shared" si="19"/>
        <v>0</v>
      </c>
      <c r="U38" s="178">
        <f>+S38*1.025</f>
        <v>0</v>
      </c>
      <c r="V38" s="80">
        <f t="shared" si="20"/>
        <v>0</v>
      </c>
    </row>
    <row r="39" spans="1:22" ht="12.75" customHeight="1">
      <c r="A39" s="2" t="s">
        <v>387</v>
      </c>
      <c r="B39" s="35"/>
      <c r="C39" s="178"/>
      <c r="D39" s="80">
        <f t="shared" si="11"/>
        <v>0</v>
      </c>
      <c r="E39" s="178">
        <f t="shared" si="21"/>
        <v>0</v>
      </c>
      <c r="F39" s="80">
        <f t="shared" si="12"/>
        <v>0</v>
      </c>
      <c r="G39" s="178">
        <f>+E39*1.035</f>
        <v>0</v>
      </c>
      <c r="H39" s="80">
        <f t="shared" si="13"/>
        <v>0</v>
      </c>
      <c r="I39" s="178">
        <f>+G39*1.032</f>
        <v>0</v>
      </c>
      <c r="J39" s="80">
        <f t="shared" si="14"/>
        <v>0</v>
      </c>
      <c r="K39" s="178">
        <f>+I39*1.025</f>
        <v>0</v>
      </c>
      <c r="L39" s="80">
        <f t="shared" si="15"/>
        <v>0</v>
      </c>
      <c r="M39" s="178">
        <f>+K39*1.025</f>
        <v>0</v>
      </c>
      <c r="N39" s="80">
        <f t="shared" si="16"/>
        <v>0</v>
      </c>
      <c r="O39" s="178">
        <f>+M39*1.025</f>
        <v>0</v>
      </c>
      <c r="P39" s="80">
        <f t="shared" si="17"/>
        <v>0</v>
      </c>
      <c r="Q39" s="178">
        <f>+O39*1.025</f>
        <v>0</v>
      </c>
      <c r="R39" s="80">
        <f t="shared" si="18"/>
        <v>0</v>
      </c>
      <c r="S39" s="178">
        <f>+Q39*1.025</f>
        <v>0</v>
      </c>
      <c r="T39" s="80">
        <f t="shared" si="19"/>
        <v>0</v>
      </c>
      <c r="U39" s="178">
        <f>+S39*1.025</f>
        <v>0</v>
      </c>
      <c r="V39" s="80">
        <f t="shared" si="20"/>
        <v>0</v>
      </c>
    </row>
    <row r="40" spans="1:22" ht="12.75" customHeight="1">
      <c r="A40" s="2" t="s">
        <v>388</v>
      </c>
      <c r="B40" s="35"/>
      <c r="C40" s="178">
        <f>C36*0.124</f>
        <v>0</v>
      </c>
      <c r="D40" s="80">
        <f t="shared" si="11"/>
        <v>0</v>
      </c>
      <c r="E40" s="178">
        <f>E36*0.124</f>
        <v>0</v>
      </c>
      <c r="F40" s="80">
        <f t="shared" si="12"/>
        <v>0</v>
      </c>
      <c r="G40" s="178">
        <f>G36*0.124</f>
        <v>0</v>
      </c>
      <c r="H40" s="80">
        <f t="shared" si="13"/>
        <v>0</v>
      </c>
      <c r="I40" s="178">
        <f>I36*0.124</f>
        <v>0</v>
      </c>
      <c r="J40" s="80">
        <f t="shared" si="14"/>
        <v>0</v>
      </c>
      <c r="K40" s="178">
        <f>K36*0.124</f>
        <v>0</v>
      </c>
      <c r="L40" s="80">
        <f t="shared" si="15"/>
        <v>0</v>
      </c>
      <c r="M40" s="178">
        <f>M36*0.124</f>
        <v>0</v>
      </c>
      <c r="N40" s="80">
        <f t="shared" si="16"/>
        <v>0</v>
      </c>
      <c r="O40" s="178">
        <f>O36*0.124</f>
        <v>0</v>
      </c>
      <c r="P40" s="80">
        <f t="shared" si="17"/>
        <v>0</v>
      </c>
      <c r="Q40" s="178">
        <f>Q36*0.124</f>
        <v>0</v>
      </c>
      <c r="R40" s="80">
        <f t="shared" si="18"/>
        <v>0</v>
      </c>
      <c r="S40" s="178">
        <f>S36*0.124</f>
        <v>0</v>
      </c>
      <c r="T40" s="80">
        <f t="shared" si="19"/>
        <v>0</v>
      </c>
      <c r="U40" s="178">
        <f>U36*0.124</f>
        <v>0</v>
      </c>
      <c r="V40" s="80">
        <f t="shared" si="20"/>
        <v>0</v>
      </c>
    </row>
    <row r="41" spans="1:22" ht="12.75" customHeight="1">
      <c r="A41" s="2" t="s">
        <v>389</v>
      </c>
      <c r="B41" s="35"/>
      <c r="C41" s="178">
        <f>C37*0.124</f>
        <v>13030.168</v>
      </c>
      <c r="D41" s="80">
        <f t="shared" si="11"/>
        <v>6.6710860121775697E-2</v>
      </c>
      <c r="E41" s="178">
        <f>E37*0.124</f>
        <v>14489.546816</v>
      </c>
      <c r="F41" s="80">
        <f t="shared" si="12"/>
        <v>6.4975546260089681E-2</v>
      </c>
      <c r="G41" s="178">
        <f>G37*0.124</f>
        <v>14996.680954559999</v>
      </c>
      <c r="H41" s="80">
        <f t="shared" si="13"/>
        <v>6.4920696772987008E-2</v>
      </c>
      <c r="I41" s="178">
        <f>I37*0.124</f>
        <v>15476.574745105918</v>
      </c>
      <c r="J41" s="80">
        <f t="shared" si="14"/>
        <v>6.4755542866551954E-2</v>
      </c>
      <c r="K41" s="178">
        <f>K37*0.124</f>
        <v>15863.489113733565</v>
      </c>
      <c r="L41" s="80">
        <f t="shared" si="15"/>
        <v>6.4485728104607995E-2</v>
      </c>
      <c r="M41" s="178">
        <f>M37*0.124</f>
        <v>16260.076341576903</v>
      </c>
      <c r="N41" s="80">
        <f t="shared" si="16"/>
        <v>6.4524112466575009E-2</v>
      </c>
      <c r="O41" s="178">
        <f>O37*0.124</f>
        <v>16666.578250116323</v>
      </c>
      <c r="P41" s="80">
        <f t="shared" si="17"/>
        <v>6.4349722973422091E-2</v>
      </c>
      <c r="Q41" s="178">
        <f>Q37*0.124</f>
        <v>17083.24270636923</v>
      </c>
      <c r="R41" s="80">
        <f t="shared" si="18"/>
        <v>6.3982182420858541E-2</v>
      </c>
      <c r="S41" s="178">
        <f>S37*0.124</f>
        <v>17510.32377402846</v>
      </c>
      <c r="T41" s="80">
        <f t="shared" si="19"/>
        <v>6.390629114608927E-2</v>
      </c>
      <c r="U41" s="178">
        <f>U37*0.124</f>
        <v>17948.081868379169</v>
      </c>
      <c r="V41" s="80">
        <f t="shared" si="20"/>
        <v>6.3645680384323292E-2</v>
      </c>
    </row>
    <row r="42" spans="1:22" ht="12.75" customHeight="1">
      <c r="A42" s="2" t="s">
        <v>390</v>
      </c>
      <c r="B42" s="35"/>
      <c r="C42" s="178"/>
      <c r="D42" s="80">
        <f t="shared" si="11"/>
        <v>0</v>
      </c>
      <c r="E42" s="178"/>
      <c r="F42" s="80">
        <f t="shared" si="12"/>
        <v>0</v>
      </c>
      <c r="G42" s="178"/>
      <c r="H42" s="80">
        <f t="shared" si="13"/>
        <v>0</v>
      </c>
      <c r="I42" s="178"/>
      <c r="J42" s="80">
        <f t="shared" si="14"/>
        <v>0</v>
      </c>
      <c r="K42" s="178"/>
      <c r="L42" s="80">
        <f t="shared" si="15"/>
        <v>0</v>
      </c>
      <c r="M42" s="178"/>
      <c r="N42" s="80">
        <f t="shared" si="16"/>
        <v>0</v>
      </c>
      <c r="O42" s="178"/>
      <c r="P42" s="80">
        <f t="shared" si="17"/>
        <v>0</v>
      </c>
      <c r="Q42" s="178"/>
      <c r="R42" s="80">
        <f t="shared" si="18"/>
        <v>0</v>
      </c>
      <c r="S42" s="178"/>
      <c r="T42" s="80">
        <f t="shared" si="19"/>
        <v>0</v>
      </c>
      <c r="U42" s="178"/>
      <c r="V42" s="80">
        <f t="shared" si="20"/>
        <v>0</v>
      </c>
    </row>
    <row r="43" spans="1:22" ht="12.75" customHeight="1">
      <c r="A43" s="2" t="s">
        <v>391</v>
      </c>
      <c r="B43" s="35"/>
      <c r="C43" s="178"/>
      <c r="D43" s="80">
        <f t="shared" si="11"/>
        <v>0</v>
      </c>
      <c r="E43" s="178"/>
      <c r="F43" s="80">
        <f t="shared" si="12"/>
        <v>0</v>
      </c>
      <c r="G43" s="178"/>
      <c r="H43" s="80">
        <f t="shared" si="13"/>
        <v>0</v>
      </c>
      <c r="I43" s="178"/>
      <c r="J43" s="80">
        <f t="shared" si="14"/>
        <v>0</v>
      </c>
      <c r="K43" s="178"/>
      <c r="L43" s="80">
        <f t="shared" si="15"/>
        <v>0</v>
      </c>
      <c r="M43" s="178"/>
      <c r="N43" s="80">
        <f t="shared" si="16"/>
        <v>0</v>
      </c>
      <c r="O43" s="178"/>
      <c r="P43" s="80">
        <f t="shared" si="17"/>
        <v>0</v>
      </c>
      <c r="Q43" s="178"/>
      <c r="R43" s="80">
        <f t="shared" si="18"/>
        <v>0</v>
      </c>
      <c r="S43" s="178"/>
      <c r="T43" s="80">
        <f t="shared" si="19"/>
        <v>0</v>
      </c>
      <c r="U43" s="178"/>
      <c r="V43" s="80">
        <f t="shared" si="20"/>
        <v>0</v>
      </c>
    </row>
    <row r="44" spans="1:22" ht="12.75" customHeight="1">
      <c r="A44" s="2" t="s">
        <v>392</v>
      </c>
      <c r="B44" s="35"/>
      <c r="C44" s="178"/>
      <c r="D44" s="80">
        <f t="shared" si="11"/>
        <v>0</v>
      </c>
      <c r="E44" s="178"/>
      <c r="F44" s="80">
        <f t="shared" si="12"/>
        <v>0</v>
      </c>
      <c r="G44" s="178"/>
      <c r="H44" s="80">
        <f t="shared" si="13"/>
        <v>0</v>
      </c>
      <c r="I44" s="178"/>
      <c r="J44" s="80">
        <f t="shared" si="14"/>
        <v>0</v>
      </c>
      <c r="K44" s="178"/>
      <c r="L44" s="80">
        <f t="shared" si="15"/>
        <v>0</v>
      </c>
      <c r="M44" s="178"/>
      <c r="N44" s="80">
        <f t="shared" si="16"/>
        <v>0</v>
      </c>
      <c r="O44" s="178"/>
      <c r="P44" s="80">
        <f t="shared" si="17"/>
        <v>0</v>
      </c>
      <c r="Q44" s="178"/>
      <c r="R44" s="80">
        <f t="shared" si="18"/>
        <v>0</v>
      </c>
      <c r="S44" s="178"/>
      <c r="T44" s="80">
        <f t="shared" si="19"/>
        <v>0</v>
      </c>
      <c r="U44" s="178"/>
      <c r="V44" s="80">
        <f t="shared" si="20"/>
        <v>0</v>
      </c>
    </row>
    <row r="45" spans="1:22" ht="12.75" customHeight="1">
      <c r="A45" s="2" t="s">
        <v>393</v>
      </c>
      <c r="B45" s="35"/>
      <c r="C45" s="181">
        <f>SUM(C36:C39)*0.094</f>
        <v>9877.7080000000005</v>
      </c>
      <c r="D45" s="80">
        <f t="shared" si="11"/>
        <v>5.0571135898765454E-2</v>
      </c>
      <c r="E45" s="181">
        <f>SUM(E36:E39)*0.094</f>
        <v>10984.011296000001</v>
      </c>
      <c r="F45" s="80">
        <f t="shared" si="12"/>
        <v>4.9255656035874444E-2</v>
      </c>
      <c r="G45" s="181">
        <f>SUM(G36:G39)*0.094</f>
        <v>11368.45169136</v>
      </c>
      <c r="H45" s="80">
        <f t="shared" si="13"/>
        <v>4.9214076585974029E-2</v>
      </c>
      <c r="I45" s="181">
        <f>SUM(I36:I39)*0.094</f>
        <v>11732.242145483518</v>
      </c>
      <c r="J45" s="80">
        <f t="shared" si="14"/>
        <v>4.9088879269805513E-2</v>
      </c>
      <c r="K45" s="181">
        <f>SUM(K36:K39)*0.094</f>
        <v>12025.548199120605</v>
      </c>
      <c r="L45" s="80">
        <f t="shared" si="15"/>
        <v>4.8884342272847991E-2</v>
      </c>
      <c r="M45" s="181">
        <f>SUM(M36:M39)*0.094</f>
        <v>12326.18690409862</v>
      </c>
      <c r="N45" s="80">
        <f t="shared" si="16"/>
        <v>4.8913440095629444E-2</v>
      </c>
      <c r="O45" s="181">
        <f>SUM(O36:O39)*0.094</f>
        <v>12634.341576701083</v>
      </c>
      <c r="P45" s="80">
        <f t="shared" si="17"/>
        <v>4.8781241608884487E-2</v>
      </c>
      <c r="Q45" s="181">
        <f>SUM(Q36:Q39)*0.094</f>
        <v>12950.200116118609</v>
      </c>
      <c r="R45" s="80">
        <f t="shared" si="18"/>
        <v>4.8502622157747602E-2</v>
      </c>
      <c r="S45" s="181">
        <f>SUM(S36:S39)*0.094</f>
        <v>13273.955119021573</v>
      </c>
      <c r="T45" s="80">
        <f t="shared" si="19"/>
        <v>4.8445091675261218E-2</v>
      </c>
      <c r="U45" s="181">
        <f>SUM(U36:U39)*0.094</f>
        <v>13605.803996997112</v>
      </c>
      <c r="V45" s="80">
        <f t="shared" si="20"/>
        <v>4.8247531904245078E-2</v>
      </c>
    </row>
    <row r="46" spans="1:22" ht="12.75" customHeight="1">
      <c r="A46" s="1" t="s">
        <v>394</v>
      </c>
      <c r="B46" s="53"/>
      <c r="C46" s="82">
        <f>SUM(C36:C45)</f>
        <v>127989.876</v>
      </c>
      <c r="D46" s="83">
        <f t="shared" si="11"/>
        <v>0.65527280345421612</v>
      </c>
      <c r="E46" s="82">
        <f>SUM(E36:E45)</f>
        <v>142324.74211200001</v>
      </c>
      <c r="F46" s="83">
        <f t="shared" si="12"/>
        <v>0.63822754310313901</v>
      </c>
      <c r="G46" s="82">
        <f>SUM(G36:G45)</f>
        <v>147306.10808592002</v>
      </c>
      <c r="H46" s="83">
        <f t="shared" si="13"/>
        <v>0.6376887795927273</v>
      </c>
      <c r="I46" s="82">
        <f>SUM(I36:I45)</f>
        <v>152019.90354466945</v>
      </c>
      <c r="J46" s="83">
        <f t="shared" si="14"/>
        <v>0.63606654202790569</v>
      </c>
      <c r="K46" s="82">
        <f>SUM(K36:K45)</f>
        <v>155820.40113328616</v>
      </c>
      <c r="L46" s="83">
        <f t="shared" si="15"/>
        <v>0.63341626476945589</v>
      </c>
      <c r="M46" s="82">
        <f>SUM(M36:M45)</f>
        <v>159715.91116161831</v>
      </c>
      <c r="N46" s="83">
        <f t="shared" si="16"/>
        <v>0.6337932982603901</v>
      </c>
      <c r="O46" s="82">
        <f>SUM(O36:O45)</f>
        <v>163708.80894065872</v>
      </c>
      <c r="P46" s="83">
        <f t="shared" si="17"/>
        <v>0.63208034340022679</v>
      </c>
      <c r="Q46" s="82">
        <f>SUM(Q36:Q45)</f>
        <v>167801.52916417518</v>
      </c>
      <c r="R46" s="83">
        <f t="shared" si="18"/>
        <v>0.62847014668230405</v>
      </c>
      <c r="S46" s="82">
        <f>SUM(S36:S45)</f>
        <v>171996.56739327955</v>
      </c>
      <c r="T46" s="83">
        <f t="shared" si="19"/>
        <v>0.62772469851561874</v>
      </c>
      <c r="U46" s="82">
        <f>SUM(U36:U45)</f>
        <v>176296.4815781115</v>
      </c>
      <c r="V46" s="83">
        <f t="shared" si="20"/>
        <v>0.62516482829117559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366</v>
      </c>
      <c r="E50" s="86" t="str">
        <f>E6</f>
        <v>FY 2019-20</v>
      </c>
      <c r="F50" s="86" t="s">
        <v>366</v>
      </c>
      <c r="G50" s="86" t="str">
        <f>G6</f>
        <v>FY 2020-21</v>
      </c>
      <c r="H50" s="86" t="s">
        <v>366</v>
      </c>
      <c r="I50" s="86" t="str">
        <f>I6</f>
        <v>FY 2021-22</v>
      </c>
      <c r="J50" s="86" t="s">
        <v>366</v>
      </c>
      <c r="K50" s="86" t="str">
        <f>K6</f>
        <v>FY 2022-23</v>
      </c>
      <c r="L50" s="86" t="s">
        <v>366</v>
      </c>
      <c r="M50" s="86" t="str">
        <f>M6</f>
        <v>FY 2023-24</v>
      </c>
      <c r="N50" s="86" t="s">
        <v>366</v>
      </c>
      <c r="O50" s="86" t="str">
        <f>O6</f>
        <v>FY 2024-25</v>
      </c>
      <c r="P50" s="86" t="s">
        <v>366</v>
      </c>
      <c r="Q50" s="86" t="str">
        <f>Q6</f>
        <v>FY 2025-26</v>
      </c>
      <c r="R50" s="86" t="s">
        <v>366</v>
      </c>
      <c r="S50" s="86" t="str">
        <f>S6</f>
        <v>FY 2026-27</v>
      </c>
      <c r="T50" s="86" t="s">
        <v>366</v>
      </c>
      <c r="U50" s="86" t="str">
        <f>U6</f>
        <v>FY 2027-28</v>
      </c>
      <c r="V50" s="86" t="s">
        <v>366</v>
      </c>
    </row>
    <row r="51" spans="1:24" ht="12.75" customHeight="1">
      <c r="A51" s="1" t="s">
        <v>395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396</v>
      </c>
      <c r="B52" s="35"/>
      <c r="C52" s="178">
        <v>0</v>
      </c>
      <c r="D52" s="80">
        <f t="shared" ref="D52:D83" si="22">IFERROR(C52/C$28,0)</f>
        <v>0</v>
      </c>
      <c r="E52" s="178">
        <v>0</v>
      </c>
      <c r="F52" s="80">
        <f t="shared" ref="F52:F105" si="23">IFERROR(E52/E$28,0)</f>
        <v>0</v>
      </c>
      <c r="G52" s="178">
        <v>0</v>
      </c>
      <c r="H52" s="80">
        <f t="shared" ref="H52:H105" si="24">IFERROR(G52/G$28,0)</f>
        <v>0</v>
      </c>
      <c r="I52" s="178">
        <v>0</v>
      </c>
      <c r="J52" s="80">
        <f t="shared" ref="J52:J105" si="25">IFERROR(I52/I$28,0)</f>
        <v>0</v>
      </c>
      <c r="K52" s="178">
        <v>0</v>
      </c>
      <c r="L52" s="80">
        <f t="shared" ref="L52:L105" si="26">IFERROR(K52/K$28,0)</f>
        <v>0</v>
      </c>
      <c r="M52" s="178">
        <v>0</v>
      </c>
      <c r="N52" s="80">
        <f t="shared" ref="N52:N105" si="27">IFERROR(M52/M$28,0)</f>
        <v>0</v>
      </c>
      <c r="O52" s="178">
        <v>0</v>
      </c>
      <c r="P52" s="80">
        <f t="shared" ref="P52:P105" si="28">IFERROR(O52/O$28,0)</f>
        <v>0</v>
      </c>
      <c r="Q52" s="178">
        <v>0</v>
      </c>
      <c r="R52" s="80">
        <f t="shared" ref="R52:R105" si="29">IFERROR(Q52/Q$28,0)</f>
        <v>0</v>
      </c>
      <c r="S52" s="178">
        <v>0</v>
      </c>
      <c r="T52" s="80">
        <f t="shared" ref="T52:T105" si="30">IFERROR(S52/S$28,0)</f>
        <v>0</v>
      </c>
      <c r="U52" s="178">
        <v>0</v>
      </c>
      <c r="V52" s="80">
        <f t="shared" ref="V52:V105" si="31">IFERROR(U52/U$28,0)</f>
        <v>0</v>
      </c>
      <c r="X52" s="192"/>
    </row>
    <row r="53" spans="1:24" ht="12.75" customHeight="1">
      <c r="A53" s="2" t="s">
        <v>397</v>
      </c>
      <c r="B53" s="35"/>
      <c r="C53" s="178">
        <v>0</v>
      </c>
      <c r="D53" s="80">
        <f t="shared" si="22"/>
        <v>0</v>
      </c>
      <c r="E53" s="178">
        <v>0</v>
      </c>
      <c r="F53" s="80">
        <f t="shared" si="23"/>
        <v>0</v>
      </c>
      <c r="G53" s="178">
        <v>0</v>
      </c>
      <c r="H53" s="80">
        <f t="shared" si="24"/>
        <v>0</v>
      </c>
      <c r="I53" s="178">
        <v>0</v>
      </c>
      <c r="J53" s="80">
        <f t="shared" si="25"/>
        <v>0</v>
      </c>
      <c r="K53" s="178">
        <v>0</v>
      </c>
      <c r="L53" s="80">
        <f t="shared" si="26"/>
        <v>0</v>
      </c>
      <c r="M53" s="178">
        <v>0</v>
      </c>
      <c r="N53" s="80">
        <f t="shared" si="27"/>
        <v>0</v>
      </c>
      <c r="O53" s="178">
        <v>0</v>
      </c>
      <c r="P53" s="80">
        <f t="shared" si="28"/>
        <v>0</v>
      </c>
      <c r="Q53" s="178">
        <v>0</v>
      </c>
      <c r="R53" s="80">
        <f t="shared" si="29"/>
        <v>0</v>
      </c>
      <c r="S53" s="178">
        <v>0</v>
      </c>
      <c r="T53" s="80">
        <f t="shared" si="30"/>
        <v>0</v>
      </c>
      <c r="U53" s="178">
        <v>0</v>
      </c>
      <c r="V53" s="80">
        <f t="shared" si="31"/>
        <v>0</v>
      </c>
      <c r="X53" s="192"/>
    </row>
    <row r="54" spans="1:24" ht="12.75" customHeight="1">
      <c r="A54" s="2" t="s">
        <v>398</v>
      </c>
      <c r="B54" s="35"/>
      <c r="C54" s="178">
        <v>136.72612799999999</v>
      </c>
      <c r="D54" s="80">
        <f t="shared" si="22"/>
        <v>6.9999999999999988E-4</v>
      </c>
      <c r="E54" s="178">
        <v>156.1</v>
      </c>
      <c r="F54" s="80">
        <f t="shared" si="23"/>
        <v>6.9999999999999999E-4</v>
      </c>
      <c r="G54" s="178">
        <v>161.69999999999999</v>
      </c>
      <c r="H54" s="80">
        <f t="shared" si="24"/>
        <v>6.9999999999999999E-4</v>
      </c>
      <c r="I54" s="178">
        <v>167.3</v>
      </c>
      <c r="J54" s="80">
        <f t="shared" si="25"/>
        <v>7.000000000000001E-4</v>
      </c>
      <c r="K54" s="178">
        <v>172.2</v>
      </c>
      <c r="L54" s="80">
        <f t="shared" si="26"/>
        <v>6.9999999999999999E-4</v>
      </c>
      <c r="M54" s="178">
        <v>176.4</v>
      </c>
      <c r="N54" s="80">
        <f t="shared" si="27"/>
        <v>6.9999999999999999E-4</v>
      </c>
      <c r="O54" s="178">
        <v>181.3</v>
      </c>
      <c r="P54" s="80">
        <f t="shared" si="28"/>
        <v>6.9999999999999999E-4</v>
      </c>
      <c r="Q54" s="178">
        <v>186.9</v>
      </c>
      <c r="R54" s="80">
        <f t="shared" si="29"/>
        <v>6.9999999999999999E-4</v>
      </c>
      <c r="S54" s="178">
        <v>191.8</v>
      </c>
      <c r="T54" s="80">
        <f t="shared" si="30"/>
        <v>6.9999999999999999E-4</v>
      </c>
      <c r="U54" s="178">
        <v>197.4</v>
      </c>
      <c r="V54" s="80">
        <f t="shared" si="31"/>
        <v>6.9999999999999999E-4</v>
      </c>
      <c r="X54" s="192"/>
    </row>
    <row r="55" spans="1:24" ht="12.75" customHeight="1">
      <c r="A55" s="2" t="s">
        <v>399</v>
      </c>
      <c r="B55" s="35"/>
      <c r="C55" s="178"/>
      <c r="D55" s="80">
        <f t="shared" si="22"/>
        <v>0</v>
      </c>
      <c r="E55" s="178"/>
      <c r="F55" s="80">
        <f t="shared" si="23"/>
        <v>0</v>
      </c>
      <c r="G55" s="178"/>
      <c r="H55" s="80">
        <f t="shared" si="24"/>
        <v>0</v>
      </c>
      <c r="I55" s="178"/>
      <c r="J55" s="80">
        <f t="shared" si="25"/>
        <v>0</v>
      </c>
      <c r="K55" s="178"/>
      <c r="L55" s="80">
        <f t="shared" si="26"/>
        <v>0</v>
      </c>
      <c r="M55" s="178"/>
      <c r="N55" s="80">
        <f t="shared" si="27"/>
        <v>0</v>
      </c>
      <c r="O55" s="178"/>
      <c r="P55" s="80">
        <f t="shared" si="28"/>
        <v>0</v>
      </c>
      <c r="Q55" s="178"/>
      <c r="R55" s="80">
        <f t="shared" si="29"/>
        <v>0</v>
      </c>
      <c r="S55" s="178"/>
      <c r="T55" s="80">
        <f t="shared" si="30"/>
        <v>0</v>
      </c>
      <c r="U55" s="178"/>
      <c r="V55" s="80">
        <f t="shared" si="31"/>
        <v>0</v>
      </c>
      <c r="X55" s="192"/>
    </row>
    <row r="56" spans="1:24" ht="12.75" customHeight="1">
      <c r="A56" s="2" t="s">
        <v>400</v>
      </c>
      <c r="B56" s="35"/>
      <c r="C56" s="178">
        <v>99.614750400000005</v>
      </c>
      <c r="D56" s="80">
        <f t="shared" si="22"/>
        <v>5.1000000000000004E-4</v>
      </c>
      <c r="E56" s="178">
        <v>113.73</v>
      </c>
      <c r="F56" s="80">
        <f t="shared" si="23"/>
        <v>5.1000000000000004E-4</v>
      </c>
      <c r="G56" s="178">
        <v>117.81</v>
      </c>
      <c r="H56" s="80">
        <f t="shared" si="24"/>
        <v>5.1000000000000004E-4</v>
      </c>
      <c r="I56" s="178">
        <v>121.89000000000001</v>
      </c>
      <c r="J56" s="80">
        <f t="shared" si="25"/>
        <v>5.1000000000000004E-4</v>
      </c>
      <c r="K56" s="178">
        <v>125.46000000000001</v>
      </c>
      <c r="L56" s="80">
        <f t="shared" si="26"/>
        <v>5.1000000000000004E-4</v>
      </c>
      <c r="M56" s="178">
        <v>128.52000000000001</v>
      </c>
      <c r="N56" s="80">
        <f t="shared" si="27"/>
        <v>5.1000000000000004E-4</v>
      </c>
      <c r="O56" s="178">
        <v>132.09</v>
      </c>
      <c r="P56" s="80">
        <f t="shared" si="28"/>
        <v>5.1000000000000004E-4</v>
      </c>
      <c r="Q56" s="178">
        <v>136.17000000000002</v>
      </c>
      <c r="R56" s="80">
        <f t="shared" si="29"/>
        <v>5.1000000000000004E-4</v>
      </c>
      <c r="S56" s="178">
        <v>139.74</v>
      </c>
      <c r="T56" s="80">
        <f t="shared" si="30"/>
        <v>5.1000000000000004E-4</v>
      </c>
      <c r="U56" s="178">
        <v>143.82</v>
      </c>
      <c r="V56" s="80">
        <f t="shared" si="31"/>
        <v>5.0999999999999993E-4</v>
      </c>
      <c r="X56" s="192"/>
    </row>
    <row r="57" spans="1:24" ht="12.75" customHeight="1">
      <c r="A57" s="2" t="s">
        <v>401</v>
      </c>
      <c r="B57" s="35"/>
      <c r="C57" s="178">
        <v>0</v>
      </c>
      <c r="D57" s="80">
        <f t="shared" si="22"/>
        <v>0</v>
      </c>
      <c r="E57" s="178">
        <v>0</v>
      </c>
      <c r="F57" s="80">
        <f t="shared" si="23"/>
        <v>0</v>
      </c>
      <c r="G57" s="178">
        <v>0</v>
      </c>
      <c r="H57" s="80">
        <f t="shared" si="24"/>
        <v>0</v>
      </c>
      <c r="I57" s="178">
        <v>0</v>
      </c>
      <c r="J57" s="80">
        <f t="shared" si="25"/>
        <v>0</v>
      </c>
      <c r="K57" s="178">
        <v>0</v>
      </c>
      <c r="L57" s="80">
        <f t="shared" si="26"/>
        <v>0</v>
      </c>
      <c r="M57" s="178">
        <v>0</v>
      </c>
      <c r="N57" s="80">
        <f t="shared" si="27"/>
        <v>0</v>
      </c>
      <c r="O57" s="178">
        <v>0</v>
      </c>
      <c r="P57" s="80">
        <f t="shared" si="28"/>
        <v>0</v>
      </c>
      <c r="Q57" s="178">
        <v>0</v>
      </c>
      <c r="R57" s="80">
        <f t="shared" si="29"/>
        <v>0</v>
      </c>
      <c r="S57" s="178">
        <v>0</v>
      </c>
      <c r="T57" s="80">
        <f t="shared" si="30"/>
        <v>0</v>
      </c>
      <c r="U57" s="178">
        <v>0</v>
      </c>
      <c r="V57" s="80">
        <f t="shared" si="31"/>
        <v>0</v>
      </c>
      <c r="X57" s="192"/>
    </row>
    <row r="58" spans="1:24" ht="12.75" customHeight="1">
      <c r="A58" s="2" t="s">
        <v>402</v>
      </c>
      <c r="B58" s="35"/>
      <c r="C58" s="178">
        <v>0</v>
      </c>
      <c r="D58" s="80">
        <f t="shared" si="22"/>
        <v>0</v>
      </c>
      <c r="E58" s="178">
        <v>0</v>
      </c>
      <c r="F58" s="80">
        <f t="shared" si="23"/>
        <v>0</v>
      </c>
      <c r="G58" s="178">
        <v>0</v>
      </c>
      <c r="H58" s="80">
        <f t="shared" si="24"/>
        <v>0</v>
      </c>
      <c r="I58" s="178">
        <v>0</v>
      </c>
      <c r="J58" s="80">
        <f t="shared" si="25"/>
        <v>0</v>
      </c>
      <c r="K58" s="178">
        <v>0</v>
      </c>
      <c r="L58" s="80">
        <f t="shared" si="26"/>
        <v>0</v>
      </c>
      <c r="M58" s="178">
        <v>0</v>
      </c>
      <c r="N58" s="80">
        <f t="shared" si="27"/>
        <v>0</v>
      </c>
      <c r="O58" s="178">
        <v>0</v>
      </c>
      <c r="P58" s="80">
        <f t="shared" si="28"/>
        <v>0</v>
      </c>
      <c r="Q58" s="178">
        <v>0</v>
      </c>
      <c r="R58" s="80">
        <f t="shared" si="29"/>
        <v>0</v>
      </c>
      <c r="S58" s="178">
        <v>0</v>
      </c>
      <c r="T58" s="80">
        <f t="shared" si="30"/>
        <v>0</v>
      </c>
      <c r="U58" s="178">
        <v>0</v>
      </c>
      <c r="V58" s="80">
        <f t="shared" si="31"/>
        <v>0</v>
      </c>
      <c r="X58" s="192"/>
    </row>
    <row r="59" spans="1:24" ht="12.75" customHeight="1">
      <c r="A59" s="2" t="s">
        <v>403</v>
      </c>
      <c r="B59" s="35"/>
      <c r="C59" s="178"/>
      <c r="D59" s="80">
        <f t="shared" si="22"/>
        <v>0</v>
      </c>
      <c r="E59" s="178"/>
      <c r="F59" s="80">
        <f t="shared" si="23"/>
        <v>0</v>
      </c>
      <c r="G59" s="178"/>
      <c r="H59" s="80">
        <f t="shared" si="24"/>
        <v>0</v>
      </c>
      <c r="I59" s="178"/>
      <c r="J59" s="80">
        <f t="shared" si="25"/>
        <v>0</v>
      </c>
      <c r="K59" s="178"/>
      <c r="L59" s="80">
        <f t="shared" si="26"/>
        <v>0</v>
      </c>
      <c r="M59" s="178"/>
      <c r="N59" s="80">
        <f t="shared" si="27"/>
        <v>0</v>
      </c>
      <c r="O59" s="178"/>
      <c r="P59" s="80">
        <f t="shared" si="28"/>
        <v>0</v>
      </c>
      <c r="Q59" s="178"/>
      <c r="R59" s="80">
        <f t="shared" si="29"/>
        <v>0</v>
      </c>
      <c r="S59" s="178"/>
      <c r="T59" s="80">
        <f t="shared" si="30"/>
        <v>0</v>
      </c>
      <c r="U59" s="178"/>
      <c r="V59" s="80">
        <f t="shared" si="31"/>
        <v>0</v>
      </c>
      <c r="X59" s="192"/>
    </row>
    <row r="60" spans="1:24" ht="12.75" customHeight="1">
      <c r="A60" s="2" t="s">
        <v>404</v>
      </c>
      <c r="B60" s="35"/>
      <c r="C60" s="178">
        <v>0</v>
      </c>
      <c r="D60" s="80">
        <f t="shared" si="22"/>
        <v>0</v>
      </c>
      <c r="E60" s="178">
        <v>0</v>
      </c>
      <c r="F60" s="80">
        <f t="shared" si="23"/>
        <v>0</v>
      </c>
      <c r="G60" s="178">
        <v>0</v>
      </c>
      <c r="H60" s="80">
        <f t="shared" si="24"/>
        <v>0</v>
      </c>
      <c r="I60" s="178">
        <v>0</v>
      </c>
      <c r="J60" s="80">
        <f t="shared" si="25"/>
        <v>0</v>
      </c>
      <c r="K60" s="178">
        <v>0</v>
      </c>
      <c r="L60" s="80">
        <f t="shared" si="26"/>
        <v>0</v>
      </c>
      <c r="M60" s="178">
        <v>0</v>
      </c>
      <c r="N60" s="80">
        <f t="shared" si="27"/>
        <v>0</v>
      </c>
      <c r="O60" s="178">
        <v>0</v>
      </c>
      <c r="P60" s="80">
        <f t="shared" si="28"/>
        <v>0</v>
      </c>
      <c r="Q60" s="178">
        <v>0</v>
      </c>
      <c r="R60" s="80">
        <f t="shared" si="29"/>
        <v>0</v>
      </c>
      <c r="S60" s="178">
        <v>0</v>
      </c>
      <c r="T60" s="80">
        <f t="shared" si="30"/>
        <v>0</v>
      </c>
      <c r="U60" s="178">
        <v>0</v>
      </c>
      <c r="V60" s="80">
        <f t="shared" si="31"/>
        <v>0</v>
      </c>
      <c r="X60" s="192"/>
    </row>
    <row r="61" spans="1:24" ht="12.75" customHeight="1">
      <c r="A61" s="2" t="s">
        <v>405</v>
      </c>
      <c r="B61" s="35"/>
      <c r="C61" s="178">
        <v>0</v>
      </c>
      <c r="D61" s="80">
        <f t="shared" si="22"/>
        <v>0</v>
      </c>
      <c r="E61" s="178">
        <v>0</v>
      </c>
      <c r="F61" s="80">
        <f t="shared" si="23"/>
        <v>0</v>
      </c>
      <c r="G61" s="178">
        <v>0</v>
      </c>
      <c r="H61" s="80">
        <f t="shared" si="24"/>
        <v>0</v>
      </c>
      <c r="I61" s="178">
        <v>0</v>
      </c>
      <c r="J61" s="80">
        <f t="shared" si="25"/>
        <v>0</v>
      </c>
      <c r="K61" s="178">
        <v>0</v>
      </c>
      <c r="L61" s="80">
        <f t="shared" si="26"/>
        <v>0</v>
      </c>
      <c r="M61" s="178">
        <v>0</v>
      </c>
      <c r="N61" s="80">
        <f t="shared" si="27"/>
        <v>0</v>
      </c>
      <c r="O61" s="178">
        <v>0</v>
      </c>
      <c r="P61" s="80">
        <f t="shared" si="28"/>
        <v>0</v>
      </c>
      <c r="Q61" s="178">
        <v>0</v>
      </c>
      <c r="R61" s="80">
        <f t="shared" si="29"/>
        <v>0</v>
      </c>
      <c r="S61" s="178">
        <v>0</v>
      </c>
      <c r="T61" s="80">
        <f t="shared" si="30"/>
        <v>0</v>
      </c>
      <c r="U61" s="178">
        <v>0</v>
      </c>
      <c r="V61" s="80">
        <f t="shared" si="31"/>
        <v>0</v>
      </c>
      <c r="X61" s="192"/>
    </row>
    <row r="62" spans="1:24" ht="12.75" customHeight="1">
      <c r="A62" s="2" t="s">
        <v>406</v>
      </c>
      <c r="B62" s="35"/>
      <c r="C62" s="178">
        <v>0</v>
      </c>
      <c r="D62" s="80">
        <f t="shared" si="22"/>
        <v>0</v>
      </c>
      <c r="E62" s="178">
        <v>0</v>
      </c>
      <c r="F62" s="80">
        <f t="shared" si="23"/>
        <v>0</v>
      </c>
      <c r="G62" s="178">
        <v>0</v>
      </c>
      <c r="H62" s="80">
        <f t="shared" si="24"/>
        <v>0</v>
      </c>
      <c r="I62" s="178">
        <v>0</v>
      </c>
      <c r="J62" s="80">
        <f t="shared" si="25"/>
        <v>0</v>
      </c>
      <c r="K62" s="178">
        <v>0</v>
      </c>
      <c r="L62" s="80">
        <f t="shared" si="26"/>
        <v>0</v>
      </c>
      <c r="M62" s="178">
        <v>0</v>
      </c>
      <c r="N62" s="80">
        <f t="shared" si="27"/>
        <v>0</v>
      </c>
      <c r="O62" s="178">
        <v>0</v>
      </c>
      <c r="P62" s="80">
        <f t="shared" si="28"/>
        <v>0</v>
      </c>
      <c r="Q62" s="178">
        <v>0</v>
      </c>
      <c r="R62" s="80">
        <f t="shared" si="29"/>
        <v>0</v>
      </c>
      <c r="S62" s="178">
        <v>0</v>
      </c>
      <c r="T62" s="80">
        <f t="shared" si="30"/>
        <v>0</v>
      </c>
      <c r="U62" s="178">
        <v>0</v>
      </c>
      <c r="V62" s="80">
        <f t="shared" si="31"/>
        <v>0</v>
      </c>
      <c r="X62" s="192"/>
    </row>
    <row r="63" spans="1:24" ht="12.75" customHeight="1">
      <c r="A63" s="2" t="s">
        <v>407</v>
      </c>
      <c r="B63" s="35"/>
      <c r="C63" s="178">
        <v>2376.2375707246306</v>
      </c>
      <c r="D63" s="80">
        <f t="shared" si="22"/>
        <v>1.2165679843630482E-2</v>
      </c>
      <c r="E63" s="178">
        <v>2752.9998993682966</v>
      </c>
      <c r="F63" s="80">
        <f t="shared" si="23"/>
        <v>1.2345291028557383E-2</v>
      </c>
      <c r="G63" s="178">
        <v>2821.5763562733732</v>
      </c>
      <c r="H63" s="80">
        <f t="shared" si="24"/>
        <v>1.2214616260923693E-2</v>
      </c>
      <c r="I63" s="178">
        <v>2926.7893729644743</v>
      </c>
      <c r="J63" s="80">
        <f t="shared" si="25"/>
        <v>1.224598064001872E-2</v>
      </c>
      <c r="K63" s="178">
        <v>3003.2267881799125</v>
      </c>
      <c r="L63" s="80">
        <f t="shared" si="26"/>
        <v>1.2208238976341108E-2</v>
      </c>
      <c r="M63" s="178">
        <v>3081.6628547629193</v>
      </c>
      <c r="N63" s="80">
        <f t="shared" si="27"/>
        <v>1.2228820852233807E-2</v>
      </c>
      <c r="O63" s="178">
        <v>3173.7942584279203</v>
      </c>
      <c r="P63" s="80">
        <f t="shared" si="28"/>
        <v>1.2254031885822086E-2</v>
      </c>
      <c r="Q63" s="178">
        <v>3281.4352924046452</v>
      </c>
      <c r="R63" s="80">
        <f t="shared" si="29"/>
        <v>1.2290019821740245E-2</v>
      </c>
      <c r="S63" s="178">
        <v>3377.0852990158742</v>
      </c>
      <c r="T63" s="80">
        <f t="shared" si="30"/>
        <v>1.2325128828525088E-2</v>
      </c>
      <c r="U63" s="178">
        <v>3486.2661047787606</v>
      </c>
      <c r="V63" s="80">
        <f t="shared" si="31"/>
        <v>1.236264576162681E-2</v>
      </c>
      <c r="X63" s="192"/>
    </row>
    <row r="64" spans="1:24" ht="12.75" customHeight="1">
      <c r="A64" s="2" t="s">
        <v>408</v>
      </c>
      <c r="B64" s="35"/>
      <c r="C64" s="178">
        <v>937.55059199999994</v>
      </c>
      <c r="D64" s="80">
        <f t="shared" si="22"/>
        <v>4.7999999999999996E-3</v>
      </c>
      <c r="E64" s="178">
        <v>1070.3999999999999</v>
      </c>
      <c r="F64" s="80">
        <f t="shared" si="23"/>
        <v>4.7999999999999996E-3</v>
      </c>
      <c r="G64" s="178">
        <v>1108.8</v>
      </c>
      <c r="H64" s="80">
        <f t="shared" si="24"/>
        <v>4.7999999999999996E-3</v>
      </c>
      <c r="I64" s="178">
        <v>1147.1999999999998</v>
      </c>
      <c r="J64" s="80">
        <f t="shared" si="25"/>
        <v>4.7999999999999996E-3</v>
      </c>
      <c r="K64" s="178">
        <v>1180.8</v>
      </c>
      <c r="L64" s="80">
        <f t="shared" si="26"/>
        <v>4.7999999999999996E-3</v>
      </c>
      <c r="M64" s="178">
        <v>1209.5999999999999</v>
      </c>
      <c r="N64" s="80">
        <f t="shared" si="27"/>
        <v>4.7999999999999996E-3</v>
      </c>
      <c r="O64" s="178">
        <v>1243.2</v>
      </c>
      <c r="P64" s="80">
        <f t="shared" si="28"/>
        <v>4.8000000000000004E-3</v>
      </c>
      <c r="Q64" s="178">
        <v>1281.5999999999997</v>
      </c>
      <c r="R64" s="80">
        <f t="shared" si="29"/>
        <v>4.7999999999999987E-3</v>
      </c>
      <c r="S64" s="178">
        <v>1315.1999999999998</v>
      </c>
      <c r="T64" s="80">
        <f t="shared" si="30"/>
        <v>4.7999999999999996E-3</v>
      </c>
      <c r="U64" s="178">
        <v>1353.6</v>
      </c>
      <c r="V64" s="80">
        <f t="shared" si="31"/>
        <v>4.7999999999999996E-3</v>
      </c>
      <c r="X64" s="192"/>
    </row>
    <row r="65" spans="1:24" ht="12.75" customHeight="1">
      <c r="A65" s="2" t="s">
        <v>409</v>
      </c>
      <c r="B65" s="35"/>
      <c r="C65" s="178">
        <v>97.66152000000001</v>
      </c>
      <c r="D65" s="80">
        <f t="shared" si="22"/>
        <v>5.0000000000000001E-4</v>
      </c>
      <c r="E65" s="178">
        <v>111.5</v>
      </c>
      <c r="F65" s="80">
        <f t="shared" si="23"/>
        <v>5.0000000000000001E-4</v>
      </c>
      <c r="G65" s="178">
        <v>115.5</v>
      </c>
      <c r="H65" s="80">
        <f t="shared" si="24"/>
        <v>5.0000000000000001E-4</v>
      </c>
      <c r="I65" s="178">
        <v>119.5</v>
      </c>
      <c r="J65" s="80">
        <f t="shared" si="25"/>
        <v>5.0000000000000001E-4</v>
      </c>
      <c r="K65" s="178">
        <v>123</v>
      </c>
      <c r="L65" s="80">
        <f t="shared" si="26"/>
        <v>5.0000000000000001E-4</v>
      </c>
      <c r="M65" s="178">
        <v>126</v>
      </c>
      <c r="N65" s="80">
        <f t="shared" si="27"/>
        <v>5.0000000000000001E-4</v>
      </c>
      <c r="O65" s="178">
        <v>129.5</v>
      </c>
      <c r="P65" s="80">
        <f t="shared" si="28"/>
        <v>5.0000000000000001E-4</v>
      </c>
      <c r="Q65" s="178">
        <v>133.5</v>
      </c>
      <c r="R65" s="80">
        <f t="shared" si="29"/>
        <v>5.0000000000000001E-4</v>
      </c>
      <c r="S65" s="178">
        <v>137</v>
      </c>
      <c r="T65" s="80">
        <f t="shared" si="30"/>
        <v>5.0000000000000001E-4</v>
      </c>
      <c r="U65" s="178">
        <v>140.99999999999997</v>
      </c>
      <c r="V65" s="80">
        <f t="shared" si="31"/>
        <v>4.999999999999999E-4</v>
      </c>
      <c r="X65" s="192"/>
    </row>
    <row r="66" spans="1:24" ht="12.75" customHeight="1">
      <c r="A66" s="2" t="s">
        <v>410</v>
      </c>
      <c r="B66" s="35"/>
      <c r="C66" s="178">
        <v>546.90451199999995</v>
      </c>
      <c r="D66" s="80">
        <f t="shared" si="22"/>
        <v>2.7999999999999995E-3</v>
      </c>
      <c r="E66" s="178">
        <v>624.4</v>
      </c>
      <c r="F66" s="80">
        <f t="shared" si="23"/>
        <v>2.8E-3</v>
      </c>
      <c r="G66" s="178">
        <v>646.79999999999995</v>
      </c>
      <c r="H66" s="80">
        <f t="shared" si="24"/>
        <v>2.8E-3</v>
      </c>
      <c r="I66" s="178">
        <v>669.2</v>
      </c>
      <c r="J66" s="80">
        <f t="shared" si="25"/>
        <v>2.8000000000000004E-3</v>
      </c>
      <c r="K66" s="178">
        <v>688.8</v>
      </c>
      <c r="L66" s="80">
        <f t="shared" si="26"/>
        <v>2.8E-3</v>
      </c>
      <c r="M66" s="178">
        <v>705.6</v>
      </c>
      <c r="N66" s="80">
        <f t="shared" si="27"/>
        <v>2.8E-3</v>
      </c>
      <c r="O66" s="178">
        <v>725.2</v>
      </c>
      <c r="P66" s="80">
        <f t="shared" si="28"/>
        <v>2.8E-3</v>
      </c>
      <c r="Q66" s="178">
        <v>747.6</v>
      </c>
      <c r="R66" s="80">
        <f t="shared" si="29"/>
        <v>2.8E-3</v>
      </c>
      <c r="S66" s="178">
        <v>767.2</v>
      </c>
      <c r="T66" s="80">
        <f t="shared" si="30"/>
        <v>2.8E-3</v>
      </c>
      <c r="U66" s="178">
        <v>789.6</v>
      </c>
      <c r="V66" s="80">
        <f t="shared" si="31"/>
        <v>2.8E-3</v>
      </c>
      <c r="X66" s="192"/>
    </row>
    <row r="67" spans="1:24" ht="12.75" customHeight="1">
      <c r="A67" s="2" t="s">
        <v>411</v>
      </c>
      <c r="B67" s="35"/>
      <c r="C67" s="178">
        <v>2929.8455999999996</v>
      </c>
      <c r="D67" s="80">
        <f t="shared" si="22"/>
        <v>1.4999999999999998E-2</v>
      </c>
      <c r="E67" s="178">
        <v>3345</v>
      </c>
      <c r="F67" s="80">
        <f t="shared" si="23"/>
        <v>1.4999999999999999E-2</v>
      </c>
      <c r="G67" s="178">
        <v>3465</v>
      </c>
      <c r="H67" s="80">
        <f t="shared" si="24"/>
        <v>1.4999999999999999E-2</v>
      </c>
      <c r="I67" s="178">
        <v>3584.9999999999995</v>
      </c>
      <c r="J67" s="80">
        <f t="shared" si="25"/>
        <v>1.4999999999999998E-2</v>
      </c>
      <c r="K67" s="178">
        <v>3689.9999999999995</v>
      </c>
      <c r="L67" s="80">
        <f t="shared" si="26"/>
        <v>1.4999999999999998E-2</v>
      </c>
      <c r="M67" s="178">
        <v>3780</v>
      </c>
      <c r="N67" s="80">
        <f t="shared" si="27"/>
        <v>1.4999999999999999E-2</v>
      </c>
      <c r="O67" s="178">
        <v>3885</v>
      </c>
      <c r="P67" s="80">
        <f t="shared" si="28"/>
        <v>1.4999999999999999E-2</v>
      </c>
      <c r="Q67" s="178">
        <v>4004.9999999999995</v>
      </c>
      <c r="R67" s="80">
        <f t="shared" si="29"/>
        <v>1.4999999999999998E-2</v>
      </c>
      <c r="S67" s="178">
        <v>4110</v>
      </c>
      <c r="T67" s="80">
        <f t="shared" si="30"/>
        <v>1.4999999999999999E-2</v>
      </c>
      <c r="U67" s="178">
        <v>4229.9999999999991</v>
      </c>
      <c r="V67" s="80">
        <f t="shared" si="31"/>
        <v>1.4999999999999996E-2</v>
      </c>
      <c r="X67" s="192"/>
    </row>
    <row r="68" spans="1:24" ht="12.75" customHeight="1">
      <c r="A68" s="2" t="s">
        <v>412</v>
      </c>
      <c r="B68" s="35"/>
      <c r="C68" s="178">
        <v>332.04916799999995</v>
      </c>
      <c r="D68" s="80">
        <f t="shared" si="22"/>
        <v>1.6999999999999997E-3</v>
      </c>
      <c r="E68" s="178">
        <v>379.09999999999997</v>
      </c>
      <c r="F68" s="80">
        <f t="shared" si="23"/>
        <v>1.6999999999999999E-3</v>
      </c>
      <c r="G68" s="178">
        <v>392.7</v>
      </c>
      <c r="H68" s="80">
        <f t="shared" si="24"/>
        <v>1.6999999999999999E-3</v>
      </c>
      <c r="I68" s="178">
        <v>406.29999999999995</v>
      </c>
      <c r="J68" s="80">
        <f t="shared" si="25"/>
        <v>1.6999999999999999E-3</v>
      </c>
      <c r="K68" s="178">
        <v>418.2</v>
      </c>
      <c r="L68" s="80">
        <f t="shared" si="26"/>
        <v>1.6999999999999999E-3</v>
      </c>
      <c r="M68" s="178">
        <v>428.4</v>
      </c>
      <c r="N68" s="80">
        <f t="shared" si="27"/>
        <v>1.6999999999999999E-3</v>
      </c>
      <c r="O68" s="178">
        <v>440.3</v>
      </c>
      <c r="P68" s="80">
        <f t="shared" si="28"/>
        <v>1.7000000000000001E-3</v>
      </c>
      <c r="Q68" s="178">
        <v>453.9</v>
      </c>
      <c r="R68" s="80">
        <f t="shared" si="29"/>
        <v>1.6999999999999999E-3</v>
      </c>
      <c r="S68" s="178">
        <v>465.79999999999995</v>
      </c>
      <c r="T68" s="80">
        <f t="shared" si="30"/>
        <v>1.6999999999999999E-3</v>
      </c>
      <c r="U68" s="178">
        <v>479.39999999999992</v>
      </c>
      <c r="V68" s="80">
        <f t="shared" si="31"/>
        <v>1.6999999999999997E-3</v>
      </c>
      <c r="X68" s="192"/>
    </row>
    <row r="69" spans="1:24" ht="12.75" customHeight="1">
      <c r="A69" s="2" t="s">
        <v>413</v>
      </c>
      <c r="B69" s="35"/>
      <c r="C69" s="178">
        <v>0</v>
      </c>
      <c r="D69" s="80">
        <f t="shared" si="22"/>
        <v>0</v>
      </c>
      <c r="E69" s="178">
        <v>0</v>
      </c>
      <c r="F69" s="80">
        <f t="shared" si="23"/>
        <v>0</v>
      </c>
      <c r="G69" s="178">
        <v>0</v>
      </c>
      <c r="H69" s="80">
        <f t="shared" si="24"/>
        <v>0</v>
      </c>
      <c r="I69" s="178">
        <v>0</v>
      </c>
      <c r="J69" s="80">
        <f t="shared" si="25"/>
        <v>0</v>
      </c>
      <c r="K69" s="178">
        <v>0</v>
      </c>
      <c r="L69" s="80">
        <f t="shared" si="26"/>
        <v>0</v>
      </c>
      <c r="M69" s="178">
        <v>0</v>
      </c>
      <c r="N69" s="80">
        <f t="shared" si="27"/>
        <v>0</v>
      </c>
      <c r="O69" s="178">
        <v>0</v>
      </c>
      <c r="P69" s="80">
        <f t="shared" si="28"/>
        <v>0</v>
      </c>
      <c r="Q69" s="178">
        <v>0</v>
      </c>
      <c r="R69" s="80">
        <f t="shared" si="29"/>
        <v>0</v>
      </c>
      <c r="S69" s="178">
        <v>0</v>
      </c>
      <c r="T69" s="80">
        <f t="shared" si="30"/>
        <v>0</v>
      </c>
      <c r="U69" s="178">
        <v>0</v>
      </c>
      <c r="V69" s="80">
        <f t="shared" si="31"/>
        <v>0</v>
      </c>
      <c r="X69" s="192"/>
    </row>
    <row r="70" spans="1:24" ht="12.75" customHeight="1">
      <c r="A70" s="2" t="s">
        <v>414</v>
      </c>
      <c r="B70" s="35"/>
      <c r="C70" s="178">
        <v>19.532304</v>
      </c>
      <c r="D70" s="80">
        <f t="shared" si="22"/>
        <v>9.9999999999999991E-5</v>
      </c>
      <c r="E70" s="178">
        <v>22.300000000000004</v>
      </c>
      <c r="F70" s="80">
        <f t="shared" si="23"/>
        <v>1.0000000000000002E-4</v>
      </c>
      <c r="G70" s="178">
        <v>23.1</v>
      </c>
      <c r="H70" s="80">
        <f t="shared" si="24"/>
        <v>1E-4</v>
      </c>
      <c r="I70" s="178">
        <v>23.900000000000002</v>
      </c>
      <c r="J70" s="80">
        <f t="shared" si="25"/>
        <v>1E-4</v>
      </c>
      <c r="K70" s="178">
        <v>24.6</v>
      </c>
      <c r="L70" s="80">
        <f t="shared" si="26"/>
        <v>1E-4</v>
      </c>
      <c r="M70" s="178">
        <v>25.2</v>
      </c>
      <c r="N70" s="80">
        <f t="shared" si="27"/>
        <v>9.9999999999999991E-5</v>
      </c>
      <c r="O70" s="178">
        <v>25.900000000000002</v>
      </c>
      <c r="P70" s="80">
        <f t="shared" si="28"/>
        <v>1E-4</v>
      </c>
      <c r="Q70" s="178">
        <v>26.700000000000003</v>
      </c>
      <c r="R70" s="80">
        <f t="shared" si="29"/>
        <v>1E-4</v>
      </c>
      <c r="S70" s="178">
        <v>27.400000000000002</v>
      </c>
      <c r="T70" s="80">
        <f t="shared" si="30"/>
        <v>1E-4</v>
      </c>
      <c r="U70" s="178">
        <v>28.2</v>
      </c>
      <c r="V70" s="80">
        <f t="shared" si="31"/>
        <v>9.9999999999999991E-5</v>
      </c>
      <c r="X70" s="192"/>
    </row>
    <row r="71" spans="1:24" ht="12.75" customHeight="1">
      <c r="A71" s="2" t="s">
        <v>415</v>
      </c>
      <c r="B71" s="35"/>
      <c r="C71" s="178">
        <v>0</v>
      </c>
      <c r="D71" s="80">
        <f t="shared" si="22"/>
        <v>0</v>
      </c>
      <c r="E71" s="178">
        <v>0</v>
      </c>
      <c r="F71" s="80">
        <f t="shared" si="23"/>
        <v>0</v>
      </c>
      <c r="G71" s="178">
        <v>0</v>
      </c>
      <c r="H71" s="80">
        <f t="shared" si="24"/>
        <v>0</v>
      </c>
      <c r="I71" s="178">
        <v>0</v>
      </c>
      <c r="J71" s="80">
        <f t="shared" si="25"/>
        <v>0</v>
      </c>
      <c r="K71" s="178">
        <v>0</v>
      </c>
      <c r="L71" s="80">
        <f t="shared" si="26"/>
        <v>0</v>
      </c>
      <c r="M71" s="178">
        <v>0</v>
      </c>
      <c r="N71" s="80">
        <f t="shared" si="27"/>
        <v>0</v>
      </c>
      <c r="O71" s="178">
        <v>0</v>
      </c>
      <c r="P71" s="80">
        <f t="shared" si="28"/>
        <v>0</v>
      </c>
      <c r="Q71" s="178">
        <v>0</v>
      </c>
      <c r="R71" s="80">
        <f t="shared" si="29"/>
        <v>0</v>
      </c>
      <c r="S71" s="178">
        <v>0</v>
      </c>
      <c r="T71" s="80">
        <f t="shared" si="30"/>
        <v>0</v>
      </c>
      <c r="U71" s="178">
        <v>0</v>
      </c>
      <c r="V71" s="80">
        <f t="shared" si="31"/>
        <v>0</v>
      </c>
      <c r="X71" s="192"/>
    </row>
    <row r="72" spans="1:24" ht="12.75" customHeight="1">
      <c r="A72" s="2" t="s">
        <v>416</v>
      </c>
      <c r="B72" s="35"/>
      <c r="C72" s="178">
        <v>0</v>
      </c>
      <c r="D72" s="80">
        <f t="shared" si="22"/>
        <v>0</v>
      </c>
      <c r="E72" s="178">
        <v>0</v>
      </c>
      <c r="F72" s="80">
        <f t="shared" si="23"/>
        <v>0</v>
      </c>
      <c r="G72" s="178">
        <v>0</v>
      </c>
      <c r="H72" s="80">
        <f t="shared" si="24"/>
        <v>0</v>
      </c>
      <c r="I72" s="178">
        <v>0</v>
      </c>
      <c r="J72" s="80">
        <f t="shared" si="25"/>
        <v>0</v>
      </c>
      <c r="K72" s="178">
        <v>0</v>
      </c>
      <c r="L72" s="80">
        <f t="shared" si="26"/>
        <v>0</v>
      </c>
      <c r="M72" s="178">
        <v>0</v>
      </c>
      <c r="N72" s="80">
        <f t="shared" si="27"/>
        <v>0</v>
      </c>
      <c r="O72" s="178">
        <v>0</v>
      </c>
      <c r="P72" s="80">
        <f t="shared" si="28"/>
        <v>0</v>
      </c>
      <c r="Q72" s="178">
        <v>0</v>
      </c>
      <c r="R72" s="80">
        <f t="shared" si="29"/>
        <v>0</v>
      </c>
      <c r="S72" s="178">
        <v>0</v>
      </c>
      <c r="T72" s="80">
        <f t="shared" si="30"/>
        <v>0</v>
      </c>
      <c r="U72" s="178">
        <v>0</v>
      </c>
      <c r="V72" s="80">
        <f t="shared" si="31"/>
        <v>0</v>
      </c>
      <c r="X72" s="192"/>
    </row>
    <row r="73" spans="1:24" ht="12.75" customHeight="1">
      <c r="A73" s="2" t="s">
        <v>417</v>
      </c>
      <c r="B73" s="35"/>
      <c r="C73" s="178">
        <v>0</v>
      </c>
      <c r="D73" s="80">
        <f t="shared" si="22"/>
        <v>0</v>
      </c>
      <c r="E73" s="178">
        <v>0</v>
      </c>
      <c r="F73" s="80">
        <f t="shared" si="23"/>
        <v>0</v>
      </c>
      <c r="G73" s="178">
        <v>0</v>
      </c>
      <c r="H73" s="80">
        <f t="shared" si="24"/>
        <v>0</v>
      </c>
      <c r="I73" s="178">
        <v>0</v>
      </c>
      <c r="J73" s="80">
        <f t="shared" si="25"/>
        <v>0</v>
      </c>
      <c r="K73" s="178">
        <v>0</v>
      </c>
      <c r="L73" s="80">
        <f t="shared" si="26"/>
        <v>0</v>
      </c>
      <c r="M73" s="178">
        <v>0</v>
      </c>
      <c r="N73" s="80">
        <f t="shared" si="27"/>
        <v>0</v>
      </c>
      <c r="O73" s="178">
        <v>0</v>
      </c>
      <c r="P73" s="80">
        <f t="shared" si="28"/>
        <v>0</v>
      </c>
      <c r="Q73" s="178">
        <v>0</v>
      </c>
      <c r="R73" s="80">
        <f t="shared" si="29"/>
        <v>0</v>
      </c>
      <c r="S73" s="178">
        <v>0</v>
      </c>
      <c r="T73" s="80">
        <f t="shared" si="30"/>
        <v>0</v>
      </c>
      <c r="U73" s="178">
        <v>0</v>
      </c>
      <c r="V73" s="80">
        <f t="shared" si="31"/>
        <v>0</v>
      </c>
      <c r="X73" s="192"/>
    </row>
    <row r="74" spans="1:24" ht="12.75" customHeight="1">
      <c r="A74" s="2" t="s">
        <v>418</v>
      </c>
      <c r="B74" s="35"/>
      <c r="C74" s="178">
        <v>0</v>
      </c>
      <c r="D74" s="80">
        <f t="shared" si="22"/>
        <v>0</v>
      </c>
      <c r="E74" s="178">
        <v>0</v>
      </c>
      <c r="F74" s="80">
        <f t="shared" si="23"/>
        <v>0</v>
      </c>
      <c r="G74" s="178">
        <v>0</v>
      </c>
      <c r="H74" s="80">
        <f t="shared" si="24"/>
        <v>0</v>
      </c>
      <c r="I74" s="178">
        <v>0</v>
      </c>
      <c r="J74" s="80">
        <f t="shared" si="25"/>
        <v>0</v>
      </c>
      <c r="K74" s="178">
        <v>0</v>
      </c>
      <c r="L74" s="80">
        <f t="shared" si="26"/>
        <v>0</v>
      </c>
      <c r="M74" s="178">
        <v>0</v>
      </c>
      <c r="N74" s="80">
        <f t="shared" si="27"/>
        <v>0</v>
      </c>
      <c r="O74" s="178">
        <v>0</v>
      </c>
      <c r="P74" s="80">
        <f t="shared" si="28"/>
        <v>0</v>
      </c>
      <c r="Q74" s="178">
        <v>0</v>
      </c>
      <c r="R74" s="80">
        <f t="shared" si="29"/>
        <v>0</v>
      </c>
      <c r="S74" s="178">
        <v>0</v>
      </c>
      <c r="T74" s="80">
        <f t="shared" si="30"/>
        <v>0</v>
      </c>
      <c r="U74" s="178">
        <v>0</v>
      </c>
      <c r="V74" s="80">
        <f t="shared" si="31"/>
        <v>0</v>
      </c>
      <c r="X74" s="192"/>
    </row>
    <row r="75" spans="1:24" ht="12.75" customHeight="1">
      <c r="A75" s="2" t="s">
        <v>419</v>
      </c>
      <c r="B75" s="35"/>
      <c r="C75" s="178">
        <v>878.95367999999996</v>
      </c>
      <c r="D75" s="80">
        <f t="shared" si="22"/>
        <v>4.4999999999999997E-3</v>
      </c>
      <c r="E75" s="178">
        <v>1003.5</v>
      </c>
      <c r="F75" s="80">
        <f t="shared" si="23"/>
        <v>4.4999999999999997E-3</v>
      </c>
      <c r="G75" s="178">
        <v>1039.5</v>
      </c>
      <c r="H75" s="80">
        <f t="shared" si="24"/>
        <v>4.4999999999999997E-3</v>
      </c>
      <c r="I75" s="178">
        <v>1075.5</v>
      </c>
      <c r="J75" s="80">
        <f t="shared" si="25"/>
        <v>4.4999999999999997E-3</v>
      </c>
      <c r="K75" s="178">
        <v>1107</v>
      </c>
      <c r="L75" s="80">
        <f t="shared" si="26"/>
        <v>4.4999999999999997E-3</v>
      </c>
      <c r="M75" s="178">
        <v>1134</v>
      </c>
      <c r="N75" s="80">
        <f t="shared" si="27"/>
        <v>4.4999999999999997E-3</v>
      </c>
      <c r="O75" s="178">
        <v>1165.5</v>
      </c>
      <c r="P75" s="80">
        <f t="shared" si="28"/>
        <v>4.4999999999999997E-3</v>
      </c>
      <c r="Q75" s="178">
        <v>1201.5</v>
      </c>
      <c r="R75" s="80">
        <f t="shared" si="29"/>
        <v>4.4999999999999997E-3</v>
      </c>
      <c r="S75" s="178">
        <v>1233</v>
      </c>
      <c r="T75" s="80">
        <f t="shared" si="30"/>
        <v>4.4999999999999997E-3</v>
      </c>
      <c r="U75" s="178">
        <v>1268.9999999999998</v>
      </c>
      <c r="V75" s="80">
        <f t="shared" si="31"/>
        <v>4.4999999999999988E-3</v>
      </c>
      <c r="X75" s="192"/>
    </row>
    <row r="76" spans="1:24" ht="12.75" customHeight="1">
      <c r="A76" s="2" t="s">
        <v>420</v>
      </c>
      <c r="B76" s="35"/>
      <c r="C76" s="178">
        <v>78.129216</v>
      </c>
      <c r="D76" s="80">
        <f t="shared" si="22"/>
        <v>3.9999999999999996E-4</v>
      </c>
      <c r="E76" s="178">
        <v>89.200000000000017</v>
      </c>
      <c r="F76" s="80">
        <f t="shared" si="23"/>
        <v>4.0000000000000007E-4</v>
      </c>
      <c r="G76" s="178">
        <v>92.4</v>
      </c>
      <c r="H76" s="80">
        <f t="shared" si="24"/>
        <v>4.0000000000000002E-4</v>
      </c>
      <c r="I76" s="178">
        <v>95.600000000000009</v>
      </c>
      <c r="J76" s="80">
        <f t="shared" si="25"/>
        <v>4.0000000000000002E-4</v>
      </c>
      <c r="K76" s="178">
        <v>98.4</v>
      </c>
      <c r="L76" s="80">
        <f t="shared" si="26"/>
        <v>4.0000000000000002E-4</v>
      </c>
      <c r="M76" s="178">
        <v>100.8</v>
      </c>
      <c r="N76" s="80">
        <f t="shared" si="27"/>
        <v>3.9999999999999996E-4</v>
      </c>
      <c r="O76" s="178">
        <v>103.60000000000001</v>
      </c>
      <c r="P76" s="80">
        <f t="shared" si="28"/>
        <v>4.0000000000000002E-4</v>
      </c>
      <c r="Q76" s="178">
        <v>106.80000000000001</v>
      </c>
      <c r="R76" s="80">
        <f t="shared" si="29"/>
        <v>4.0000000000000002E-4</v>
      </c>
      <c r="S76" s="178">
        <v>109.60000000000001</v>
      </c>
      <c r="T76" s="80">
        <f t="shared" si="30"/>
        <v>4.0000000000000002E-4</v>
      </c>
      <c r="U76" s="178">
        <v>112.8</v>
      </c>
      <c r="V76" s="80">
        <f t="shared" si="31"/>
        <v>3.9999999999999996E-4</v>
      </c>
      <c r="X76" s="192"/>
    </row>
    <row r="77" spans="1:24" ht="12.75" customHeight="1">
      <c r="A77" s="2" t="s">
        <v>421</v>
      </c>
      <c r="B77" s="35"/>
      <c r="C77" s="178">
        <v>253.91995199999999</v>
      </c>
      <c r="D77" s="80">
        <f t="shared" si="22"/>
        <v>1.2999999999999999E-3</v>
      </c>
      <c r="E77" s="178">
        <v>289.89999999999998</v>
      </c>
      <c r="F77" s="80">
        <f t="shared" si="23"/>
        <v>1.2999999999999999E-3</v>
      </c>
      <c r="G77" s="178">
        <v>300.29999999999995</v>
      </c>
      <c r="H77" s="80">
        <f t="shared" si="24"/>
        <v>1.2999999999999997E-3</v>
      </c>
      <c r="I77" s="178">
        <v>310.7</v>
      </c>
      <c r="J77" s="80">
        <f t="shared" si="25"/>
        <v>1.2999999999999999E-3</v>
      </c>
      <c r="K77" s="178">
        <v>319.79999999999995</v>
      </c>
      <c r="L77" s="80">
        <f t="shared" si="26"/>
        <v>1.2999999999999997E-3</v>
      </c>
      <c r="M77" s="178">
        <v>327.60000000000002</v>
      </c>
      <c r="N77" s="80">
        <f t="shared" si="27"/>
        <v>1.3000000000000002E-3</v>
      </c>
      <c r="O77" s="178">
        <v>336.7</v>
      </c>
      <c r="P77" s="80">
        <f t="shared" si="28"/>
        <v>1.2999999999999999E-3</v>
      </c>
      <c r="Q77" s="178">
        <v>347.09999999999997</v>
      </c>
      <c r="R77" s="80">
        <f t="shared" si="29"/>
        <v>1.2999999999999999E-3</v>
      </c>
      <c r="S77" s="178">
        <v>356.2</v>
      </c>
      <c r="T77" s="80">
        <f t="shared" si="30"/>
        <v>1.2999999999999999E-3</v>
      </c>
      <c r="U77" s="178">
        <v>366.59999999999997</v>
      </c>
      <c r="V77" s="80">
        <f t="shared" si="31"/>
        <v>1.2999999999999999E-3</v>
      </c>
      <c r="X77" s="192"/>
    </row>
    <row r="78" spans="1:24" ht="12.75" customHeight="1">
      <c r="A78" s="2" t="s">
        <v>422</v>
      </c>
      <c r="B78" s="35"/>
      <c r="C78" s="178">
        <v>4297.1068799999994</v>
      </c>
      <c r="D78" s="80">
        <f t="shared" si="22"/>
        <v>2.1999999999999995E-2</v>
      </c>
      <c r="E78" s="178">
        <v>4906</v>
      </c>
      <c r="F78" s="80">
        <f t="shared" si="23"/>
        <v>2.1999999999999999E-2</v>
      </c>
      <c r="G78" s="178">
        <v>5082</v>
      </c>
      <c r="H78" s="80">
        <f t="shared" si="24"/>
        <v>2.1999999999999999E-2</v>
      </c>
      <c r="I78" s="178">
        <v>5257.9999999999991</v>
      </c>
      <c r="J78" s="80">
        <f t="shared" si="25"/>
        <v>2.1999999999999995E-2</v>
      </c>
      <c r="K78" s="178">
        <v>5412</v>
      </c>
      <c r="L78" s="80">
        <f t="shared" si="26"/>
        <v>2.1999999999999999E-2</v>
      </c>
      <c r="M78" s="178">
        <v>5544</v>
      </c>
      <c r="N78" s="80">
        <f t="shared" si="27"/>
        <v>2.1999999999999999E-2</v>
      </c>
      <c r="O78" s="178">
        <v>5698</v>
      </c>
      <c r="P78" s="80">
        <f t="shared" si="28"/>
        <v>2.1999999999999999E-2</v>
      </c>
      <c r="Q78" s="178">
        <v>5873.9999999999991</v>
      </c>
      <c r="R78" s="80">
        <f t="shared" si="29"/>
        <v>2.1999999999999995E-2</v>
      </c>
      <c r="S78" s="178">
        <v>6028</v>
      </c>
      <c r="T78" s="80">
        <f t="shared" si="30"/>
        <v>2.1999999999999999E-2</v>
      </c>
      <c r="U78" s="178">
        <v>6203.9999999999991</v>
      </c>
      <c r="V78" s="80">
        <f t="shared" si="31"/>
        <v>2.1999999999999995E-2</v>
      </c>
      <c r="X78" s="192"/>
    </row>
    <row r="79" spans="1:24" ht="12.75" customHeight="1">
      <c r="A79" s="2" t="s">
        <v>423</v>
      </c>
      <c r="B79" s="35"/>
      <c r="C79" s="178">
        <v>0</v>
      </c>
      <c r="D79" s="80">
        <f t="shared" si="22"/>
        <v>0</v>
      </c>
      <c r="E79" s="178">
        <v>0</v>
      </c>
      <c r="F79" s="80">
        <f t="shared" si="23"/>
        <v>0</v>
      </c>
      <c r="G79" s="178">
        <v>0</v>
      </c>
      <c r="H79" s="80">
        <f t="shared" si="24"/>
        <v>0</v>
      </c>
      <c r="I79" s="178">
        <v>0</v>
      </c>
      <c r="J79" s="80">
        <f t="shared" si="25"/>
        <v>0</v>
      </c>
      <c r="K79" s="178">
        <v>0</v>
      </c>
      <c r="L79" s="80">
        <f t="shared" si="26"/>
        <v>0</v>
      </c>
      <c r="M79" s="178">
        <v>0</v>
      </c>
      <c r="N79" s="80">
        <f t="shared" si="27"/>
        <v>0</v>
      </c>
      <c r="O79" s="178">
        <v>0</v>
      </c>
      <c r="P79" s="80">
        <f t="shared" si="28"/>
        <v>0</v>
      </c>
      <c r="Q79" s="178">
        <v>0</v>
      </c>
      <c r="R79" s="80">
        <f t="shared" si="29"/>
        <v>0</v>
      </c>
      <c r="S79" s="178">
        <v>0</v>
      </c>
      <c r="T79" s="80">
        <f t="shared" si="30"/>
        <v>0</v>
      </c>
      <c r="U79" s="178">
        <v>0</v>
      </c>
      <c r="V79" s="80">
        <f t="shared" si="31"/>
        <v>0</v>
      </c>
      <c r="X79" s="192"/>
    </row>
    <row r="80" spans="1:24" ht="12.75" customHeight="1">
      <c r="A80" s="2" t="s">
        <v>424</v>
      </c>
      <c r="B80" s="35"/>
      <c r="C80" s="178">
        <v>0</v>
      </c>
      <c r="D80" s="80">
        <f t="shared" si="22"/>
        <v>0</v>
      </c>
      <c r="E80" s="178">
        <v>0</v>
      </c>
      <c r="F80" s="80">
        <f t="shared" si="23"/>
        <v>0</v>
      </c>
      <c r="G80" s="178">
        <v>0</v>
      </c>
      <c r="H80" s="80">
        <f t="shared" si="24"/>
        <v>0</v>
      </c>
      <c r="I80" s="178">
        <v>0</v>
      </c>
      <c r="J80" s="80">
        <f t="shared" si="25"/>
        <v>0</v>
      </c>
      <c r="K80" s="178">
        <v>0</v>
      </c>
      <c r="L80" s="80">
        <f t="shared" si="26"/>
        <v>0</v>
      </c>
      <c r="M80" s="178">
        <v>0</v>
      </c>
      <c r="N80" s="80">
        <f t="shared" si="27"/>
        <v>0</v>
      </c>
      <c r="O80" s="178">
        <v>0</v>
      </c>
      <c r="P80" s="80">
        <f t="shared" si="28"/>
        <v>0</v>
      </c>
      <c r="Q80" s="178">
        <v>0</v>
      </c>
      <c r="R80" s="80">
        <f t="shared" si="29"/>
        <v>0</v>
      </c>
      <c r="S80" s="178">
        <v>0</v>
      </c>
      <c r="T80" s="80">
        <f t="shared" si="30"/>
        <v>0</v>
      </c>
      <c r="U80" s="178">
        <v>0</v>
      </c>
      <c r="V80" s="80">
        <f t="shared" si="31"/>
        <v>0</v>
      </c>
      <c r="X80" s="192"/>
    </row>
    <row r="81" spans="1:24" ht="12.75" customHeight="1">
      <c r="A81" s="2" t="s">
        <v>425</v>
      </c>
      <c r="B81" s="35"/>
      <c r="C81" s="178">
        <v>0</v>
      </c>
      <c r="D81" s="80">
        <f t="shared" si="22"/>
        <v>0</v>
      </c>
      <c r="E81" s="178">
        <v>0</v>
      </c>
      <c r="F81" s="80">
        <f t="shared" si="23"/>
        <v>0</v>
      </c>
      <c r="G81" s="178">
        <v>0</v>
      </c>
      <c r="H81" s="80">
        <f t="shared" si="24"/>
        <v>0</v>
      </c>
      <c r="I81" s="178">
        <v>0</v>
      </c>
      <c r="J81" s="80">
        <f t="shared" si="25"/>
        <v>0</v>
      </c>
      <c r="K81" s="178">
        <v>0</v>
      </c>
      <c r="L81" s="80">
        <f t="shared" si="26"/>
        <v>0</v>
      </c>
      <c r="M81" s="178">
        <v>0</v>
      </c>
      <c r="N81" s="80">
        <f t="shared" si="27"/>
        <v>0</v>
      </c>
      <c r="O81" s="178">
        <v>0</v>
      </c>
      <c r="P81" s="80">
        <f t="shared" si="28"/>
        <v>0</v>
      </c>
      <c r="Q81" s="178">
        <v>0</v>
      </c>
      <c r="R81" s="80">
        <f t="shared" si="29"/>
        <v>0</v>
      </c>
      <c r="S81" s="178">
        <v>0</v>
      </c>
      <c r="T81" s="80">
        <f t="shared" si="30"/>
        <v>0</v>
      </c>
      <c r="U81" s="178">
        <v>0</v>
      </c>
      <c r="V81" s="80">
        <f t="shared" si="31"/>
        <v>0</v>
      </c>
      <c r="X81" s="192"/>
    </row>
    <row r="82" spans="1:24" ht="12.75" customHeight="1">
      <c r="A82" s="2" t="s">
        <v>426</v>
      </c>
      <c r="B82" s="35"/>
      <c r="C82" s="178">
        <v>0</v>
      </c>
      <c r="D82" s="80">
        <f t="shared" si="22"/>
        <v>0</v>
      </c>
      <c r="E82" s="178">
        <v>0</v>
      </c>
      <c r="F82" s="80">
        <f t="shared" si="23"/>
        <v>0</v>
      </c>
      <c r="G82" s="178">
        <v>0</v>
      </c>
      <c r="H82" s="80">
        <f t="shared" si="24"/>
        <v>0</v>
      </c>
      <c r="I82" s="178">
        <v>0</v>
      </c>
      <c r="J82" s="80">
        <f t="shared" si="25"/>
        <v>0</v>
      </c>
      <c r="K82" s="178">
        <v>0</v>
      </c>
      <c r="L82" s="80">
        <f t="shared" si="26"/>
        <v>0</v>
      </c>
      <c r="M82" s="178">
        <v>0</v>
      </c>
      <c r="N82" s="80">
        <f t="shared" si="27"/>
        <v>0</v>
      </c>
      <c r="O82" s="178">
        <v>0</v>
      </c>
      <c r="P82" s="80">
        <f t="shared" si="28"/>
        <v>0</v>
      </c>
      <c r="Q82" s="178">
        <v>0</v>
      </c>
      <c r="R82" s="80">
        <f t="shared" si="29"/>
        <v>0</v>
      </c>
      <c r="S82" s="178">
        <v>0</v>
      </c>
      <c r="T82" s="80">
        <f t="shared" si="30"/>
        <v>0</v>
      </c>
      <c r="U82" s="178">
        <v>0</v>
      </c>
      <c r="V82" s="80">
        <f t="shared" si="31"/>
        <v>0</v>
      </c>
      <c r="X82" s="192"/>
    </row>
    <row r="83" spans="1:24" ht="12.75" customHeight="1">
      <c r="A83" s="2" t="s">
        <v>427</v>
      </c>
      <c r="B83" s="35"/>
      <c r="C83" s="178">
        <v>0</v>
      </c>
      <c r="D83" s="80">
        <f t="shared" si="22"/>
        <v>0</v>
      </c>
      <c r="E83" s="178">
        <v>0</v>
      </c>
      <c r="F83" s="80">
        <f t="shared" si="23"/>
        <v>0</v>
      </c>
      <c r="G83" s="178">
        <v>0</v>
      </c>
      <c r="H83" s="80">
        <f t="shared" si="24"/>
        <v>0</v>
      </c>
      <c r="I83" s="178">
        <v>0</v>
      </c>
      <c r="J83" s="80">
        <f t="shared" si="25"/>
        <v>0</v>
      </c>
      <c r="K83" s="178">
        <v>0</v>
      </c>
      <c r="L83" s="80">
        <f t="shared" si="26"/>
        <v>0</v>
      </c>
      <c r="M83" s="178">
        <v>0</v>
      </c>
      <c r="N83" s="80">
        <f t="shared" si="27"/>
        <v>0</v>
      </c>
      <c r="O83" s="178">
        <v>0</v>
      </c>
      <c r="P83" s="80">
        <f t="shared" si="28"/>
        <v>0</v>
      </c>
      <c r="Q83" s="178">
        <v>0</v>
      </c>
      <c r="R83" s="80">
        <f t="shared" si="29"/>
        <v>0</v>
      </c>
      <c r="S83" s="178">
        <v>0</v>
      </c>
      <c r="T83" s="80">
        <f t="shared" si="30"/>
        <v>0</v>
      </c>
      <c r="U83" s="178">
        <v>0</v>
      </c>
      <c r="V83" s="80">
        <f t="shared" si="31"/>
        <v>0</v>
      </c>
      <c r="X83" s="192"/>
    </row>
    <row r="84" spans="1:24" ht="12.75" customHeight="1">
      <c r="A84" s="2" t="s">
        <v>428</v>
      </c>
      <c r="B84" s="35"/>
      <c r="C84" s="178">
        <v>0</v>
      </c>
      <c r="D84" s="80">
        <f t="shared" ref="D84:D105" si="32">IFERROR(C84/C$28,0)</f>
        <v>0</v>
      </c>
      <c r="E84" s="178">
        <v>0</v>
      </c>
      <c r="F84" s="80">
        <f t="shared" si="23"/>
        <v>0</v>
      </c>
      <c r="G84" s="178">
        <v>0</v>
      </c>
      <c r="H84" s="80">
        <f t="shared" si="24"/>
        <v>0</v>
      </c>
      <c r="I84" s="178">
        <v>0</v>
      </c>
      <c r="J84" s="80">
        <f t="shared" si="25"/>
        <v>0</v>
      </c>
      <c r="K84" s="178">
        <v>0</v>
      </c>
      <c r="L84" s="80">
        <f t="shared" si="26"/>
        <v>0</v>
      </c>
      <c r="M84" s="178">
        <v>0</v>
      </c>
      <c r="N84" s="80">
        <f t="shared" si="27"/>
        <v>0</v>
      </c>
      <c r="O84" s="178">
        <v>0</v>
      </c>
      <c r="P84" s="80">
        <f t="shared" si="28"/>
        <v>0</v>
      </c>
      <c r="Q84" s="178">
        <v>0</v>
      </c>
      <c r="R84" s="80">
        <f t="shared" si="29"/>
        <v>0</v>
      </c>
      <c r="S84" s="178">
        <v>0</v>
      </c>
      <c r="T84" s="80">
        <f t="shared" si="30"/>
        <v>0</v>
      </c>
      <c r="U84" s="178">
        <v>0</v>
      </c>
      <c r="V84" s="80">
        <f t="shared" si="31"/>
        <v>0</v>
      </c>
      <c r="X84" s="192"/>
    </row>
    <row r="85" spans="1:24" ht="12.75" customHeight="1">
      <c r="A85" s="2" t="s">
        <v>429</v>
      </c>
      <c r="B85" s="35"/>
      <c r="C85" s="178">
        <v>0</v>
      </c>
      <c r="D85" s="80">
        <f t="shared" si="32"/>
        <v>0</v>
      </c>
      <c r="E85" s="178">
        <v>0</v>
      </c>
      <c r="F85" s="80">
        <f t="shared" si="23"/>
        <v>0</v>
      </c>
      <c r="G85" s="178">
        <v>0</v>
      </c>
      <c r="H85" s="80">
        <f t="shared" si="24"/>
        <v>0</v>
      </c>
      <c r="I85" s="178">
        <v>0</v>
      </c>
      <c r="J85" s="80">
        <f t="shared" si="25"/>
        <v>0</v>
      </c>
      <c r="K85" s="178">
        <v>0</v>
      </c>
      <c r="L85" s="80">
        <f t="shared" si="26"/>
        <v>0</v>
      </c>
      <c r="M85" s="178">
        <v>0</v>
      </c>
      <c r="N85" s="80">
        <f t="shared" si="27"/>
        <v>0</v>
      </c>
      <c r="O85" s="178">
        <v>0</v>
      </c>
      <c r="P85" s="80">
        <f t="shared" si="28"/>
        <v>0</v>
      </c>
      <c r="Q85" s="178">
        <v>0</v>
      </c>
      <c r="R85" s="80">
        <f t="shared" si="29"/>
        <v>0</v>
      </c>
      <c r="S85" s="178">
        <v>0</v>
      </c>
      <c r="T85" s="80">
        <f t="shared" si="30"/>
        <v>0</v>
      </c>
      <c r="U85" s="178">
        <v>0</v>
      </c>
      <c r="V85" s="80">
        <f t="shared" si="31"/>
        <v>0</v>
      </c>
      <c r="X85" s="192"/>
    </row>
    <row r="86" spans="1:24" ht="12.75" customHeight="1">
      <c r="A86" s="2" t="s">
        <v>430</v>
      </c>
      <c r="B86" s="35"/>
      <c r="C86" s="178">
        <v>781.29216000000008</v>
      </c>
      <c r="D86" s="80">
        <f t="shared" si="32"/>
        <v>4.0000000000000001E-3</v>
      </c>
      <c r="E86" s="178">
        <v>892</v>
      </c>
      <c r="F86" s="80">
        <f t="shared" si="23"/>
        <v>4.0000000000000001E-3</v>
      </c>
      <c r="G86" s="178">
        <v>924</v>
      </c>
      <c r="H86" s="80">
        <f t="shared" si="24"/>
        <v>4.0000000000000001E-3</v>
      </c>
      <c r="I86" s="178">
        <v>956</v>
      </c>
      <c r="J86" s="80">
        <f t="shared" si="25"/>
        <v>4.0000000000000001E-3</v>
      </c>
      <c r="K86" s="178">
        <v>984</v>
      </c>
      <c r="L86" s="80">
        <f t="shared" si="26"/>
        <v>4.0000000000000001E-3</v>
      </c>
      <c r="M86" s="178">
        <v>1008</v>
      </c>
      <c r="N86" s="80">
        <f t="shared" si="27"/>
        <v>4.0000000000000001E-3</v>
      </c>
      <c r="O86" s="178">
        <v>1036</v>
      </c>
      <c r="P86" s="80">
        <f t="shared" si="28"/>
        <v>4.0000000000000001E-3</v>
      </c>
      <c r="Q86" s="178">
        <v>1068</v>
      </c>
      <c r="R86" s="80">
        <f t="shared" si="29"/>
        <v>4.0000000000000001E-3</v>
      </c>
      <c r="S86" s="178">
        <v>1096</v>
      </c>
      <c r="T86" s="80">
        <f t="shared" si="30"/>
        <v>4.0000000000000001E-3</v>
      </c>
      <c r="U86" s="178">
        <v>1127.9999999999998</v>
      </c>
      <c r="V86" s="80">
        <f t="shared" si="31"/>
        <v>3.9999999999999992E-3</v>
      </c>
      <c r="X86" s="192"/>
    </row>
    <row r="87" spans="1:24" ht="12.75" customHeight="1">
      <c r="A87" s="2" t="s">
        <v>431</v>
      </c>
      <c r="B87" s="35"/>
      <c r="C87" s="178">
        <v>0</v>
      </c>
      <c r="D87" s="80">
        <f t="shared" si="32"/>
        <v>0</v>
      </c>
      <c r="E87" s="178">
        <v>0</v>
      </c>
      <c r="F87" s="80">
        <f t="shared" si="23"/>
        <v>0</v>
      </c>
      <c r="G87" s="178">
        <v>0</v>
      </c>
      <c r="H87" s="80">
        <f t="shared" si="24"/>
        <v>0</v>
      </c>
      <c r="I87" s="178">
        <v>0</v>
      </c>
      <c r="J87" s="80">
        <f t="shared" si="25"/>
        <v>0</v>
      </c>
      <c r="K87" s="178">
        <v>0</v>
      </c>
      <c r="L87" s="80">
        <f t="shared" si="26"/>
        <v>0</v>
      </c>
      <c r="M87" s="178">
        <v>0</v>
      </c>
      <c r="N87" s="80">
        <f t="shared" si="27"/>
        <v>0</v>
      </c>
      <c r="O87" s="178">
        <v>0</v>
      </c>
      <c r="P87" s="80">
        <f t="shared" si="28"/>
        <v>0</v>
      </c>
      <c r="Q87" s="178">
        <v>0</v>
      </c>
      <c r="R87" s="80">
        <f t="shared" si="29"/>
        <v>0</v>
      </c>
      <c r="S87" s="178">
        <v>0</v>
      </c>
      <c r="T87" s="80">
        <f t="shared" si="30"/>
        <v>0</v>
      </c>
      <c r="U87" s="178">
        <v>0</v>
      </c>
      <c r="V87" s="80">
        <f t="shared" si="31"/>
        <v>0</v>
      </c>
      <c r="X87" s="192"/>
    </row>
    <row r="88" spans="1:24" ht="12.75" customHeight="1">
      <c r="A88" s="2" t="s">
        <v>432</v>
      </c>
      <c r="B88" s="35"/>
      <c r="C88" s="178">
        <v>996.14750400000003</v>
      </c>
      <c r="D88" s="80">
        <f t="shared" si="32"/>
        <v>5.0999999999999995E-3</v>
      </c>
      <c r="E88" s="178">
        <v>1137.3</v>
      </c>
      <c r="F88" s="80">
        <f t="shared" si="23"/>
        <v>5.0999999999999995E-3</v>
      </c>
      <c r="G88" s="178">
        <v>1178.1000000000001</v>
      </c>
      <c r="H88" s="80">
        <f t="shared" si="24"/>
        <v>5.1000000000000004E-3</v>
      </c>
      <c r="I88" s="178">
        <v>1218.9000000000001</v>
      </c>
      <c r="J88" s="80">
        <f t="shared" si="25"/>
        <v>5.1000000000000004E-3</v>
      </c>
      <c r="K88" s="178">
        <v>1254.6000000000001</v>
      </c>
      <c r="L88" s="80">
        <f t="shared" si="26"/>
        <v>5.1000000000000004E-3</v>
      </c>
      <c r="M88" s="178">
        <v>1285.2</v>
      </c>
      <c r="N88" s="80">
        <f t="shared" si="27"/>
        <v>5.1000000000000004E-3</v>
      </c>
      <c r="O88" s="178">
        <v>1320.9</v>
      </c>
      <c r="P88" s="80">
        <f t="shared" si="28"/>
        <v>5.1000000000000004E-3</v>
      </c>
      <c r="Q88" s="178">
        <v>1361.7</v>
      </c>
      <c r="R88" s="80">
        <f t="shared" si="29"/>
        <v>5.1000000000000004E-3</v>
      </c>
      <c r="S88" s="178">
        <v>1397.4</v>
      </c>
      <c r="T88" s="80">
        <f t="shared" si="30"/>
        <v>5.1000000000000004E-3</v>
      </c>
      <c r="U88" s="178">
        <v>1438.2</v>
      </c>
      <c r="V88" s="80">
        <f t="shared" si="31"/>
        <v>5.1000000000000004E-3</v>
      </c>
      <c r="X88" s="192"/>
    </row>
    <row r="89" spans="1:24" ht="12.75" customHeight="1">
      <c r="A89" s="2" t="s">
        <v>433</v>
      </c>
      <c r="B89" s="35"/>
      <c r="C89" s="178">
        <v>0</v>
      </c>
      <c r="D89" s="80">
        <f t="shared" si="32"/>
        <v>0</v>
      </c>
      <c r="E89" s="178">
        <v>0</v>
      </c>
      <c r="F89" s="80">
        <f t="shared" si="23"/>
        <v>0</v>
      </c>
      <c r="G89" s="178">
        <v>0</v>
      </c>
      <c r="H89" s="80">
        <f t="shared" si="24"/>
        <v>0</v>
      </c>
      <c r="I89" s="178">
        <v>0</v>
      </c>
      <c r="J89" s="80">
        <f t="shared" si="25"/>
        <v>0</v>
      </c>
      <c r="K89" s="178">
        <v>0</v>
      </c>
      <c r="L89" s="80">
        <f t="shared" si="26"/>
        <v>0</v>
      </c>
      <c r="M89" s="178">
        <v>0</v>
      </c>
      <c r="N89" s="80">
        <f t="shared" si="27"/>
        <v>0</v>
      </c>
      <c r="O89" s="178">
        <v>0</v>
      </c>
      <c r="P89" s="80">
        <f t="shared" si="28"/>
        <v>0</v>
      </c>
      <c r="Q89" s="178">
        <v>0</v>
      </c>
      <c r="R89" s="80">
        <f t="shared" si="29"/>
        <v>0</v>
      </c>
      <c r="S89" s="178">
        <v>0</v>
      </c>
      <c r="T89" s="80">
        <f t="shared" si="30"/>
        <v>0</v>
      </c>
      <c r="U89" s="178">
        <v>0</v>
      </c>
      <c r="V89" s="80">
        <f t="shared" si="31"/>
        <v>0</v>
      </c>
      <c r="X89" s="192"/>
    </row>
    <row r="90" spans="1:24" ht="12.75" customHeight="1">
      <c r="A90" s="2" t="s">
        <v>434</v>
      </c>
      <c r="B90" s="35"/>
      <c r="C90" s="178">
        <v>39.064608</v>
      </c>
      <c r="D90" s="80">
        <f t="shared" si="32"/>
        <v>1.9999999999999998E-4</v>
      </c>
      <c r="E90" s="178">
        <v>44.600000000000009</v>
      </c>
      <c r="F90" s="80">
        <f t="shared" si="23"/>
        <v>2.0000000000000004E-4</v>
      </c>
      <c r="G90" s="178">
        <v>46.2</v>
      </c>
      <c r="H90" s="80">
        <f t="shared" si="24"/>
        <v>2.0000000000000001E-4</v>
      </c>
      <c r="I90" s="178">
        <v>47.800000000000004</v>
      </c>
      <c r="J90" s="80">
        <f t="shared" si="25"/>
        <v>2.0000000000000001E-4</v>
      </c>
      <c r="K90" s="178">
        <v>49.2</v>
      </c>
      <c r="L90" s="80">
        <f t="shared" si="26"/>
        <v>2.0000000000000001E-4</v>
      </c>
      <c r="M90" s="178">
        <v>50.4</v>
      </c>
      <c r="N90" s="80">
        <f t="shared" si="27"/>
        <v>1.9999999999999998E-4</v>
      </c>
      <c r="O90" s="178">
        <v>51.800000000000004</v>
      </c>
      <c r="P90" s="80">
        <f t="shared" si="28"/>
        <v>2.0000000000000001E-4</v>
      </c>
      <c r="Q90" s="178">
        <v>53.400000000000006</v>
      </c>
      <c r="R90" s="80">
        <f t="shared" si="29"/>
        <v>2.0000000000000001E-4</v>
      </c>
      <c r="S90" s="178">
        <v>54.800000000000004</v>
      </c>
      <c r="T90" s="80">
        <f t="shared" si="30"/>
        <v>2.0000000000000001E-4</v>
      </c>
      <c r="U90" s="178">
        <v>56.4</v>
      </c>
      <c r="V90" s="80">
        <f t="shared" si="31"/>
        <v>1.9999999999999998E-4</v>
      </c>
      <c r="X90" s="192"/>
    </row>
    <row r="91" spans="1:24" ht="12.75" customHeight="1">
      <c r="A91" s="2" t="s">
        <v>435</v>
      </c>
      <c r="C91" s="178">
        <v>0</v>
      </c>
      <c r="D91" s="80">
        <f t="shared" si="32"/>
        <v>0</v>
      </c>
      <c r="E91" s="178">
        <v>0</v>
      </c>
      <c r="F91" s="80">
        <f t="shared" si="23"/>
        <v>0</v>
      </c>
      <c r="G91" s="178">
        <v>0</v>
      </c>
      <c r="H91" s="80">
        <f t="shared" si="24"/>
        <v>0</v>
      </c>
      <c r="I91" s="178">
        <v>0</v>
      </c>
      <c r="J91" s="80">
        <f t="shared" si="25"/>
        <v>0</v>
      </c>
      <c r="K91" s="178">
        <v>0</v>
      </c>
      <c r="L91" s="80">
        <f t="shared" si="26"/>
        <v>0</v>
      </c>
      <c r="M91" s="178">
        <v>0</v>
      </c>
      <c r="N91" s="80">
        <f t="shared" si="27"/>
        <v>0</v>
      </c>
      <c r="O91" s="178">
        <v>0</v>
      </c>
      <c r="P91" s="80">
        <f t="shared" si="28"/>
        <v>0</v>
      </c>
      <c r="Q91" s="178">
        <v>0</v>
      </c>
      <c r="R91" s="80">
        <f t="shared" si="29"/>
        <v>0</v>
      </c>
      <c r="S91" s="178">
        <v>0</v>
      </c>
      <c r="T91" s="80">
        <f t="shared" si="30"/>
        <v>0</v>
      </c>
      <c r="U91" s="178">
        <v>0</v>
      </c>
      <c r="V91" s="80">
        <f t="shared" si="31"/>
        <v>0</v>
      </c>
      <c r="X91" s="192"/>
    </row>
    <row r="92" spans="1:24" ht="12.75" customHeight="1">
      <c r="A92" s="2" t="s">
        <v>436</v>
      </c>
      <c r="B92" s="35"/>
      <c r="C92" s="178">
        <v>1015.679808</v>
      </c>
      <c r="D92" s="80">
        <f t="shared" si="32"/>
        <v>5.1999999999999998E-3</v>
      </c>
      <c r="E92" s="178">
        <v>1159.5999999999999</v>
      </c>
      <c r="F92" s="80">
        <f t="shared" si="23"/>
        <v>5.1999999999999998E-3</v>
      </c>
      <c r="G92" s="178">
        <v>1201.1999999999998</v>
      </c>
      <c r="H92" s="80">
        <f t="shared" si="24"/>
        <v>5.1999999999999989E-3</v>
      </c>
      <c r="I92" s="178">
        <v>1242.8</v>
      </c>
      <c r="J92" s="80">
        <f t="shared" si="25"/>
        <v>5.1999999999999998E-3</v>
      </c>
      <c r="K92" s="178">
        <v>1279.1999999999998</v>
      </c>
      <c r="L92" s="80">
        <f t="shared" si="26"/>
        <v>5.1999999999999989E-3</v>
      </c>
      <c r="M92" s="178">
        <v>1310.4000000000001</v>
      </c>
      <c r="N92" s="80">
        <f t="shared" si="27"/>
        <v>5.2000000000000006E-3</v>
      </c>
      <c r="O92" s="178">
        <v>1346.8</v>
      </c>
      <c r="P92" s="80">
        <f t="shared" si="28"/>
        <v>5.1999999999999998E-3</v>
      </c>
      <c r="Q92" s="178">
        <v>1388.3999999999999</v>
      </c>
      <c r="R92" s="80">
        <f t="shared" si="29"/>
        <v>5.1999999999999998E-3</v>
      </c>
      <c r="S92" s="178">
        <v>1424.8</v>
      </c>
      <c r="T92" s="80">
        <f t="shared" si="30"/>
        <v>5.1999999999999998E-3</v>
      </c>
      <c r="U92" s="178">
        <v>1466.3999999999999</v>
      </c>
      <c r="V92" s="80">
        <f t="shared" si="31"/>
        <v>5.1999999999999998E-3</v>
      </c>
      <c r="X92" s="192"/>
    </row>
    <row r="93" spans="1:24" ht="12.75" customHeight="1">
      <c r="A93" s="2" t="s">
        <v>437</v>
      </c>
      <c r="B93" s="35"/>
      <c r="C93" s="178">
        <v>0</v>
      </c>
      <c r="D93" s="80">
        <f t="shared" si="32"/>
        <v>0</v>
      </c>
      <c r="E93" s="178">
        <v>0</v>
      </c>
      <c r="F93" s="80">
        <f t="shared" si="23"/>
        <v>0</v>
      </c>
      <c r="G93" s="178">
        <v>0</v>
      </c>
      <c r="H93" s="80">
        <f t="shared" si="24"/>
        <v>0</v>
      </c>
      <c r="I93" s="178">
        <v>0</v>
      </c>
      <c r="J93" s="80">
        <f t="shared" si="25"/>
        <v>0</v>
      </c>
      <c r="K93" s="178">
        <v>0</v>
      </c>
      <c r="L93" s="80">
        <f t="shared" si="26"/>
        <v>0</v>
      </c>
      <c r="M93" s="178">
        <v>0</v>
      </c>
      <c r="N93" s="80">
        <f t="shared" si="27"/>
        <v>0</v>
      </c>
      <c r="O93" s="178">
        <v>0</v>
      </c>
      <c r="P93" s="80">
        <f t="shared" si="28"/>
        <v>0</v>
      </c>
      <c r="Q93" s="178">
        <v>0</v>
      </c>
      <c r="R93" s="80">
        <f t="shared" si="29"/>
        <v>0</v>
      </c>
      <c r="S93" s="178">
        <v>0</v>
      </c>
      <c r="T93" s="80">
        <f t="shared" si="30"/>
        <v>0</v>
      </c>
      <c r="U93" s="178">
        <v>0</v>
      </c>
      <c r="V93" s="80">
        <f t="shared" si="31"/>
        <v>0</v>
      </c>
      <c r="X93" s="192"/>
    </row>
    <row r="94" spans="1:24" ht="12.75" customHeight="1">
      <c r="A94" s="2" t="s">
        <v>438</v>
      </c>
      <c r="B94" s="35"/>
      <c r="C94" s="178">
        <v>0</v>
      </c>
      <c r="D94" s="80">
        <f t="shared" si="32"/>
        <v>0</v>
      </c>
      <c r="E94" s="178">
        <v>0</v>
      </c>
      <c r="F94" s="80">
        <f t="shared" si="23"/>
        <v>0</v>
      </c>
      <c r="G94" s="178">
        <v>0</v>
      </c>
      <c r="H94" s="80">
        <f t="shared" si="24"/>
        <v>0</v>
      </c>
      <c r="I94" s="178">
        <v>0</v>
      </c>
      <c r="J94" s="80">
        <f t="shared" si="25"/>
        <v>0</v>
      </c>
      <c r="K94" s="178">
        <v>0</v>
      </c>
      <c r="L94" s="80">
        <f t="shared" si="26"/>
        <v>0</v>
      </c>
      <c r="M94" s="178">
        <v>0</v>
      </c>
      <c r="N94" s="80">
        <f t="shared" si="27"/>
        <v>0</v>
      </c>
      <c r="O94" s="178">
        <v>0</v>
      </c>
      <c r="P94" s="80">
        <f t="shared" si="28"/>
        <v>0</v>
      </c>
      <c r="Q94" s="178">
        <v>0</v>
      </c>
      <c r="R94" s="80">
        <f t="shared" si="29"/>
        <v>0</v>
      </c>
      <c r="S94" s="178">
        <v>0</v>
      </c>
      <c r="T94" s="80">
        <f t="shared" si="30"/>
        <v>0</v>
      </c>
      <c r="U94" s="178">
        <v>0</v>
      </c>
      <c r="V94" s="80">
        <f t="shared" si="31"/>
        <v>0</v>
      </c>
      <c r="X94" s="192"/>
    </row>
    <row r="95" spans="1:24" ht="12.75" customHeight="1">
      <c r="A95" s="2" t="s">
        <v>439</v>
      </c>
      <c r="B95" s="35"/>
      <c r="C95" s="178">
        <v>0</v>
      </c>
      <c r="D95" s="80">
        <f t="shared" si="32"/>
        <v>0</v>
      </c>
      <c r="E95" s="178">
        <v>0</v>
      </c>
      <c r="F95" s="80">
        <f t="shared" si="23"/>
        <v>0</v>
      </c>
      <c r="G95" s="178">
        <v>0</v>
      </c>
      <c r="H95" s="80">
        <f t="shared" si="24"/>
        <v>0</v>
      </c>
      <c r="I95" s="178">
        <v>0</v>
      </c>
      <c r="J95" s="80">
        <f t="shared" si="25"/>
        <v>0</v>
      </c>
      <c r="K95" s="178">
        <v>0</v>
      </c>
      <c r="L95" s="80">
        <f t="shared" si="26"/>
        <v>0</v>
      </c>
      <c r="M95" s="178">
        <v>0</v>
      </c>
      <c r="N95" s="80">
        <f t="shared" si="27"/>
        <v>0</v>
      </c>
      <c r="O95" s="178">
        <v>0</v>
      </c>
      <c r="P95" s="80">
        <f t="shared" si="28"/>
        <v>0</v>
      </c>
      <c r="Q95" s="178">
        <v>0</v>
      </c>
      <c r="R95" s="80">
        <f t="shared" si="29"/>
        <v>0</v>
      </c>
      <c r="S95" s="178">
        <v>0</v>
      </c>
      <c r="T95" s="80">
        <f t="shared" si="30"/>
        <v>0</v>
      </c>
      <c r="U95" s="178">
        <v>0</v>
      </c>
      <c r="V95" s="80">
        <f t="shared" si="31"/>
        <v>0</v>
      </c>
      <c r="X95" s="192"/>
    </row>
    <row r="96" spans="1:24" ht="12.75" customHeight="1">
      <c r="A96" s="2" t="s">
        <v>440</v>
      </c>
      <c r="B96" s="35"/>
      <c r="C96" s="178">
        <v>0</v>
      </c>
      <c r="D96" s="80">
        <f t="shared" si="32"/>
        <v>0</v>
      </c>
      <c r="E96" s="178">
        <v>0</v>
      </c>
      <c r="F96" s="80">
        <f t="shared" si="23"/>
        <v>0</v>
      </c>
      <c r="G96" s="178">
        <v>0</v>
      </c>
      <c r="H96" s="80">
        <f t="shared" si="24"/>
        <v>0</v>
      </c>
      <c r="I96" s="178">
        <v>0</v>
      </c>
      <c r="J96" s="80">
        <f t="shared" si="25"/>
        <v>0</v>
      </c>
      <c r="K96" s="178">
        <v>0</v>
      </c>
      <c r="L96" s="80">
        <f t="shared" si="26"/>
        <v>0</v>
      </c>
      <c r="M96" s="178">
        <v>0</v>
      </c>
      <c r="N96" s="80">
        <f t="shared" si="27"/>
        <v>0</v>
      </c>
      <c r="O96" s="178">
        <v>0</v>
      </c>
      <c r="P96" s="80">
        <f t="shared" si="28"/>
        <v>0</v>
      </c>
      <c r="Q96" s="178">
        <v>0</v>
      </c>
      <c r="R96" s="80">
        <f t="shared" si="29"/>
        <v>0</v>
      </c>
      <c r="S96" s="178">
        <v>0</v>
      </c>
      <c r="T96" s="80">
        <f t="shared" si="30"/>
        <v>0</v>
      </c>
      <c r="U96" s="178">
        <v>0</v>
      </c>
      <c r="V96" s="80">
        <f t="shared" si="31"/>
        <v>0</v>
      </c>
      <c r="X96" s="192"/>
    </row>
    <row r="97" spans="1:24" ht="12.75" customHeight="1">
      <c r="A97" s="2" t="s">
        <v>441</v>
      </c>
      <c r="B97" s="35"/>
      <c r="C97" s="178">
        <v>4655.1325999999999</v>
      </c>
      <c r="D97" s="80">
        <f t="shared" si="32"/>
        <v>2.3832992769311803E-2</v>
      </c>
      <c r="E97" s="178">
        <v>5176.5074512000001</v>
      </c>
      <c r="F97" s="80">
        <f t="shared" si="23"/>
        <v>2.321303789775785E-2</v>
      </c>
      <c r="G97" s="178">
        <v>5357.6852119919995</v>
      </c>
      <c r="H97" s="80">
        <f t="shared" si="24"/>
        <v>2.3193442476155842E-2</v>
      </c>
      <c r="I97" s="178">
        <v>5529.1311387757432</v>
      </c>
      <c r="J97" s="80">
        <f t="shared" si="25"/>
        <v>2.3134439911195577E-2</v>
      </c>
      <c r="K97" s="178">
        <v>5667.3594172451367</v>
      </c>
      <c r="L97" s="80">
        <f t="shared" si="26"/>
        <v>2.3038046411565597E-2</v>
      </c>
      <c r="M97" s="178">
        <v>5809.0434026762641</v>
      </c>
      <c r="N97" s="80">
        <f t="shared" si="27"/>
        <v>2.305175953442962E-2</v>
      </c>
      <c r="O97" s="178">
        <v>5954.2694877431704</v>
      </c>
      <c r="P97" s="80">
        <f t="shared" si="28"/>
        <v>2.2989457481633863E-2</v>
      </c>
      <c r="Q97" s="178">
        <v>6103.1262249367483</v>
      </c>
      <c r="R97" s="80">
        <f t="shared" si="29"/>
        <v>2.2858150655193813E-2</v>
      </c>
      <c r="S97" s="178">
        <v>6255.704380560167</v>
      </c>
      <c r="T97" s="80">
        <f t="shared" si="30"/>
        <v>2.2831037885256086E-2</v>
      </c>
      <c r="U97" s="178">
        <v>6412.0969900741702</v>
      </c>
      <c r="V97" s="80">
        <f t="shared" si="31"/>
        <v>2.2737932588915499E-2</v>
      </c>
      <c r="X97" s="192"/>
    </row>
    <row r="98" spans="1:24" ht="12.75" customHeight="1">
      <c r="A98" s="117" t="s">
        <v>444</v>
      </c>
      <c r="B98" s="35"/>
      <c r="C98" s="178">
        <v>234.38764799999998</v>
      </c>
      <c r="D98" s="80">
        <f t="shared" si="32"/>
        <v>1.1999999999999999E-3</v>
      </c>
      <c r="E98" s="178">
        <v>267.59999999999997</v>
      </c>
      <c r="F98" s="80">
        <f t="shared" si="23"/>
        <v>1.1999999999999999E-3</v>
      </c>
      <c r="G98" s="178">
        <v>277.2</v>
      </c>
      <c r="H98" s="80">
        <f t="shared" si="24"/>
        <v>1.1999999999999999E-3</v>
      </c>
      <c r="I98" s="178">
        <v>286.79999999999995</v>
      </c>
      <c r="J98" s="80">
        <f t="shared" si="25"/>
        <v>1.1999999999999999E-3</v>
      </c>
      <c r="K98" s="178">
        <v>295.2</v>
      </c>
      <c r="L98" s="80">
        <f t="shared" si="26"/>
        <v>1.1999999999999999E-3</v>
      </c>
      <c r="M98" s="178">
        <v>302.39999999999998</v>
      </c>
      <c r="N98" s="80">
        <f t="shared" si="27"/>
        <v>1.1999999999999999E-3</v>
      </c>
      <c r="O98" s="178">
        <v>310.8</v>
      </c>
      <c r="P98" s="80">
        <f t="shared" si="28"/>
        <v>1.2000000000000001E-3</v>
      </c>
      <c r="Q98" s="178">
        <v>320.39999999999992</v>
      </c>
      <c r="R98" s="80">
        <f t="shared" si="29"/>
        <v>1.1999999999999997E-3</v>
      </c>
      <c r="S98" s="178">
        <v>328.79999999999995</v>
      </c>
      <c r="T98" s="80">
        <f t="shared" si="30"/>
        <v>1.1999999999999999E-3</v>
      </c>
      <c r="U98" s="178">
        <v>338.4</v>
      </c>
      <c r="V98" s="80">
        <f t="shared" si="31"/>
        <v>1.1999999999999999E-3</v>
      </c>
      <c r="X98" s="192"/>
    </row>
    <row r="99" spans="1:24" ht="12.75" customHeight="1">
      <c r="A99" s="117" t="s">
        <v>444</v>
      </c>
      <c r="B99" s="35"/>
      <c r="C99" s="178">
        <v>0</v>
      </c>
      <c r="D99" s="80">
        <f t="shared" si="32"/>
        <v>0</v>
      </c>
      <c r="E99" s="178">
        <v>0</v>
      </c>
      <c r="F99" s="80">
        <f t="shared" si="23"/>
        <v>0</v>
      </c>
      <c r="G99" s="178">
        <v>0</v>
      </c>
      <c r="H99" s="80">
        <f t="shared" si="24"/>
        <v>0</v>
      </c>
      <c r="I99" s="178">
        <v>0</v>
      </c>
      <c r="J99" s="80">
        <f t="shared" si="25"/>
        <v>0</v>
      </c>
      <c r="K99" s="178">
        <v>0</v>
      </c>
      <c r="L99" s="80">
        <f t="shared" si="26"/>
        <v>0</v>
      </c>
      <c r="M99" s="178">
        <v>0</v>
      </c>
      <c r="N99" s="80">
        <f t="shared" si="27"/>
        <v>0</v>
      </c>
      <c r="O99" s="178">
        <v>0</v>
      </c>
      <c r="P99" s="80">
        <f t="shared" si="28"/>
        <v>0</v>
      </c>
      <c r="Q99" s="178">
        <v>0</v>
      </c>
      <c r="R99" s="80">
        <f t="shared" si="29"/>
        <v>0</v>
      </c>
      <c r="S99" s="178">
        <v>0</v>
      </c>
      <c r="T99" s="80">
        <f t="shared" si="30"/>
        <v>0</v>
      </c>
      <c r="U99" s="178">
        <v>0</v>
      </c>
      <c r="V99" s="80">
        <f t="shared" si="31"/>
        <v>0</v>
      </c>
      <c r="X99" s="192"/>
    </row>
    <row r="100" spans="1:24" ht="12.75" customHeight="1">
      <c r="A100" s="117" t="s">
        <v>444</v>
      </c>
      <c r="B100" s="35"/>
      <c r="C100" s="178">
        <v>0</v>
      </c>
      <c r="D100" s="80">
        <f t="shared" si="32"/>
        <v>0</v>
      </c>
      <c r="E100" s="178">
        <v>0</v>
      </c>
      <c r="F100" s="80">
        <f t="shared" si="23"/>
        <v>0</v>
      </c>
      <c r="G100" s="178">
        <v>0</v>
      </c>
      <c r="H100" s="80">
        <f t="shared" si="24"/>
        <v>0</v>
      </c>
      <c r="I100" s="178">
        <v>0</v>
      </c>
      <c r="J100" s="80">
        <f t="shared" si="25"/>
        <v>0</v>
      </c>
      <c r="K100" s="178">
        <v>0</v>
      </c>
      <c r="L100" s="80">
        <f t="shared" si="26"/>
        <v>0</v>
      </c>
      <c r="M100" s="178">
        <v>0</v>
      </c>
      <c r="N100" s="80">
        <f t="shared" si="27"/>
        <v>0</v>
      </c>
      <c r="O100" s="178">
        <v>0</v>
      </c>
      <c r="P100" s="80">
        <f t="shared" si="28"/>
        <v>0</v>
      </c>
      <c r="Q100" s="178">
        <v>0</v>
      </c>
      <c r="R100" s="80">
        <f t="shared" si="29"/>
        <v>0</v>
      </c>
      <c r="S100" s="178">
        <v>0</v>
      </c>
      <c r="T100" s="80">
        <f t="shared" si="30"/>
        <v>0</v>
      </c>
      <c r="U100" s="178">
        <v>0</v>
      </c>
      <c r="V100" s="80">
        <f t="shared" si="31"/>
        <v>0</v>
      </c>
      <c r="X100" s="192"/>
    </row>
    <row r="101" spans="1:24" ht="12.75" customHeight="1">
      <c r="A101" s="2" t="s">
        <v>445</v>
      </c>
      <c r="B101" s="35"/>
      <c r="C101" s="178"/>
      <c r="D101" s="80">
        <f t="shared" si="32"/>
        <v>0</v>
      </c>
      <c r="E101" s="178"/>
      <c r="F101" s="80">
        <f t="shared" si="23"/>
        <v>0</v>
      </c>
      <c r="G101" s="178"/>
      <c r="H101" s="80">
        <f t="shared" si="24"/>
        <v>0</v>
      </c>
      <c r="I101" s="178">
        <v>0</v>
      </c>
      <c r="J101" s="80">
        <f t="shared" si="25"/>
        <v>0</v>
      </c>
      <c r="K101" s="178">
        <v>0</v>
      </c>
      <c r="L101" s="80">
        <f t="shared" si="26"/>
        <v>0</v>
      </c>
      <c r="M101" s="178">
        <v>0</v>
      </c>
      <c r="N101" s="80">
        <f t="shared" si="27"/>
        <v>0</v>
      </c>
      <c r="O101" s="178">
        <v>0</v>
      </c>
      <c r="P101" s="80">
        <f t="shared" si="28"/>
        <v>0</v>
      </c>
      <c r="Q101" s="178">
        <v>0</v>
      </c>
      <c r="R101" s="80">
        <f t="shared" si="29"/>
        <v>0</v>
      </c>
      <c r="S101" s="178">
        <v>0</v>
      </c>
      <c r="T101" s="80">
        <f t="shared" si="30"/>
        <v>0</v>
      </c>
      <c r="U101" s="178">
        <v>0</v>
      </c>
      <c r="V101" s="80">
        <f t="shared" si="31"/>
        <v>0</v>
      </c>
      <c r="X101" s="192"/>
    </row>
    <row r="102" spans="1:24" ht="12.75" customHeight="1">
      <c r="A102" s="117" t="s">
        <v>446</v>
      </c>
      <c r="B102" s="35"/>
      <c r="C102" s="178">
        <v>1953.2303999999999</v>
      </c>
      <c r="D102" s="80">
        <f t="shared" si="32"/>
        <v>9.9999999999999985E-3</v>
      </c>
      <c r="E102" s="178">
        <v>2230</v>
      </c>
      <c r="F102" s="80">
        <f t="shared" si="23"/>
        <v>0.01</v>
      </c>
      <c r="G102" s="178">
        <v>2310</v>
      </c>
      <c r="H102" s="80">
        <f t="shared" si="24"/>
        <v>0.01</v>
      </c>
      <c r="I102" s="178">
        <v>2390.0000000000005</v>
      </c>
      <c r="J102" s="80">
        <f t="shared" si="25"/>
        <v>1.0000000000000002E-2</v>
      </c>
      <c r="K102" s="178">
        <v>2460</v>
      </c>
      <c r="L102" s="80">
        <f t="shared" si="26"/>
        <v>0.01</v>
      </c>
      <c r="M102" s="178">
        <v>2520</v>
      </c>
      <c r="N102" s="80">
        <f t="shared" si="27"/>
        <v>0.01</v>
      </c>
      <c r="O102" s="178">
        <v>2590.0000000000005</v>
      </c>
      <c r="P102" s="80">
        <f t="shared" si="28"/>
        <v>1.0000000000000002E-2</v>
      </c>
      <c r="Q102" s="178">
        <v>2670</v>
      </c>
      <c r="R102" s="80">
        <f t="shared" si="29"/>
        <v>0.01</v>
      </c>
      <c r="S102" s="178">
        <v>2740</v>
      </c>
      <c r="T102" s="80">
        <f t="shared" si="30"/>
        <v>0.01</v>
      </c>
      <c r="U102" s="178">
        <v>2819.9999999999995</v>
      </c>
      <c r="V102" s="80">
        <f t="shared" si="31"/>
        <v>9.9999999999999985E-3</v>
      </c>
      <c r="X102" s="192"/>
    </row>
    <row r="103" spans="1:24" ht="12.75" customHeight="1">
      <c r="A103" s="117" t="s">
        <v>446</v>
      </c>
      <c r="B103" s="35"/>
      <c r="C103" s="178">
        <v>0</v>
      </c>
      <c r="D103" s="80">
        <f t="shared" si="32"/>
        <v>0</v>
      </c>
      <c r="E103" s="178">
        <v>0</v>
      </c>
      <c r="F103" s="80">
        <f t="shared" si="23"/>
        <v>0</v>
      </c>
      <c r="G103" s="178">
        <v>0</v>
      </c>
      <c r="H103" s="80">
        <f t="shared" si="24"/>
        <v>0</v>
      </c>
      <c r="I103" s="178">
        <v>0</v>
      </c>
      <c r="J103" s="80">
        <f t="shared" si="25"/>
        <v>0</v>
      </c>
      <c r="K103" s="178">
        <v>0</v>
      </c>
      <c r="L103" s="80">
        <f t="shared" si="26"/>
        <v>0</v>
      </c>
      <c r="M103" s="178">
        <v>0</v>
      </c>
      <c r="N103" s="80">
        <f t="shared" si="27"/>
        <v>0</v>
      </c>
      <c r="O103" s="178">
        <v>0</v>
      </c>
      <c r="P103" s="80">
        <f t="shared" si="28"/>
        <v>0</v>
      </c>
      <c r="Q103" s="178">
        <v>0</v>
      </c>
      <c r="R103" s="80">
        <f t="shared" si="29"/>
        <v>0</v>
      </c>
      <c r="S103" s="178">
        <v>0</v>
      </c>
      <c r="T103" s="80">
        <f t="shared" si="30"/>
        <v>0</v>
      </c>
      <c r="U103" s="178">
        <v>0</v>
      </c>
      <c r="V103" s="80">
        <f t="shared" si="31"/>
        <v>0</v>
      </c>
      <c r="X103" s="192"/>
    </row>
    <row r="104" spans="1:24" ht="12.75" customHeight="1">
      <c r="A104" s="117" t="s">
        <v>446</v>
      </c>
      <c r="B104" s="35"/>
      <c r="C104" s="178">
        <v>0</v>
      </c>
      <c r="D104" s="80">
        <f t="shared" si="32"/>
        <v>0</v>
      </c>
      <c r="E104" s="178">
        <v>0</v>
      </c>
      <c r="F104" s="80">
        <f t="shared" si="23"/>
        <v>0</v>
      </c>
      <c r="G104" s="178">
        <v>0</v>
      </c>
      <c r="H104" s="80">
        <f t="shared" si="24"/>
        <v>0</v>
      </c>
      <c r="I104" s="178">
        <v>0</v>
      </c>
      <c r="J104" s="80">
        <f t="shared" si="25"/>
        <v>0</v>
      </c>
      <c r="K104" s="178">
        <v>0</v>
      </c>
      <c r="L104" s="80">
        <f t="shared" si="26"/>
        <v>0</v>
      </c>
      <c r="M104" s="178">
        <v>0</v>
      </c>
      <c r="N104" s="80">
        <f t="shared" si="27"/>
        <v>0</v>
      </c>
      <c r="O104" s="178">
        <v>0</v>
      </c>
      <c r="P104" s="80">
        <f t="shared" si="28"/>
        <v>0</v>
      </c>
      <c r="Q104" s="178">
        <v>0</v>
      </c>
      <c r="R104" s="80">
        <f t="shared" si="29"/>
        <v>0</v>
      </c>
      <c r="S104" s="178">
        <v>0</v>
      </c>
      <c r="T104" s="80">
        <f t="shared" si="30"/>
        <v>0</v>
      </c>
      <c r="U104" s="178">
        <v>0</v>
      </c>
      <c r="V104" s="80">
        <f t="shared" si="31"/>
        <v>0</v>
      </c>
      <c r="X104" s="192"/>
    </row>
    <row r="105" spans="1:24" ht="12.75" customHeight="1">
      <c r="A105" s="1" t="s">
        <v>447</v>
      </c>
      <c r="B105" s="53"/>
      <c r="C105" s="82">
        <f>SUM(C52:C104)</f>
        <v>22659.166601124631</v>
      </c>
      <c r="D105" s="83">
        <f t="shared" si="32"/>
        <v>0.11600867261294229</v>
      </c>
      <c r="E105" s="82">
        <f>SUM(E52:E104)</f>
        <v>25771.737350568292</v>
      </c>
      <c r="F105" s="83">
        <f t="shared" si="23"/>
        <v>0.1155683289263152</v>
      </c>
      <c r="G105" s="82">
        <f>SUM(G52:G104)</f>
        <v>26661.571568265375</v>
      </c>
      <c r="H105" s="83">
        <f t="shared" si="24"/>
        <v>0.11541805873707954</v>
      </c>
      <c r="I105" s="82">
        <f>SUM(I52:I104)</f>
        <v>27578.310511740212</v>
      </c>
      <c r="J105" s="83">
        <f t="shared" si="25"/>
        <v>0.11539042055121428</v>
      </c>
      <c r="K105" s="82">
        <f>SUM(K52:K104)</f>
        <v>28353.046205425053</v>
      </c>
      <c r="L105" s="83">
        <f t="shared" si="26"/>
        <v>0.11525628538790672</v>
      </c>
      <c r="M105" s="82">
        <f>SUM(M52:M104)</f>
        <v>29053.226257439186</v>
      </c>
      <c r="N105" s="83">
        <f t="shared" si="27"/>
        <v>0.11529058038666344</v>
      </c>
      <c r="O105" s="82">
        <f>SUM(O52:O104)</f>
        <v>29850.65374617109</v>
      </c>
      <c r="P105" s="83">
        <f t="shared" si="28"/>
        <v>0.11525348936745594</v>
      </c>
      <c r="Q105" s="82">
        <f>SUM(Q52:Q104)</f>
        <v>30747.231517341395</v>
      </c>
      <c r="R105" s="83">
        <f t="shared" si="29"/>
        <v>0.11515817047693407</v>
      </c>
      <c r="S105" s="82">
        <f>SUM(S52:S104)</f>
        <v>31555.529679576041</v>
      </c>
      <c r="T105" s="83">
        <f t="shared" si="30"/>
        <v>0.11516616671378117</v>
      </c>
      <c r="U105" s="82">
        <f>SUM(U52:U104)</f>
        <v>32461.183094852935</v>
      </c>
      <c r="V105" s="83">
        <f t="shared" si="31"/>
        <v>0.11511057835054232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448</v>
      </c>
      <c r="B107" s="53"/>
      <c r="C107" s="82">
        <f>C28-C33-C46-C105</f>
        <v>-19782.605801124639</v>
      </c>
      <c r="D107" s="83">
        <f>IFERROR(C107/C$28,0)</f>
        <v>-0.10128147606715848</v>
      </c>
      <c r="E107" s="82">
        <f>E28-E33-E46-E105</f>
        <v>-18686.479462568299</v>
      </c>
      <c r="F107" s="83">
        <f>IFERROR(E107/E$28,0)</f>
        <v>-8.3795872029454252E-2</v>
      </c>
      <c r="G107" s="82">
        <f>G28-G33-G46-G105</f>
        <v>-19197.679654185391</v>
      </c>
      <c r="H107" s="83">
        <f>IFERROR(G107/G$28,0)</f>
        <v>-8.3106838329806892E-2</v>
      </c>
      <c r="I107" s="82">
        <f>I28-I33-I46-I105</f>
        <v>-19468.214056409659</v>
      </c>
      <c r="J107" s="83">
        <f>IFERROR(I107/I$28,0)</f>
        <v>-8.1456962579119913E-2</v>
      </c>
      <c r="K107" s="82">
        <f>K28-K33-K46-K105</f>
        <v>-19353.447338711208</v>
      </c>
      <c r="L107" s="83">
        <f>IFERROR(K107/K$28,0)</f>
        <v>-7.8672550157362631E-2</v>
      </c>
      <c r="M107" s="82">
        <f>M28-M33-M46-M105</f>
        <v>-19929.137419057493</v>
      </c>
      <c r="N107" s="83">
        <f>IFERROR(M107/M$28,0)</f>
        <v>-7.9083878647053546E-2</v>
      </c>
      <c r="O107" s="82">
        <f>O28-O33-O46-O105</f>
        <v>-20029.462686829815</v>
      </c>
      <c r="P107" s="83">
        <f>IFERROR(O107/O$28,0)</f>
        <v>-7.7333832767682686E-2</v>
      </c>
      <c r="Q107" s="82">
        <f>Q28-Q33-Q46-Q105</f>
        <v>-19658.760681516578</v>
      </c>
      <c r="R107" s="83">
        <f>IFERROR(Q107/Q$28,0)</f>
        <v>-7.3628317159238121E-2</v>
      </c>
      <c r="S107" s="82">
        <f>S28-S33-S46-S105</f>
        <v>-19972.097072855588</v>
      </c>
      <c r="T107" s="83">
        <f>IFERROR(S107/S$28,0)</f>
        <v>-7.2890865229399956E-2</v>
      </c>
      <c r="U107" s="82">
        <f>U28-U33-U46-U105</f>
        <v>-19817.664672964438</v>
      </c>
      <c r="V107" s="83">
        <f>IFERROR(U107/U$28,0)</f>
        <v>-7.0275406641717872E-2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449</v>
      </c>
      <c r="B110" s="40"/>
      <c r="C110" s="86" t="str">
        <f>C50</f>
        <v>FY 2018-19</v>
      </c>
      <c r="D110" s="86" t="s">
        <v>366</v>
      </c>
      <c r="E110" s="86" t="str">
        <f>E50</f>
        <v>FY 2019-20</v>
      </c>
      <c r="F110" s="86" t="s">
        <v>366</v>
      </c>
      <c r="G110" s="86" t="str">
        <f>G50</f>
        <v>FY 2020-21</v>
      </c>
      <c r="H110" s="86" t="s">
        <v>366</v>
      </c>
      <c r="I110" s="86" t="str">
        <f>I50</f>
        <v>FY 2021-22</v>
      </c>
      <c r="J110" s="86" t="s">
        <v>366</v>
      </c>
      <c r="K110" s="86" t="str">
        <f>K50</f>
        <v>FY 2022-23</v>
      </c>
      <c r="L110" s="86" t="s">
        <v>366</v>
      </c>
      <c r="M110" s="86" t="str">
        <f>M50</f>
        <v>FY 2023-24</v>
      </c>
      <c r="N110" s="86" t="s">
        <v>366</v>
      </c>
      <c r="O110" s="86" t="str">
        <f>O50</f>
        <v>FY 2024-25</v>
      </c>
      <c r="P110" s="86" t="s">
        <v>366</v>
      </c>
      <c r="Q110" s="86" t="str">
        <f>Q50</f>
        <v>FY 2025-26</v>
      </c>
      <c r="R110" s="86" t="s">
        <v>366</v>
      </c>
      <c r="S110" s="86" t="str">
        <f>S50</f>
        <v>FY 2026-27</v>
      </c>
      <c r="T110" s="86" t="s">
        <v>366</v>
      </c>
      <c r="U110" s="86" t="str">
        <f>U50</f>
        <v>FY 2027-28</v>
      </c>
      <c r="V110" s="86" t="s">
        <v>366</v>
      </c>
    </row>
    <row r="111" spans="1:24" ht="12.75" customHeight="1">
      <c r="A111" s="2" t="s">
        <v>403</v>
      </c>
      <c r="B111" s="35"/>
      <c r="C111" s="79">
        <f>C59</f>
        <v>0</v>
      </c>
      <c r="D111" s="80">
        <f t="shared" ref="D111:D116" si="33">IFERROR(C111/C$28,0)</f>
        <v>0</v>
      </c>
      <c r="E111" s="79">
        <f>E59</f>
        <v>0</v>
      </c>
      <c r="F111" s="80">
        <f t="shared" ref="F111:F116" si="34">IFERROR(E111/E$28,0)</f>
        <v>0</v>
      </c>
      <c r="G111" s="79">
        <f>G59</f>
        <v>0</v>
      </c>
      <c r="H111" s="80">
        <f t="shared" ref="H111:H116" si="35">IFERROR(G111/G$28,0)</f>
        <v>0</v>
      </c>
      <c r="I111" s="79">
        <f>I59</f>
        <v>0</v>
      </c>
      <c r="J111" s="80">
        <f t="shared" ref="J111:J116" si="36">IFERROR(I111/I$28,0)</f>
        <v>0</v>
      </c>
      <c r="K111" s="79">
        <f>K59</f>
        <v>0</v>
      </c>
      <c r="L111" s="80">
        <f t="shared" ref="L111:L116" si="37">IFERROR(K111/K$28,0)</f>
        <v>0</v>
      </c>
      <c r="M111" s="79">
        <f>M59</f>
        <v>0</v>
      </c>
      <c r="N111" s="80">
        <f t="shared" ref="N111:N116" si="38">IFERROR(M111/M$28,0)</f>
        <v>0</v>
      </c>
      <c r="O111" s="79">
        <f>O59</f>
        <v>0</v>
      </c>
      <c r="P111" s="80">
        <f t="shared" ref="P111:P116" si="39">IFERROR(O111/O$28,0)</f>
        <v>0</v>
      </c>
      <c r="Q111" s="79">
        <f>Q59</f>
        <v>0</v>
      </c>
      <c r="R111" s="80">
        <f t="shared" ref="R111:R116" si="40">IFERROR(Q111/Q$28,0)</f>
        <v>0</v>
      </c>
      <c r="S111" s="79">
        <f>S59</f>
        <v>0</v>
      </c>
      <c r="T111" s="80">
        <f t="shared" ref="T111:T116" si="41">IFERROR(S111/S$28,0)</f>
        <v>0</v>
      </c>
      <c r="U111" s="79">
        <f>U59</f>
        <v>0</v>
      </c>
      <c r="V111" s="80">
        <f t="shared" ref="V111:V116" si="42">IFERROR(U111/U$28,0)</f>
        <v>0</v>
      </c>
    </row>
    <row r="112" spans="1:24" ht="12.75" customHeight="1">
      <c r="A112" s="2" t="s">
        <v>450</v>
      </c>
      <c r="B112" s="35"/>
      <c r="C112" s="79">
        <f>C62</f>
        <v>0</v>
      </c>
      <c r="D112" s="80">
        <f t="shared" si="33"/>
        <v>0</v>
      </c>
      <c r="E112" s="79">
        <f>E62</f>
        <v>0</v>
      </c>
      <c r="F112" s="80">
        <f t="shared" si="34"/>
        <v>0</v>
      </c>
      <c r="G112" s="79">
        <f>G62</f>
        <v>0</v>
      </c>
      <c r="H112" s="80">
        <f t="shared" si="35"/>
        <v>0</v>
      </c>
      <c r="I112" s="79">
        <f>I62</f>
        <v>0</v>
      </c>
      <c r="J112" s="80">
        <f t="shared" si="36"/>
        <v>0</v>
      </c>
      <c r="K112" s="79">
        <f>K62</f>
        <v>0</v>
      </c>
      <c r="L112" s="80">
        <f t="shared" si="37"/>
        <v>0</v>
      </c>
      <c r="M112" s="79">
        <f>M62</f>
        <v>0</v>
      </c>
      <c r="N112" s="80">
        <f t="shared" si="38"/>
        <v>0</v>
      </c>
      <c r="O112" s="79">
        <f>O62</f>
        <v>0</v>
      </c>
      <c r="P112" s="80">
        <f t="shared" si="39"/>
        <v>0</v>
      </c>
      <c r="Q112" s="79">
        <f>Q62</f>
        <v>0</v>
      </c>
      <c r="R112" s="80">
        <f t="shared" si="40"/>
        <v>0</v>
      </c>
      <c r="S112" s="79">
        <f>S62</f>
        <v>0</v>
      </c>
      <c r="T112" s="80">
        <f t="shared" si="41"/>
        <v>0</v>
      </c>
      <c r="U112" s="79">
        <f>U62</f>
        <v>0</v>
      </c>
      <c r="V112" s="80">
        <f t="shared" si="42"/>
        <v>0</v>
      </c>
    </row>
    <row r="113" spans="1:22" ht="12.75" customHeight="1">
      <c r="A113" s="117" t="s">
        <v>446</v>
      </c>
      <c r="B113" s="41"/>
      <c r="C113" s="111">
        <v>0</v>
      </c>
      <c r="D113" s="80">
        <f t="shared" si="33"/>
        <v>0</v>
      </c>
      <c r="E113" s="111">
        <v>0</v>
      </c>
      <c r="F113" s="80">
        <f t="shared" si="34"/>
        <v>0</v>
      </c>
      <c r="G113" s="111">
        <v>0</v>
      </c>
      <c r="H113" s="80">
        <f t="shared" si="35"/>
        <v>0</v>
      </c>
      <c r="I113" s="111">
        <v>0</v>
      </c>
      <c r="J113" s="80">
        <f t="shared" si="36"/>
        <v>0</v>
      </c>
      <c r="K113" s="111">
        <v>0</v>
      </c>
      <c r="L113" s="80">
        <f t="shared" si="37"/>
        <v>0</v>
      </c>
      <c r="M113" s="111">
        <v>0</v>
      </c>
      <c r="N113" s="80">
        <f t="shared" si="38"/>
        <v>0</v>
      </c>
      <c r="O113" s="111">
        <v>0</v>
      </c>
      <c r="P113" s="80">
        <f t="shared" si="39"/>
        <v>0</v>
      </c>
      <c r="Q113" s="111">
        <v>0</v>
      </c>
      <c r="R113" s="80">
        <f t="shared" si="40"/>
        <v>0</v>
      </c>
      <c r="S113" s="111">
        <v>0</v>
      </c>
      <c r="T113" s="80">
        <f t="shared" si="41"/>
        <v>0</v>
      </c>
      <c r="U113" s="111">
        <v>0</v>
      </c>
      <c r="V113" s="80">
        <f t="shared" si="42"/>
        <v>0</v>
      </c>
    </row>
    <row r="114" spans="1:22" ht="12.75" customHeight="1">
      <c r="A114" s="117" t="s">
        <v>446</v>
      </c>
      <c r="B114" s="41"/>
      <c r="C114" s="111">
        <v>0</v>
      </c>
      <c r="D114" s="80">
        <f t="shared" si="33"/>
        <v>0</v>
      </c>
      <c r="E114" s="111">
        <v>0</v>
      </c>
      <c r="F114" s="80">
        <f t="shared" si="34"/>
        <v>0</v>
      </c>
      <c r="G114" s="111">
        <v>0</v>
      </c>
      <c r="H114" s="80">
        <f t="shared" si="35"/>
        <v>0</v>
      </c>
      <c r="I114" s="111">
        <v>0</v>
      </c>
      <c r="J114" s="80">
        <f t="shared" si="36"/>
        <v>0</v>
      </c>
      <c r="K114" s="111">
        <v>0</v>
      </c>
      <c r="L114" s="80">
        <f t="shared" si="37"/>
        <v>0</v>
      </c>
      <c r="M114" s="111">
        <v>0</v>
      </c>
      <c r="N114" s="80">
        <f t="shared" si="38"/>
        <v>0</v>
      </c>
      <c r="O114" s="111">
        <v>0</v>
      </c>
      <c r="P114" s="80">
        <f t="shared" si="39"/>
        <v>0</v>
      </c>
      <c r="Q114" s="111">
        <v>0</v>
      </c>
      <c r="R114" s="80">
        <f t="shared" si="40"/>
        <v>0</v>
      </c>
      <c r="S114" s="111">
        <v>0</v>
      </c>
      <c r="T114" s="80">
        <f t="shared" si="41"/>
        <v>0</v>
      </c>
      <c r="U114" s="111">
        <v>0</v>
      </c>
      <c r="V114" s="80">
        <f t="shared" si="42"/>
        <v>0</v>
      </c>
    </row>
    <row r="115" spans="1:22" ht="12.75" customHeight="1">
      <c r="A115" s="117" t="s">
        <v>446</v>
      </c>
      <c r="B115" s="41"/>
      <c r="C115" s="112">
        <v>0</v>
      </c>
      <c r="D115" s="80">
        <f t="shared" si="33"/>
        <v>0</v>
      </c>
      <c r="E115" s="112">
        <v>0</v>
      </c>
      <c r="F115" s="80">
        <f t="shared" si="34"/>
        <v>0</v>
      </c>
      <c r="G115" s="112">
        <v>0</v>
      </c>
      <c r="H115" s="80">
        <f t="shared" si="35"/>
        <v>0</v>
      </c>
      <c r="I115" s="112">
        <v>0</v>
      </c>
      <c r="J115" s="80">
        <f t="shared" si="36"/>
        <v>0</v>
      </c>
      <c r="K115" s="112">
        <v>0</v>
      </c>
      <c r="L115" s="80">
        <f t="shared" si="37"/>
        <v>0</v>
      </c>
      <c r="M115" s="112">
        <v>0</v>
      </c>
      <c r="N115" s="80">
        <f t="shared" si="38"/>
        <v>0</v>
      </c>
      <c r="O115" s="112">
        <v>0</v>
      </c>
      <c r="P115" s="80">
        <f t="shared" si="39"/>
        <v>0</v>
      </c>
      <c r="Q115" s="112">
        <v>0</v>
      </c>
      <c r="R115" s="80">
        <f t="shared" si="40"/>
        <v>0</v>
      </c>
      <c r="S115" s="112">
        <v>0</v>
      </c>
      <c r="T115" s="80">
        <f t="shared" si="41"/>
        <v>0</v>
      </c>
      <c r="U115" s="112">
        <v>0</v>
      </c>
      <c r="V115" s="80">
        <f t="shared" si="42"/>
        <v>0</v>
      </c>
    </row>
    <row r="116" spans="1:22" ht="12.75" customHeight="1">
      <c r="A116" s="40" t="s">
        <v>451</v>
      </c>
      <c r="B116" s="42"/>
      <c r="C116" s="85">
        <f>SUM(C111:C115)</f>
        <v>0</v>
      </c>
      <c r="D116" s="83">
        <f t="shared" si="33"/>
        <v>0</v>
      </c>
      <c r="E116" s="85">
        <f>SUM(E111:E115)</f>
        <v>0</v>
      </c>
      <c r="F116" s="83">
        <f t="shared" si="34"/>
        <v>0</v>
      </c>
      <c r="G116" s="85">
        <f>SUM(G111:G115)</f>
        <v>0</v>
      </c>
      <c r="H116" s="83">
        <f t="shared" si="35"/>
        <v>0</v>
      </c>
      <c r="I116" s="85">
        <f>SUM(I111:I115)</f>
        <v>0</v>
      </c>
      <c r="J116" s="83">
        <f t="shared" si="36"/>
        <v>0</v>
      </c>
      <c r="K116" s="85">
        <f>SUM(K111:K115)</f>
        <v>0</v>
      </c>
      <c r="L116" s="83">
        <f t="shared" si="37"/>
        <v>0</v>
      </c>
      <c r="M116" s="85">
        <f>SUM(M111:M115)</f>
        <v>0</v>
      </c>
      <c r="N116" s="83">
        <f t="shared" si="38"/>
        <v>0</v>
      </c>
      <c r="O116" s="85">
        <f>SUM(O111:O115)</f>
        <v>0</v>
      </c>
      <c r="P116" s="83">
        <f t="shared" si="39"/>
        <v>0</v>
      </c>
      <c r="Q116" s="85">
        <f>SUM(Q111:Q115)</f>
        <v>0</v>
      </c>
      <c r="R116" s="83">
        <f t="shared" si="40"/>
        <v>0</v>
      </c>
      <c r="S116" s="85">
        <f>SUM(S111:S115)</f>
        <v>0</v>
      </c>
      <c r="T116" s="83">
        <f t="shared" si="41"/>
        <v>0</v>
      </c>
      <c r="U116" s="85">
        <f>SUM(U111:U115)</f>
        <v>0</v>
      </c>
      <c r="V116" s="83">
        <f t="shared" si="42"/>
        <v>0</v>
      </c>
    </row>
    <row r="118" spans="1:22" ht="12.75" customHeight="1">
      <c r="A118" s="43" t="s">
        <v>452</v>
      </c>
      <c r="B118" s="43"/>
    </row>
    <row r="119" spans="1:22" ht="12.75" customHeight="1">
      <c r="A119" s="47" t="s">
        <v>453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7" tint="0.59999389629810485"/>
  </sheetPr>
  <dimension ref="A1:X120"/>
  <sheetViews>
    <sheetView topLeftCell="A9" zoomScale="70" zoomScaleNormal="70" workbookViewId="0" xr3:uid="{11A3ACCB-1F19-5AC9-A611-4158731A345D}">
      <selection activeCell="W59" sqref="W59"/>
    </sheetView>
  </sheetViews>
  <sheetFormatPr defaultColWidth="9.140625" defaultRowHeight="12.75" customHeight="1"/>
  <cols>
    <col min="1" max="1" width="9.5703125" style="2" customWidth="1"/>
    <col min="2" max="2" width="40.140625" style="2" customWidth="1"/>
    <col min="3" max="3" width="12.7109375" style="2" customWidth="1"/>
    <col min="4" max="4" width="8.7109375" style="2" customWidth="1"/>
    <col min="5" max="5" width="12.7109375" style="2" customWidth="1"/>
    <col min="6" max="6" width="8.7109375" style="2" customWidth="1"/>
    <col min="7" max="7" width="14.42578125" style="2" customWidth="1"/>
    <col min="8" max="8" width="8.7109375" style="2" customWidth="1"/>
    <col min="9" max="9" width="13.5703125" style="2" customWidth="1"/>
    <col min="10" max="10" width="8.7109375" style="2" customWidth="1"/>
    <col min="11" max="11" width="13.285156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355</v>
      </c>
      <c r="G2" s="33" t="s">
        <v>38</v>
      </c>
      <c r="H2" s="34"/>
      <c r="I2" s="34"/>
      <c r="V2" s="32"/>
    </row>
    <row r="3" spans="1:22" ht="12.75" customHeight="1">
      <c r="A3" s="1" t="s">
        <v>357</v>
      </c>
      <c r="D3" s="118" t="s">
        <v>358</v>
      </c>
      <c r="G3" s="115" t="str">
        <f>+G2</f>
        <v>Almazar (Graham Center)</v>
      </c>
      <c r="H3" s="116"/>
      <c r="I3" s="116"/>
      <c r="V3" s="32"/>
    </row>
    <row r="4" spans="1:22" ht="12.75" customHeight="1">
      <c r="A4" s="1" t="s">
        <v>359</v>
      </c>
      <c r="B4" s="109" t="s">
        <v>221</v>
      </c>
      <c r="D4" s="118" t="s">
        <v>360</v>
      </c>
      <c r="G4" s="115" t="s">
        <v>36</v>
      </c>
      <c r="H4" s="116"/>
      <c r="I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361</v>
      </c>
      <c r="B7" s="1"/>
    </row>
    <row r="8" spans="1:22" ht="12.75" customHeight="1">
      <c r="A8" s="2" t="s">
        <v>362</v>
      </c>
      <c r="C8" s="109">
        <v>235</v>
      </c>
      <c r="E8" s="109">
        <f>+C8</f>
        <v>235</v>
      </c>
      <c r="G8" s="109">
        <f>+E8</f>
        <v>235</v>
      </c>
      <c r="I8" s="109">
        <f>+G8</f>
        <v>235</v>
      </c>
      <c r="K8" s="109">
        <f>+I8</f>
        <v>235</v>
      </c>
      <c r="M8" s="109">
        <f>+K8</f>
        <v>235</v>
      </c>
      <c r="O8" s="109">
        <f>+M8</f>
        <v>235</v>
      </c>
      <c r="Q8" s="109">
        <f>+O8</f>
        <v>235</v>
      </c>
      <c r="S8" s="109">
        <f>+Q8</f>
        <v>235</v>
      </c>
      <c r="U8" s="109">
        <f>+S8</f>
        <v>235</v>
      </c>
    </row>
    <row r="10" spans="1:22" ht="12.75" customHeight="1">
      <c r="A10" s="2" t="s">
        <v>462</v>
      </c>
      <c r="C10" s="109"/>
      <c r="E10" s="109"/>
      <c r="G10" s="109"/>
      <c r="I10" s="109"/>
      <c r="K10" s="109"/>
      <c r="M10" s="109"/>
      <c r="O10" s="109"/>
      <c r="Q10" s="109"/>
      <c r="S10" s="109"/>
      <c r="U10" s="109"/>
    </row>
    <row r="12" spans="1:22" ht="12.75" customHeight="1">
      <c r="A12" s="2" t="s">
        <v>463</v>
      </c>
      <c r="C12" s="110"/>
      <c r="E12" s="110"/>
      <c r="G12" s="110"/>
      <c r="I12" s="110"/>
      <c r="K12" s="110"/>
      <c r="M12" s="110"/>
      <c r="O12" s="110"/>
      <c r="Q12" s="110"/>
      <c r="S12" s="110"/>
      <c r="U12" s="110"/>
    </row>
    <row r="14" spans="1:22" ht="12.75" customHeight="1">
      <c r="A14" s="2" t="s">
        <v>464</v>
      </c>
      <c r="C14" s="121">
        <f>C12*C10*C8</f>
        <v>0</v>
      </c>
      <c r="E14" s="121">
        <f>E12*E10*E8</f>
        <v>0</v>
      </c>
      <c r="G14" s="121">
        <v>250000</v>
      </c>
      <c r="I14" s="121">
        <f>+G14*1.02</f>
        <v>255000</v>
      </c>
      <c r="K14" s="121">
        <f>+I14*1.02</f>
        <v>260100</v>
      </c>
      <c r="M14" s="121">
        <f>+K14*1.02</f>
        <v>265302</v>
      </c>
      <c r="O14" s="121">
        <f>+M14*1.02</f>
        <v>270608.03999999998</v>
      </c>
      <c r="Q14" s="121">
        <f>+O14*1.02</f>
        <v>276020.20079999999</v>
      </c>
      <c r="S14" s="121">
        <f>+Q14*1.02</f>
        <v>281540.60481599998</v>
      </c>
      <c r="U14" s="121">
        <f>+S14*1.02</f>
        <v>287171.41691231995</v>
      </c>
    </row>
    <row r="15" spans="1:22" ht="12.75" customHeight="1">
      <c r="A15" s="39">
        <v>0.1</v>
      </c>
    </row>
    <row r="16" spans="1:22" ht="12.75" customHeight="1">
      <c r="B16" s="35"/>
      <c r="C16" s="86" t="str">
        <f>C6</f>
        <v>FY 2018-19</v>
      </c>
      <c r="D16" s="86" t="s">
        <v>366</v>
      </c>
      <c r="E16" s="86" t="str">
        <f>E6</f>
        <v>FY 2019-20</v>
      </c>
      <c r="F16" s="86" t="s">
        <v>366</v>
      </c>
      <c r="G16" s="86" t="str">
        <f>G6</f>
        <v>FY 2020-21</v>
      </c>
      <c r="H16" s="86" t="s">
        <v>366</v>
      </c>
      <c r="I16" s="86" t="str">
        <f>I6</f>
        <v>FY 2021-22</v>
      </c>
      <c r="J16" s="86" t="s">
        <v>366</v>
      </c>
      <c r="K16" s="86" t="str">
        <f>K6</f>
        <v>FY 2022-23</v>
      </c>
      <c r="L16" s="86" t="s">
        <v>366</v>
      </c>
      <c r="M16" s="86" t="str">
        <f>M6</f>
        <v>FY 2023-24</v>
      </c>
      <c r="N16" s="86" t="s">
        <v>366</v>
      </c>
      <c r="O16" s="86" t="str">
        <f>O6</f>
        <v>FY 2024-25</v>
      </c>
      <c r="P16" s="86" t="s">
        <v>366</v>
      </c>
      <c r="Q16" s="86" t="str">
        <f>Q6</f>
        <v>FY 2025-26</v>
      </c>
      <c r="R16" s="86" t="s">
        <v>366</v>
      </c>
      <c r="S16" s="86" t="str">
        <f>S6</f>
        <v>FY 2026-27</v>
      </c>
      <c r="T16" s="86" t="s">
        <v>366</v>
      </c>
      <c r="U16" s="86" t="str">
        <f>U6</f>
        <v>FY 2027-28</v>
      </c>
      <c r="V16" s="86" t="s">
        <v>366</v>
      </c>
    </row>
    <row r="17" spans="1:24" ht="12.75" customHeight="1">
      <c r="A17" s="1" t="s">
        <v>367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368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369</v>
      </c>
      <c r="B19" s="35"/>
      <c r="C19" s="200">
        <f>+C14-C20</f>
        <v>0</v>
      </c>
      <c r="D19" s="80">
        <f>IFERROR(C19/C$28,0)</f>
        <v>0</v>
      </c>
      <c r="E19" s="200">
        <f>+E14-E20</f>
        <v>0</v>
      </c>
      <c r="F19" s="80">
        <f>IFERROR(E19/E$28,0)</f>
        <v>0</v>
      </c>
      <c r="G19" s="111">
        <f>+G14-G20</f>
        <v>210000</v>
      </c>
      <c r="H19" s="80">
        <f>IFERROR(G19/G$28,0)</f>
        <v>0.84</v>
      </c>
      <c r="I19" s="111">
        <f>+I14-I20</f>
        <v>214200</v>
      </c>
      <c r="J19" s="80">
        <f>IFERROR(I19/I$28,0)</f>
        <v>0.84</v>
      </c>
      <c r="K19" s="111">
        <f>+K14-K20</f>
        <v>218484</v>
      </c>
      <c r="L19" s="80">
        <f>IFERROR(K19/K$28,0)</f>
        <v>0.84</v>
      </c>
      <c r="M19" s="111">
        <f>+M14-M20</f>
        <v>222853.68</v>
      </c>
      <c r="N19" s="80">
        <f>IFERROR(M19/M$28,0)</f>
        <v>0.84</v>
      </c>
      <c r="O19" s="111">
        <f>+O14-O20</f>
        <v>227310.7536</v>
      </c>
      <c r="P19" s="80">
        <f>IFERROR(O19/O$28,0)</f>
        <v>0.84000000000000008</v>
      </c>
      <c r="Q19" s="111">
        <f>+Q14-Q20</f>
        <v>231856.96867199999</v>
      </c>
      <c r="R19" s="80">
        <f>IFERROR(Q19/Q$28,0)</f>
        <v>0.84</v>
      </c>
      <c r="S19" s="111">
        <f>+S14-S20</f>
        <v>236494.10804543999</v>
      </c>
      <c r="T19" s="80">
        <f>IFERROR(S19/S$28,0)</f>
        <v>0.84000000000000008</v>
      </c>
      <c r="U19" s="111">
        <f>+U14-U20</f>
        <v>241223.99020634877</v>
      </c>
      <c r="V19" s="80">
        <f>IFERROR(U19/U$28,0)</f>
        <v>0.84</v>
      </c>
    </row>
    <row r="20" spans="1:24" ht="12.75" customHeight="1">
      <c r="A20" s="2" t="s">
        <v>370</v>
      </c>
      <c r="B20" s="35"/>
      <c r="C20" s="111">
        <f>+C14*12.38%</f>
        <v>0</v>
      </c>
      <c r="D20" s="80">
        <f>IFERROR(C20/C$28,0)</f>
        <v>0</v>
      </c>
      <c r="E20" s="111">
        <f>+E14*53.27%</f>
        <v>0</v>
      </c>
      <c r="F20" s="80">
        <f>IFERROR(E20/E$28,0)</f>
        <v>0</v>
      </c>
      <c r="G20" s="111">
        <f>+G14*0.16</f>
        <v>40000</v>
      </c>
      <c r="H20" s="80">
        <f>IFERROR(G20/G$28,0)</f>
        <v>0.16</v>
      </c>
      <c r="I20" s="111">
        <f>+I14*0.16</f>
        <v>40800</v>
      </c>
      <c r="J20" s="80">
        <f>IFERROR(I20/I$28,0)</f>
        <v>0.16</v>
      </c>
      <c r="K20" s="111">
        <f>+K14*0.16</f>
        <v>41616</v>
      </c>
      <c r="L20" s="80">
        <f>IFERROR(K20/K$28,0)</f>
        <v>0.16</v>
      </c>
      <c r="M20" s="111">
        <f>+M14*0.16</f>
        <v>42448.32</v>
      </c>
      <c r="N20" s="80">
        <f>IFERROR(M20/M$28,0)</f>
        <v>0.16</v>
      </c>
      <c r="O20" s="111">
        <f>+O14*0.16</f>
        <v>43297.286399999997</v>
      </c>
      <c r="P20" s="80">
        <f>IFERROR(O20/O$28,0)</f>
        <v>0.16</v>
      </c>
      <c r="Q20" s="111">
        <f>+Q14*0.16</f>
        <v>44163.232127999996</v>
      </c>
      <c r="R20" s="80">
        <f>IFERROR(Q20/Q$28,0)</f>
        <v>0.16</v>
      </c>
      <c r="S20" s="111">
        <f>+S14*0.16</f>
        <v>45046.496770559999</v>
      </c>
      <c r="T20" s="80">
        <f>IFERROR(S20/S$28,0)</f>
        <v>0.16</v>
      </c>
      <c r="U20" s="111">
        <f>+U14*0.16</f>
        <v>45947.426705971193</v>
      </c>
      <c r="V20" s="80">
        <f>IFERROR(U20/U$28,0)</f>
        <v>0.16</v>
      </c>
    </row>
    <row r="21" spans="1:24" ht="12.75" customHeight="1">
      <c r="A21" s="2" t="s">
        <v>371</v>
      </c>
      <c r="B21" s="35"/>
      <c r="C21" s="111"/>
      <c r="D21" s="80">
        <f>IFERROR(C21/C$28,0)</f>
        <v>0</v>
      </c>
      <c r="E21" s="111">
        <v>0</v>
      </c>
      <c r="F21" s="80">
        <f>IFERROR(E21/E$28,0)</f>
        <v>0</v>
      </c>
      <c r="G21" s="111">
        <f t="shared" ref="G21:U21" si="0">E21*1.02</f>
        <v>0</v>
      </c>
      <c r="H21" s="80">
        <f>IFERROR(G21/G$28,0)</f>
        <v>0</v>
      </c>
      <c r="I21" s="111">
        <f t="shared" si="0"/>
        <v>0</v>
      </c>
      <c r="J21" s="80">
        <f>IFERROR(I21/I$28,0)</f>
        <v>0</v>
      </c>
      <c r="K21" s="111">
        <f t="shared" si="0"/>
        <v>0</v>
      </c>
      <c r="L21" s="80">
        <f>IFERROR(K21/K$28,0)</f>
        <v>0</v>
      </c>
      <c r="M21" s="111">
        <f t="shared" si="0"/>
        <v>0</v>
      </c>
      <c r="N21" s="80">
        <f>IFERROR(M21/M$28,0)</f>
        <v>0</v>
      </c>
      <c r="O21" s="111">
        <f t="shared" si="0"/>
        <v>0</v>
      </c>
      <c r="P21" s="80">
        <f>IFERROR(O21/O$28,0)</f>
        <v>0</v>
      </c>
      <c r="Q21" s="111">
        <f t="shared" si="0"/>
        <v>0</v>
      </c>
      <c r="R21" s="80">
        <f>IFERROR(Q21/Q$28,0)</f>
        <v>0</v>
      </c>
      <c r="S21" s="111">
        <f t="shared" si="0"/>
        <v>0</v>
      </c>
      <c r="T21" s="80">
        <f>IFERROR(S21/S$28,0)</f>
        <v>0</v>
      </c>
      <c r="U21" s="111">
        <f t="shared" si="0"/>
        <v>0</v>
      </c>
      <c r="V21" s="80">
        <f>IFERROR(U21/U$28,0)</f>
        <v>0</v>
      </c>
    </row>
    <row r="22" spans="1:24" ht="12.75" customHeight="1">
      <c r="A22" s="2" t="s">
        <v>372</v>
      </c>
      <c r="B22" s="123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373</v>
      </c>
      <c r="B23" s="123"/>
      <c r="C23" s="79"/>
      <c r="D23" s="80">
        <f t="shared" ref="D23:D28" si="1">IFERROR(C23/C$28,0)</f>
        <v>0</v>
      </c>
      <c r="E23" s="79"/>
      <c r="F23" s="80">
        <f t="shared" ref="F23:F28" si="2">IFERROR(E23/E$28,0)</f>
        <v>0</v>
      </c>
      <c r="G23" s="79"/>
      <c r="H23" s="80">
        <f t="shared" ref="H23:H28" si="3">IFERROR(G23/G$28,0)</f>
        <v>0</v>
      </c>
      <c r="I23" s="79"/>
      <c r="J23" s="80">
        <f t="shared" ref="J23:J28" si="4">IFERROR(I23/I$28,0)</f>
        <v>0</v>
      </c>
      <c r="K23" s="79"/>
      <c r="L23" s="80">
        <f t="shared" ref="L23:L28" si="5">IFERROR(K23/K$28,0)</f>
        <v>0</v>
      </c>
      <c r="M23" s="79"/>
      <c r="N23" s="80">
        <f t="shared" ref="N23:N28" si="6">IFERROR(M23/M$28,0)</f>
        <v>0</v>
      </c>
      <c r="O23" s="79"/>
      <c r="P23" s="80">
        <f t="shared" ref="P23:P28" si="7">IFERROR(O23/O$28,0)</f>
        <v>0</v>
      </c>
      <c r="Q23" s="79"/>
      <c r="R23" s="80">
        <f t="shared" ref="R23:R28" si="8">IFERROR(Q23/Q$28,0)</f>
        <v>0</v>
      </c>
      <c r="S23" s="79"/>
      <c r="T23" s="80">
        <f t="shared" ref="T23:T28" si="9">IFERROR(S23/S$28,0)</f>
        <v>0</v>
      </c>
      <c r="U23" s="79"/>
      <c r="V23" s="80">
        <f t="shared" ref="V23:V28" si="10">IFERROR(U23/U$28,0)</f>
        <v>0</v>
      </c>
    </row>
    <row r="24" spans="1:24" ht="12.75" customHeight="1">
      <c r="A24" s="122" t="s">
        <v>374</v>
      </c>
      <c r="B24" s="123"/>
      <c r="C24" s="79"/>
      <c r="D24" s="80">
        <f t="shared" si="1"/>
        <v>0</v>
      </c>
      <c r="E24" s="79"/>
      <c r="F24" s="80">
        <f t="shared" si="2"/>
        <v>0</v>
      </c>
      <c r="G24" s="79"/>
      <c r="H24" s="80">
        <f t="shared" si="3"/>
        <v>0</v>
      </c>
      <c r="I24" s="79"/>
      <c r="J24" s="80">
        <f t="shared" si="4"/>
        <v>0</v>
      </c>
      <c r="K24" s="79"/>
      <c r="L24" s="80">
        <f t="shared" si="5"/>
        <v>0</v>
      </c>
      <c r="M24" s="79"/>
      <c r="N24" s="80">
        <f t="shared" si="6"/>
        <v>0</v>
      </c>
      <c r="O24" s="79"/>
      <c r="P24" s="80">
        <f t="shared" si="7"/>
        <v>0</v>
      </c>
      <c r="Q24" s="79"/>
      <c r="R24" s="80">
        <f t="shared" si="8"/>
        <v>0</v>
      </c>
      <c r="S24" s="79"/>
      <c r="T24" s="80">
        <f t="shared" si="9"/>
        <v>0</v>
      </c>
      <c r="U24" s="79"/>
      <c r="V24" s="80">
        <f t="shared" si="10"/>
        <v>0</v>
      </c>
      <c r="X24" s="79"/>
    </row>
    <row r="25" spans="1:24" ht="12.75" customHeight="1">
      <c r="A25" s="2" t="s">
        <v>375</v>
      </c>
      <c r="B25" s="35"/>
      <c r="C25" s="111"/>
      <c r="D25" s="80">
        <f t="shared" si="1"/>
        <v>0</v>
      </c>
      <c r="E25" s="111"/>
      <c r="F25" s="80">
        <f t="shared" si="2"/>
        <v>0</v>
      </c>
      <c r="G25" s="111"/>
      <c r="H25" s="80">
        <f t="shared" si="3"/>
        <v>0</v>
      </c>
      <c r="I25" s="111"/>
      <c r="J25" s="80">
        <f t="shared" si="4"/>
        <v>0</v>
      </c>
      <c r="K25" s="111"/>
      <c r="L25" s="80">
        <f t="shared" si="5"/>
        <v>0</v>
      </c>
      <c r="M25" s="111"/>
      <c r="N25" s="80">
        <f t="shared" si="6"/>
        <v>0</v>
      </c>
      <c r="O25" s="111"/>
      <c r="P25" s="80">
        <f t="shared" si="7"/>
        <v>0</v>
      </c>
      <c r="Q25" s="111"/>
      <c r="R25" s="80">
        <f t="shared" si="8"/>
        <v>0</v>
      </c>
      <c r="S25" s="111"/>
      <c r="T25" s="80">
        <f t="shared" si="9"/>
        <v>0</v>
      </c>
      <c r="U25" s="111"/>
      <c r="V25" s="80">
        <f t="shared" si="10"/>
        <v>0</v>
      </c>
      <c r="X25" s="79"/>
    </row>
    <row r="26" spans="1:24" ht="12.75" customHeight="1">
      <c r="A26" s="122" t="s">
        <v>376</v>
      </c>
      <c r="B26" s="35"/>
      <c r="C26" s="79"/>
      <c r="D26" s="80">
        <f t="shared" si="1"/>
        <v>0</v>
      </c>
      <c r="E26" s="79"/>
      <c r="F26" s="80">
        <f t="shared" si="2"/>
        <v>0</v>
      </c>
      <c r="G26" s="79"/>
      <c r="H26" s="80">
        <f t="shared" si="3"/>
        <v>0</v>
      </c>
      <c r="I26" s="79"/>
      <c r="J26" s="80">
        <f t="shared" si="4"/>
        <v>0</v>
      </c>
      <c r="K26" s="79"/>
      <c r="L26" s="80">
        <f t="shared" si="5"/>
        <v>0</v>
      </c>
      <c r="M26" s="79"/>
      <c r="N26" s="80">
        <f t="shared" si="6"/>
        <v>0</v>
      </c>
      <c r="O26" s="79"/>
      <c r="P26" s="80">
        <f t="shared" si="7"/>
        <v>0</v>
      </c>
      <c r="Q26" s="79"/>
      <c r="R26" s="80">
        <f t="shared" si="8"/>
        <v>0</v>
      </c>
      <c r="S26" s="79"/>
      <c r="T26" s="80">
        <f t="shared" si="9"/>
        <v>0</v>
      </c>
      <c r="U26" s="79"/>
      <c r="V26" s="80">
        <f t="shared" si="10"/>
        <v>0</v>
      </c>
    </row>
    <row r="27" spans="1:24" ht="12.75" customHeight="1">
      <c r="A27" s="2" t="s">
        <v>469</v>
      </c>
      <c r="B27" s="35"/>
      <c r="C27" s="112">
        <f>380000*0.11</f>
        <v>41800</v>
      </c>
      <c r="D27" s="80">
        <f t="shared" si="1"/>
        <v>1</v>
      </c>
      <c r="E27" s="112">
        <f>+C27*1.02</f>
        <v>42636</v>
      </c>
      <c r="F27" s="80">
        <f t="shared" si="2"/>
        <v>1</v>
      </c>
      <c r="G27" s="112">
        <v>0</v>
      </c>
      <c r="H27" s="80">
        <f t="shared" si="3"/>
        <v>0</v>
      </c>
      <c r="I27" s="112">
        <f>+G27*1.02</f>
        <v>0</v>
      </c>
      <c r="J27" s="80">
        <f t="shared" si="4"/>
        <v>0</v>
      </c>
      <c r="K27" s="112">
        <f>+I27*1.02</f>
        <v>0</v>
      </c>
      <c r="L27" s="80">
        <f t="shared" si="5"/>
        <v>0</v>
      </c>
      <c r="M27" s="112">
        <f>+K27*1.02</f>
        <v>0</v>
      </c>
      <c r="N27" s="80">
        <f t="shared" si="6"/>
        <v>0</v>
      </c>
      <c r="O27" s="112">
        <f>+M27*1.02</f>
        <v>0</v>
      </c>
      <c r="P27" s="80">
        <f t="shared" si="7"/>
        <v>0</v>
      </c>
      <c r="Q27" s="112">
        <f>+O27*1.02</f>
        <v>0</v>
      </c>
      <c r="R27" s="80">
        <f t="shared" si="8"/>
        <v>0</v>
      </c>
      <c r="S27" s="112">
        <f>+Q27*1.02</f>
        <v>0</v>
      </c>
      <c r="T27" s="80">
        <f t="shared" si="9"/>
        <v>0</v>
      </c>
      <c r="U27" s="112">
        <f>+S27*1.02</f>
        <v>0</v>
      </c>
      <c r="V27" s="80">
        <f t="shared" si="10"/>
        <v>0</v>
      </c>
    </row>
    <row r="28" spans="1:24" ht="12.75" customHeight="1">
      <c r="A28" s="1" t="s">
        <v>378</v>
      </c>
      <c r="B28" s="53"/>
      <c r="C28" s="82">
        <f>SUM(C19:C27)</f>
        <v>41800</v>
      </c>
      <c r="D28" s="83">
        <f t="shared" si="1"/>
        <v>1</v>
      </c>
      <c r="E28" s="82">
        <f>SUM(E19:E27)</f>
        <v>42636</v>
      </c>
      <c r="F28" s="83">
        <f t="shared" si="2"/>
        <v>1</v>
      </c>
      <c r="G28" s="82">
        <f>SUM(G19:G27)</f>
        <v>250000</v>
      </c>
      <c r="H28" s="83">
        <f t="shared" si="3"/>
        <v>1</v>
      </c>
      <c r="I28" s="82">
        <f>SUM(I19:I27)</f>
        <v>255000</v>
      </c>
      <c r="J28" s="83">
        <f t="shared" si="4"/>
        <v>1</v>
      </c>
      <c r="K28" s="82">
        <f>SUM(K19:K27)</f>
        <v>260100</v>
      </c>
      <c r="L28" s="83">
        <f t="shared" si="5"/>
        <v>1</v>
      </c>
      <c r="M28" s="82">
        <f>SUM(M19:M27)</f>
        <v>265302</v>
      </c>
      <c r="N28" s="83">
        <f t="shared" si="6"/>
        <v>1</v>
      </c>
      <c r="O28" s="82">
        <f>SUM(O19:O27)</f>
        <v>270608.03999999998</v>
      </c>
      <c r="P28" s="83">
        <f t="shared" si="7"/>
        <v>1</v>
      </c>
      <c r="Q28" s="82">
        <f>SUM(Q19:Q27)</f>
        <v>276020.20079999999</v>
      </c>
      <c r="R28" s="83">
        <f t="shared" si="8"/>
        <v>1</v>
      </c>
      <c r="S28" s="82">
        <f>SUM(S19:S27)</f>
        <v>281540.60481599998</v>
      </c>
      <c r="T28" s="83">
        <f t="shared" si="9"/>
        <v>1</v>
      </c>
      <c r="U28" s="82">
        <f>SUM(U19:U27)</f>
        <v>287171.41691231995</v>
      </c>
      <c r="V28" s="83">
        <f t="shared" si="10"/>
        <v>1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379</v>
      </c>
      <c r="B30" s="53"/>
      <c r="C30" s="203">
        <v>0.36</v>
      </c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380</v>
      </c>
      <c r="B31" s="35"/>
      <c r="C31" s="178">
        <f>$C$30*C14</f>
        <v>0</v>
      </c>
      <c r="D31" s="80">
        <f>IFERROR(C31/C$28,0)</f>
        <v>0</v>
      </c>
      <c r="E31" s="178">
        <f>$C$30*E14</f>
        <v>0</v>
      </c>
      <c r="F31" s="80">
        <f>IFERROR(E31/E$28,0)</f>
        <v>0</v>
      </c>
      <c r="G31" s="178">
        <f>$C$30*G14</f>
        <v>90000</v>
      </c>
      <c r="H31" s="80">
        <f>IFERROR(G31/G$28,0)</f>
        <v>0.36</v>
      </c>
      <c r="I31" s="178">
        <f>$C$30*I14</f>
        <v>91800</v>
      </c>
      <c r="J31" s="80">
        <f>IFERROR(I31/I$28,0)</f>
        <v>0.36</v>
      </c>
      <c r="K31" s="178">
        <f>$C$30*K14</f>
        <v>93636</v>
      </c>
      <c r="L31" s="80">
        <f>IFERROR(K31/K$28,0)</f>
        <v>0.36</v>
      </c>
      <c r="M31" s="178">
        <f>$C$30*M14</f>
        <v>95508.72</v>
      </c>
      <c r="N31" s="80">
        <f>IFERROR(M31/M$28,0)</f>
        <v>0.36</v>
      </c>
      <c r="O31" s="178">
        <f>$C$30*O14</f>
        <v>97418.89439999999</v>
      </c>
      <c r="P31" s="80">
        <f>IFERROR(O31/O$28,0)</f>
        <v>0.36</v>
      </c>
      <c r="Q31" s="178">
        <f>$C$30*Q14</f>
        <v>99367.272287999993</v>
      </c>
      <c r="R31" s="80">
        <f>IFERROR(Q31/Q$28,0)</f>
        <v>0.36</v>
      </c>
      <c r="S31" s="178">
        <f>$C$30*S14</f>
        <v>101354.61773375999</v>
      </c>
      <c r="T31" s="80">
        <f>IFERROR(S31/S$28,0)</f>
        <v>0.36</v>
      </c>
      <c r="U31" s="178">
        <f>$C$30*U14</f>
        <v>103381.71008843518</v>
      </c>
      <c r="V31" s="80">
        <f>IFERROR(U31/U$28,0)</f>
        <v>0.36</v>
      </c>
    </row>
    <row r="32" spans="1:24" ht="12.75" customHeight="1">
      <c r="A32" s="8" t="s">
        <v>381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382</v>
      </c>
      <c r="B33" s="53"/>
      <c r="C33" s="82">
        <f>SUM(C31:C32)</f>
        <v>0</v>
      </c>
      <c r="D33" s="83">
        <f>IFERROR(C33/C$28,0)</f>
        <v>0</v>
      </c>
      <c r="E33" s="82">
        <f>SUM(E31:E32)</f>
        <v>0</v>
      </c>
      <c r="F33" s="83">
        <f>IFERROR(E33/E$28,0)</f>
        <v>0</v>
      </c>
      <c r="G33" s="82">
        <f>SUM(G31:G32)</f>
        <v>90000</v>
      </c>
      <c r="H33" s="83">
        <f>IFERROR(G33/G$28,0)</f>
        <v>0.36</v>
      </c>
      <c r="I33" s="82">
        <f>SUM(I31:I32)</f>
        <v>91800</v>
      </c>
      <c r="J33" s="83">
        <f>IFERROR(I33/I$28,0)</f>
        <v>0.36</v>
      </c>
      <c r="K33" s="82">
        <f>SUM(K31:K32)</f>
        <v>93636</v>
      </c>
      <c r="L33" s="83">
        <f>IFERROR(K33/K$28,0)</f>
        <v>0.36</v>
      </c>
      <c r="M33" s="82">
        <f>SUM(M31:M32)</f>
        <v>95508.72</v>
      </c>
      <c r="N33" s="83">
        <f>IFERROR(M33/M$28,0)</f>
        <v>0.36</v>
      </c>
      <c r="O33" s="82">
        <f>SUM(O31:O32)</f>
        <v>97418.89439999999</v>
      </c>
      <c r="P33" s="83">
        <f>IFERROR(O33/O$28,0)</f>
        <v>0.36</v>
      </c>
      <c r="Q33" s="82">
        <f>SUM(Q31:Q32)</f>
        <v>99367.272287999993</v>
      </c>
      <c r="R33" s="83">
        <f>IFERROR(Q33/Q$28,0)</f>
        <v>0.36</v>
      </c>
      <c r="S33" s="82">
        <f>SUM(S31:S32)</f>
        <v>101354.61773375999</v>
      </c>
      <c r="T33" s="83">
        <f>IFERROR(S33/S$28,0)</f>
        <v>0.36</v>
      </c>
      <c r="U33" s="82">
        <f>SUM(U31:U32)</f>
        <v>103381.71008843518</v>
      </c>
      <c r="V33" s="83">
        <f>IFERROR(U33/U$28,0)</f>
        <v>0.36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383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384</v>
      </c>
      <c r="B36" s="35"/>
      <c r="C36" s="113"/>
      <c r="D36" s="80">
        <f t="shared" ref="D36:D46" si="11">IFERROR(C36/C$28,0)</f>
        <v>0</v>
      </c>
      <c r="E36" s="178"/>
      <c r="F36" s="80">
        <f t="shared" ref="F36:F46" si="12">IFERROR(E36/E$28,0)</f>
        <v>0</v>
      </c>
      <c r="G36" s="178"/>
      <c r="H36" s="80">
        <f t="shared" ref="H36:H46" si="13">IFERROR(G36/G$28,0)</f>
        <v>0</v>
      </c>
      <c r="I36" s="178"/>
      <c r="J36" s="80">
        <f t="shared" ref="J36:J46" si="14">IFERROR(I36/I$28,0)</f>
        <v>0</v>
      </c>
      <c r="K36" s="178"/>
      <c r="L36" s="80">
        <f t="shared" ref="L36:L46" si="15">IFERROR(K36/K$28,0)</f>
        <v>0</v>
      </c>
      <c r="M36" s="178"/>
      <c r="N36" s="80">
        <f t="shared" ref="N36:N46" si="16">IFERROR(M36/M$28,0)</f>
        <v>0</v>
      </c>
      <c r="O36" s="178"/>
      <c r="P36" s="80">
        <f t="shared" ref="P36:P46" si="17">IFERROR(O36/O$28,0)</f>
        <v>0</v>
      </c>
      <c r="Q36" s="178"/>
      <c r="R36" s="80">
        <f t="shared" ref="R36:R46" si="18">IFERROR(Q36/Q$28,0)</f>
        <v>0</v>
      </c>
      <c r="S36" s="178"/>
      <c r="T36" s="80">
        <f t="shared" ref="T36:T46" si="19">IFERROR(S36/S$28,0)</f>
        <v>0</v>
      </c>
      <c r="U36" s="178"/>
      <c r="V36" s="80">
        <f t="shared" ref="V36:V46" si="20">IFERROR(U36/U$28,0)</f>
        <v>0</v>
      </c>
    </row>
    <row r="37" spans="1:22" ht="12.75" customHeight="1">
      <c r="A37" s="2" t="s">
        <v>385</v>
      </c>
      <c r="B37" s="35"/>
      <c r="C37" s="113"/>
      <c r="D37" s="80">
        <f t="shared" si="11"/>
        <v>0</v>
      </c>
      <c r="E37" s="178">
        <f>+C37*1.112</f>
        <v>0</v>
      </c>
      <c r="F37" s="80">
        <f t="shared" si="12"/>
        <v>0</v>
      </c>
      <c r="G37" s="193">
        <v>70067.25</v>
      </c>
      <c r="H37" s="80">
        <f t="shared" si="13"/>
        <v>0.28026899999999999</v>
      </c>
      <c r="I37" s="193">
        <f>+G37*1.032</f>
        <v>72309.402000000002</v>
      </c>
      <c r="J37" s="80">
        <f t="shared" si="14"/>
        <v>0.28356628235294118</v>
      </c>
      <c r="K37" s="193">
        <f>+I37*1.02</f>
        <v>73755.59004000001</v>
      </c>
      <c r="L37" s="80">
        <f t="shared" si="15"/>
        <v>0.28356628235294123</v>
      </c>
      <c r="M37" s="193">
        <f>+K37*1.019</f>
        <v>75156.946250759996</v>
      </c>
      <c r="N37" s="80">
        <f t="shared" si="16"/>
        <v>0.28328827619377162</v>
      </c>
      <c r="O37" s="193">
        <f>+M37*1.02</f>
        <v>76660.085175775195</v>
      </c>
      <c r="P37" s="80">
        <f t="shared" si="17"/>
        <v>0.28328827619377162</v>
      </c>
      <c r="Q37" s="193">
        <f>+O37*1.01</f>
        <v>77426.686027532953</v>
      </c>
      <c r="R37" s="80">
        <f t="shared" si="18"/>
        <v>0.28051094015265621</v>
      </c>
      <c r="S37" s="193">
        <f>+Q37*1.01</f>
        <v>78200.952887808278</v>
      </c>
      <c r="T37" s="80">
        <f t="shared" si="19"/>
        <v>0.27776083289625764</v>
      </c>
      <c r="U37" s="193">
        <f>+S37*1.02</f>
        <v>79764.971945564452</v>
      </c>
      <c r="V37" s="80">
        <f t="shared" si="20"/>
        <v>0.27776083289625769</v>
      </c>
    </row>
    <row r="38" spans="1:22" ht="12.75" customHeight="1">
      <c r="A38" s="2" t="s">
        <v>386</v>
      </c>
      <c r="B38" s="35"/>
      <c r="C38" s="113"/>
      <c r="D38" s="80">
        <f t="shared" si="11"/>
        <v>0</v>
      </c>
      <c r="E38" s="178">
        <f t="shared" ref="E38:E39" si="21">+C38*1.112</f>
        <v>0</v>
      </c>
      <c r="F38" s="80">
        <f t="shared" si="12"/>
        <v>0</v>
      </c>
      <c r="G38" s="193">
        <v>25000</v>
      </c>
      <c r="H38" s="80">
        <f t="shared" si="13"/>
        <v>0.1</v>
      </c>
      <c r="I38" s="193">
        <f>+G38*1.032</f>
        <v>25800</v>
      </c>
      <c r="J38" s="80">
        <f t="shared" si="14"/>
        <v>0.1011764705882353</v>
      </c>
      <c r="K38" s="193">
        <f>+I38*1.025</f>
        <v>26444.999999999996</v>
      </c>
      <c r="L38" s="80">
        <f t="shared" si="15"/>
        <v>0.10167243367935408</v>
      </c>
      <c r="M38" s="193">
        <f>+K38*1.025</f>
        <v>27106.124999999993</v>
      </c>
      <c r="N38" s="80">
        <f t="shared" si="16"/>
        <v>0.10217082796209601</v>
      </c>
      <c r="O38" s="193">
        <f>+M38*1.025</f>
        <v>27783.77812499999</v>
      </c>
      <c r="P38" s="80">
        <f t="shared" si="17"/>
        <v>0.10267166535406705</v>
      </c>
      <c r="Q38" s="193">
        <f>+O38*1.01</f>
        <v>28061.61590624999</v>
      </c>
      <c r="R38" s="80">
        <f t="shared" si="18"/>
        <v>0.10166508039961542</v>
      </c>
      <c r="S38" s="193">
        <f>+Q38*1.02</f>
        <v>28622.84822437499</v>
      </c>
      <c r="T38" s="80">
        <f t="shared" si="19"/>
        <v>0.10166508039961542</v>
      </c>
      <c r="U38" s="193">
        <f>+S38*1.025</f>
        <v>29338.419429984362</v>
      </c>
      <c r="V38" s="80">
        <f t="shared" si="20"/>
        <v>0.10216343863686844</v>
      </c>
    </row>
    <row r="39" spans="1:22" ht="12.75" customHeight="1">
      <c r="A39" s="2" t="s">
        <v>387</v>
      </c>
      <c r="B39" s="35"/>
      <c r="C39" s="113"/>
      <c r="D39" s="80">
        <f t="shared" si="11"/>
        <v>0</v>
      </c>
      <c r="E39" s="178">
        <f t="shared" si="21"/>
        <v>0</v>
      </c>
      <c r="F39" s="80">
        <f t="shared" si="12"/>
        <v>0</v>
      </c>
      <c r="G39" s="193">
        <v>0</v>
      </c>
      <c r="H39" s="80">
        <f t="shared" si="13"/>
        <v>0</v>
      </c>
      <c r="I39" s="193">
        <f>+G39*1.032</f>
        <v>0</v>
      </c>
      <c r="J39" s="80">
        <f t="shared" si="14"/>
        <v>0</v>
      </c>
      <c r="K39" s="193">
        <f>+I39*1.025</f>
        <v>0</v>
      </c>
      <c r="L39" s="80">
        <f t="shared" si="15"/>
        <v>0</v>
      </c>
      <c r="M39" s="193">
        <f>+K39*1.025</f>
        <v>0</v>
      </c>
      <c r="N39" s="80">
        <f t="shared" si="16"/>
        <v>0</v>
      </c>
      <c r="O39" s="193">
        <f>+M39*1.025</f>
        <v>0</v>
      </c>
      <c r="P39" s="80">
        <f t="shared" si="17"/>
        <v>0</v>
      </c>
      <c r="Q39" s="193">
        <f>+O39*1.025</f>
        <v>0</v>
      </c>
      <c r="R39" s="80">
        <f t="shared" si="18"/>
        <v>0</v>
      </c>
      <c r="S39" s="193">
        <f>+Q39*1.025</f>
        <v>0</v>
      </c>
      <c r="T39" s="80">
        <f t="shared" si="19"/>
        <v>0</v>
      </c>
      <c r="U39" s="193">
        <f>+S39*1.025</f>
        <v>0</v>
      </c>
      <c r="V39" s="80">
        <f t="shared" si="20"/>
        <v>0</v>
      </c>
    </row>
    <row r="40" spans="1:22" ht="12.75" customHeight="1">
      <c r="A40" s="2" t="s">
        <v>388</v>
      </c>
      <c r="B40" s="35"/>
      <c r="C40" s="113">
        <f>C36*0.124</f>
        <v>0</v>
      </c>
      <c r="D40" s="80">
        <f t="shared" si="11"/>
        <v>0</v>
      </c>
      <c r="E40" s="113">
        <f>E36*0.124</f>
        <v>0</v>
      </c>
      <c r="F40" s="80">
        <f t="shared" si="12"/>
        <v>0</v>
      </c>
      <c r="G40" s="193">
        <v>0</v>
      </c>
      <c r="H40" s="80">
        <f t="shared" si="13"/>
        <v>0</v>
      </c>
      <c r="I40" s="193">
        <f>I36*0.124</f>
        <v>0</v>
      </c>
      <c r="J40" s="80">
        <f t="shared" si="14"/>
        <v>0</v>
      </c>
      <c r="K40" s="193">
        <f>K36*0.124</f>
        <v>0</v>
      </c>
      <c r="L40" s="80">
        <f t="shared" si="15"/>
        <v>0</v>
      </c>
      <c r="M40" s="193">
        <f>M36*0.124</f>
        <v>0</v>
      </c>
      <c r="N40" s="80">
        <f t="shared" si="16"/>
        <v>0</v>
      </c>
      <c r="O40" s="193">
        <f>O36*0.124</f>
        <v>0</v>
      </c>
      <c r="P40" s="80">
        <f t="shared" si="17"/>
        <v>0</v>
      </c>
      <c r="Q40" s="193">
        <f>Q36*0.124</f>
        <v>0</v>
      </c>
      <c r="R40" s="80">
        <f t="shared" si="18"/>
        <v>0</v>
      </c>
      <c r="S40" s="193">
        <f>S36*0.124</f>
        <v>0</v>
      </c>
      <c r="T40" s="80">
        <f t="shared" si="19"/>
        <v>0</v>
      </c>
      <c r="U40" s="193">
        <f>U36*0.124</f>
        <v>0</v>
      </c>
      <c r="V40" s="80">
        <f t="shared" si="20"/>
        <v>0</v>
      </c>
    </row>
    <row r="41" spans="1:22" ht="12.75" customHeight="1">
      <c r="A41" s="2" t="s">
        <v>389</v>
      </c>
      <c r="B41" s="35"/>
      <c r="C41" s="113">
        <f>C37*0.124</f>
        <v>0</v>
      </c>
      <c r="D41" s="80">
        <f t="shared" si="11"/>
        <v>0</v>
      </c>
      <c r="E41" s="113">
        <f>E37*0.124</f>
        <v>0</v>
      </c>
      <c r="F41" s="80">
        <f t="shared" si="12"/>
        <v>0</v>
      </c>
      <c r="G41" s="193">
        <f>+G37*0.124</f>
        <v>8688.3389999999999</v>
      </c>
      <c r="H41" s="80">
        <f t="shared" si="13"/>
        <v>3.4753355999999999E-2</v>
      </c>
      <c r="I41" s="193">
        <f>I37*0.124</f>
        <v>8966.3658479999995</v>
      </c>
      <c r="J41" s="80">
        <f t="shared" si="14"/>
        <v>3.5162219011764702E-2</v>
      </c>
      <c r="K41" s="193">
        <f>K37*0.124</f>
        <v>9145.693164960001</v>
      </c>
      <c r="L41" s="80">
        <f t="shared" si="15"/>
        <v>3.5162219011764709E-2</v>
      </c>
      <c r="M41" s="193">
        <f>M37*0.124</f>
        <v>9319.46133509424</v>
      </c>
      <c r="N41" s="80">
        <f t="shared" si="16"/>
        <v>3.5127746248027683E-2</v>
      </c>
      <c r="O41" s="193">
        <f>O37*0.124</f>
        <v>9505.8505617961237</v>
      </c>
      <c r="P41" s="80">
        <f t="shared" si="17"/>
        <v>3.5127746248027683E-2</v>
      </c>
      <c r="Q41" s="193">
        <f>Q37*0.124</f>
        <v>9600.9090674140862</v>
      </c>
      <c r="R41" s="80">
        <f t="shared" si="18"/>
        <v>3.4783356578929371E-2</v>
      </c>
      <c r="S41" s="193">
        <f>S37*0.124</f>
        <v>9696.9181580882268</v>
      </c>
      <c r="T41" s="80">
        <f t="shared" si="19"/>
        <v>3.4442343279135951E-2</v>
      </c>
      <c r="U41" s="193">
        <f>U37*0.124</f>
        <v>9890.8565212499925</v>
      </c>
      <c r="V41" s="80">
        <f t="shared" si="20"/>
        <v>3.4442343279135958E-2</v>
      </c>
    </row>
    <row r="42" spans="1:22" ht="12.75" customHeight="1">
      <c r="A42" s="2" t="s">
        <v>390</v>
      </c>
      <c r="B42" s="35"/>
      <c r="C42" s="113"/>
      <c r="D42" s="80">
        <f t="shared" si="11"/>
        <v>0</v>
      </c>
      <c r="E42" s="178"/>
      <c r="F42" s="80">
        <f t="shared" si="12"/>
        <v>0</v>
      </c>
      <c r="G42" s="193"/>
      <c r="H42" s="80">
        <f t="shared" si="13"/>
        <v>0</v>
      </c>
      <c r="I42" s="193"/>
      <c r="J42" s="80">
        <f t="shared" si="14"/>
        <v>0</v>
      </c>
      <c r="K42" s="193"/>
      <c r="L42" s="80">
        <f t="shared" si="15"/>
        <v>0</v>
      </c>
      <c r="M42" s="193"/>
      <c r="N42" s="80">
        <f t="shared" si="16"/>
        <v>0</v>
      </c>
      <c r="O42" s="193"/>
      <c r="P42" s="80">
        <f t="shared" si="17"/>
        <v>0</v>
      </c>
      <c r="Q42" s="193"/>
      <c r="R42" s="80">
        <f t="shared" si="18"/>
        <v>0</v>
      </c>
      <c r="S42" s="193"/>
      <c r="T42" s="80">
        <f t="shared" si="19"/>
        <v>0</v>
      </c>
      <c r="U42" s="193"/>
      <c r="V42" s="80">
        <f t="shared" si="20"/>
        <v>0</v>
      </c>
    </row>
    <row r="43" spans="1:22" ht="12.75" customHeight="1">
      <c r="A43" s="2" t="s">
        <v>391</v>
      </c>
      <c r="B43" s="35"/>
      <c r="C43" s="113"/>
      <c r="D43" s="80">
        <f t="shared" si="11"/>
        <v>0</v>
      </c>
      <c r="E43" s="178"/>
      <c r="F43" s="80">
        <f t="shared" si="12"/>
        <v>0</v>
      </c>
      <c r="G43" s="193"/>
      <c r="H43" s="80">
        <f t="shared" si="13"/>
        <v>0</v>
      </c>
      <c r="I43" s="193"/>
      <c r="J43" s="80">
        <f t="shared" si="14"/>
        <v>0</v>
      </c>
      <c r="K43" s="193"/>
      <c r="L43" s="80">
        <f t="shared" si="15"/>
        <v>0</v>
      </c>
      <c r="M43" s="193"/>
      <c r="N43" s="80">
        <f t="shared" si="16"/>
        <v>0</v>
      </c>
      <c r="O43" s="193"/>
      <c r="P43" s="80">
        <f t="shared" si="17"/>
        <v>0</v>
      </c>
      <c r="Q43" s="193"/>
      <c r="R43" s="80">
        <f t="shared" si="18"/>
        <v>0</v>
      </c>
      <c r="S43" s="193"/>
      <c r="T43" s="80">
        <f t="shared" si="19"/>
        <v>0</v>
      </c>
      <c r="U43" s="193"/>
      <c r="V43" s="80">
        <f t="shared" si="20"/>
        <v>0</v>
      </c>
    </row>
    <row r="44" spans="1:22" ht="12.75" customHeight="1">
      <c r="A44" s="2" t="s">
        <v>392</v>
      </c>
      <c r="B44" s="35"/>
      <c r="C44" s="113"/>
      <c r="D44" s="80">
        <f t="shared" si="11"/>
        <v>0</v>
      </c>
      <c r="E44" s="178"/>
      <c r="F44" s="80">
        <f t="shared" si="12"/>
        <v>0</v>
      </c>
      <c r="G44" s="193"/>
      <c r="H44" s="80">
        <f t="shared" si="13"/>
        <v>0</v>
      </c>
      <c r="I44" s="178"/>
      <c r="J44" s="80">
        <f t="shared" si="14"/>
        <v>0</v>
      </c>
      <c r="K44" s="178"/>
      <c r="L44" s="80">
        <f t="shared" si="15"/>
        <v>0</v>
      </c>
      <c r="M44" s="178"/>
      <c r="N44" s="80">
        <f t="shared" si="16"/>
        <v>0</v>
      </c>
      <c r="O44" s="178"/>
      <c r="P44" s="80">
        <f t="shared" si="17"/>
        <v>0</v>
      </c>
      <c r="Q44" s="178"/>
      <c r="R44" s="80">
        <f t="shared" si="18"/>
        <v>0</v>
      </c>
      <c r="S44" s="178"/>
      <c r="T44" s="80">
        <f t="shared" si="19"/>
        <v>0</v>
      </c>
      <c r="U44" s="178"/>
      <c r="V44" s="80">
        <f t="shared" si="20"/>
        <v>0</v>
      </c>
    </row>
    <row r="45" spans="1:22" ht="12.75" customHeight="1">
      <c r="A45" s="2" t="s">
        <v>393</v>
      </c>
      <c r="B45" s="35"/>
      <c r="C45" s="114">
        <f>SUM(C36:C39)*0.094</f>
        <v>0</v>
      </c>
      <c r="D45" s="80">
        <f t="shared" si="11"/>
        <v>0</v>
      </c>
      <c r="E45" s="114">
        <f>SUM(E36:E39)*0.094</f>
        <v>0</v>
      </c>
      <c r="F45" s="80">
        <f t="shared" si="12"/>
        <v>0</v>
      </c>
      <c r="G45" s="222">
        <v>11286.321029999999</v>
      </c>
      <c r="H45" s="80">
        <f t="shared" si="13"/>
        <v>4.5145284119999997E-2</v>
      </c>
      <c r="I45" s="114">
        <f>SUM(I36:I39)*0.094</f>
        <v>9222.2837880000006</v>
      </c>
      <c r="J45" s="80">
        <f t="shared" si="14"/>
        <v>3.6165818776470592E-2</v>
      </c>
      <c r="K45" s="114">
        <f>SUM(K36:K39)*0.094</f>
        <v>9418.8554637600009</v>
      </c>
      <c r="L45" s="80">
        <f t="shared" si="15"/>
        <v>3.6212439307035757E-2</v>
      </c>
      <c r="M45" s="114">
        <f>SUM(M36:M39)*0.094</f>
        <v>9612.7286975714396</v>
      </c>
      <c r="N45" s="80">
        <f t="shared" si="16"/>
        <v>3.6233155790651561E-2</v>
      </c>
      <c r="O45" s="114">
        <f>SUM(O36:O39)*0.094</f>
        <v>9817.7231502728664</v>
      </c>
      <c r="P45" s="80">
        <f t="shared" si="17"/>
        <v>3.6280234505496833E-2</v>
      </c>
      <c r="Q45" s="114">
        <f>SUM(Q36:Q39)*0.094</f>
        <v>9915.9003817755965</v>
      </c>
      <c r="R45" s="80">
        <f t="shared" si="18"/>
        <v>3.5924545931913535E-2</v>
      </c>
      <c r="S45" s="114">
        <f>SUM(S36:S39)*0.094</f>
        <v>10041.437304545227</v>
      </c>
      <c r="T45" s="80">
        <f t="shared" si="19"/>
        <v>3.5666035849812067E-2</v>
      </c>
      <c r="U45" s="114">
        <f>SUM(U36:U39)*0.094</f>
        <v>10255.718789301589</v>
      </c>
      <c r="V45" s="80">
        <f t="shared" si="20"/>
        <v>3.5712881524113858E-2</v>
      </c>
    </row>
    <row r="46" spans="1:22" ht="12.75" customHeight="1">
      <c r="A46" s="1" t="s">
        <v>394</v>
      </c>
      <c r="B46" s="53"/>
      <c r="C46" s="82">
        <f>SUM(C36:C45)</f>
        <v>0</v>
      </c>
      <c r="D46" s="83">
        <f t="shared" si="11"/>
        <v>0</v>
      </c>
      <c r="E46" s="82">
        <f>SUM(E36:E45)</f>
        <v>0</v>
      </c>
      <c r="F46" s="83">
        <f t="shared" si="12"/>
        <v>0</v>
      </c>
      <c r="G46" s="82">
        <f>SUM(G36:G45)</f>
        <v>115041.91003</v>
      </c>
      <c r="H46" s="83">
        <f t="shared" si="13"/>
        <v>0.46016764012</v>
      </c>
      <c r="I46" s="82">
        <f>SUM(I36:I45)</f>
        <v>116298.051636</v>
      </c>
      <c r="J46" s="83">
        <f t="shared" si="14"/>
        <v>0.45607079072941176</v>
      </c>
      <c r="K46" s="82">
        <f>SUM(K36:K45)</f>
        <v>118765.13866872001</v>
      </c>
      <c r="L46" s="83">
        <f t="shared" si="15"/>
        <v>0.45661337435109578</v>
      </c>
      <c r="M46" s="82">
        <f>SUM(M36:M45)</f>
        <v>121195.26128342567</v>
      </c>
      <c r="N46" s="83">
        <f t="shared" si="16"/>
        <v>0.45682000619454688</v>
      </c>
      <c r="O46" s="82">
        <f>SUM(O36:O45)</f>
        <v>123767.43701284417</v>
      </c>
      <c r="P46" s="83">
        <f t="shared" si="17"/>
        <v>0.45736792230136314</v>
      </c>
      <c r="Q46" s="82">
        <f>SUM(Q36:Q45)</f>
        <v>125005.11138297264</v>
      </c>
      <c r="R46" s="83">
        <f t="shared" si="18"/>
        <v>0.45288392306311459</v>
      </c>
      <c r="S46" s="82">
        <f>SUM(S36:S45)</f>
        <v>126562.15657481672</v>
      </c>
      <c r="T46" s="83">
        <f t="shared" si="19"/>
        <v>0.44953429242482107</v>
      </c>
      <c r="U46" s="82">
        <f>SUM(U36:U45)</f>
        <v>129249.96668610041</v>
      </c>
      <c r="V46" s="83">
        <f t="shared" si="20"/>
        <v>0.45007949633637601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366</v>
      </c>
      <c r="E50" s="86" t="str">
        <f>E6</f>
        <v>FY 2019-20</v>
      </c>
      <c r="F50" s="86" t="s">
        <v>366</v>
      </c>
      <c r="G50" s="86" t="str">
        <f>G6</f>
        <v>FY 2020-21</v>
      </c>
      <c r="H50" s="86" t="s">
        <v>366</v>
      </c>
      <c r="I50" s="86" t="str">
        <f>I6</f>
        <v>FY 2021-22</v>
      </c>
      <c r="J50" s="86" t="s">
        <v>366</v>
      </c>
      <c r="K50" s="86" t="str">
        <f>K6</f>
        <v>FY 2022-23</v>
      </c>
      <c r="L50" s="86" t="s">
        <v>366</v>
      </c>
      <c r="M50" s="86" t="str">
        <f>M6</f>
        <v>FY 2023-24</v>
      </c>
      <c r="N50" s="86" t="s">
        <v>366</v>
      </c>
      <c r="O50" s="86" t="str">
        <f>O6</f>
        <v>FY 2024-25</v>
      </c>
      <c r="P50" s="86" t="s">
        <v>366</v>
      </c>
      <c r="Q50" s="86" t="str">
        <f>Q6</f>
        <v>FY 2025-26</v>
      </c>
      <c r="R50" s="86" t="s">
        <v>366</v>
      </c>
      <c r="S50" s="86" t="str">
        <f>S6</f>
        <v>FY 2026-27</v>
      </c>
      <c r="T50" s="86" t="s">
        <v>366</v>
      </c>
      <c r="U50" s="86" t="str">
        <f>U6</f>
        <v>FY 2027-28</v>
      </c>
      <c r="V50" s="86" t="s">
        <v>366</v>
      </c>
    </row>
    <row r="51" spans="1:24" ht="12.75" customHeight="1">
      <c r="A51" s="1" t="s">
        <v>395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396</v>
      </c>
      <c r="B52" s="35"/>
      <c r="C52" s="178">
        <v>0</v>
      </c>
      <c r="D52" s="80">
        <f t="shared" ref="D52:D83" si="22">IFERROR(C52/C$28,0)</f>
        <v>0</v>
      </c>
      <c r="E52" s="178">
        <v>0</v>
      </c>
      <c r="F52" s="80">
        <f t="shared" ref="F52:F105" si="23">IFERROR(E52/E$28,0)</f>
        <v>0</v>
      </c>
      <c r="G52" s="178">
        <v>0</v>
      </c>
      <c r="H52" s="80">
        <f t="shared" ref="H52:H104" si="24">IFERROR(G52/G$28,0)</f>
        <v>0</v>
      </c>
      <c r="I52" s="178">
        <v>0</v>
      </c>
      <c r="J52" s="80">
        <f t="shared" ref="J52:J104" si="25">IFERROR(I52/I$28,0)</f>
        <v>0</v>
      </c>
      <c r="K52" s="178">
        <v>0</v>
      </c>
      <c r="L52" s="80">
        <f t="shared" ref="L52:L104" si="26">IFERROR(K52/K$28,0)</f>
        <v>0</v>
      </c>
      <c r="M52" s="178">
        <v>0</v>
      </c>
      <c r="N52" s="80">
        <f t="shared" ref="N52:N104" si="27">IFERROR(M52/M$28,0)</f>
        <v>0</v>
      </c>
      <c r="O52" s="178">
        <v>0</v>
      </c>
      <c r="P52" s="80">
        <f t="shared" ref="P52:P104" si="28">IFERROR(O52/O$28,0)</f>
        <v>0</v>
      </c>
      <c r="Q52" s="178">
        <v>0</v>
      </c>
      <c r="R52" s="80">
        <f t="shared" ref="R52:R104" si="29">IFERROR(Q52/Q$28,0)</f>
        <v>0</v>
      </c>
      <c r="S52" s="178">
        <v>0</v>
      </c>
      <c r="T52" s="80">
        <f t="shared" ref="T52:T104" si="30">IFERROR(S52/S$28,0)</f>
        <v>0</v>
      </c>
      <c r="U52" s="178">
        <v>0</v>
      </c>
      <c r="V52" s="80">
        <f t="shared" ref="V52:V105" si="31">IFERROR(U52/U$28,0)</f>
        <v>0</v>
      </c>
      <c r="X52" s="192"/>
    </row>
    <row r="53" spans="1:24" ht="12.75" customHeight="1">
      <c r="A53" s="2" t="s">
        <v>397</v>
      </c>
      <c r="B53" s="35"/>
      <c r="C53" s="178">
        <v>0</v>
      </c>
      <c r="D53" s="80">
        <f t="shared" si="22"/>
        <v>0</v>
      </c>
      <c r="E53" s="178">
        <v>0</v>
      </c>
      <c r="F53" s="80">
        <f t="shared" si="23"/>
        <v>0</v>
      </c>
      <c r="G53" s="178">
        <v>0</v>
      </c>
      <c r="H53" s="80">
        <f t="shared" si="24"/>
        <v>0</v>
      </c>
      <c r="I53" s="178">
        <v>0</v>
      </c>
      <c r="J53" s="80">
        <f t="shared" si="25"/>
        <v>0</v>
      </c>
      <c r="K53" s="178">
        <v>0</v>
      </c>
      <c r="L53" s="80">
        <f t="shared" si="26"/>
        <v>0</v>
      </c>
      <c r="M53" s="178">
        <v>0</v>
      </c>
      <c r="N53" s="80">
        <f t="shared" si="27"/>
        <v>0</v>
      </c>
      <c r="O53" s="178">
        <v>0</v>
      </c>
      <c r="P53" s="80">
        <f t="shared" si="28"/>
        <v>0</v>
      </c>
      <c r="Q53" s="178">
        <v>0</v>
      </c>
      <c r="R53" s="80">
        <f t="shared" si="29"/>
        <v>0</v>
      </c>
      <c r="S53" s="178">
        <v>0</v>
      </c>
      <c r="T53" s="80">
        <f t="shared" si="30"/>
        <v>0</v>
      </c>
      <c r="U53" s="178">
        <v>0</v>
      </c>
      <c r="V53" s="80">
        <f t="shared" si="31"/>
        <v>0</v>
      </c>
      <c r="X53" s="192"/>
    </row>
    <row r="54" spans="1:24" ht="12.75" customHeight="1">
      <c r="A54" s="2" t="s">
        <v>398</v>
      </c>
      <c r="B54" s="35"/>
      <c r="C54" s="178">
        <v>0</v>
      </c>
      <c r="D54" s="80">
        <f t="shared" si="22"/>
        <v>0</v>
      </c>
      <c r="E54" s="178">
        <v>0</v>
      </c>
      <c r="F54" s="80">
        <f t="shared" si="23"/>
        <v>0</v>
      </c>
      <c r="G54" s="178">
        <v>175</v>
      </c>
      <c r="H54" s="80">
        <f t="shared" si="24"/>
        <v>6.9999999999999999E-4</v>
      </c>
      <c r="I54" s="178">
        <v>178.5</v>
      </c>
      <c r="J54" s="80">
        <f t="shared" si="25"/>
        <v>6.9999999999999999E-4</v>
      </c>
      <c r="K54" s="178">
        <v>182.07000000000002</v>
      </c>
      <c r="L54" s="80">
        <f t="shared" si="26"/>
        <v>7.000000000000001E-4</v>
      </c>
      <c r="M54" s="178">
        <v>185.71140000000003</v>
      </c>
      <c r="N54" s="80">
        <f t="shared" si="27"/>
        <v>7.000000000000001E-4</v>
      </c>
      <c r="O54" s="178">
        <v>189.42562799999999</v>
      </c>
      <c r="P54" s="80">
        <f t="shared" si="28"/>
        <v>6.9999999999999999E-4</v>
      </c>
      <c r="Q54" s="178">
        <v>193.21414056</v>
      </c>
      <c r="R54" s="80">
        <f t="shared" si="29"/>
        <v>6.9999999999999999E-4</v>
      </c>
      <c r="S54" s="178">
        <v>197.07842337119999</v>
      </c>
      <c r="T54" s="80">
        <f t="shared" si="30"/>
        <v>6.9999999999999999E-4</v>
      </c>
      <c r="U54" s="178">
        <v>201.01999183862398</v>
      </c>
      <c r="V54" s="80">
        <f t="shared" si="31"/>
        <v>6.9999999999999999E-4</v>
      </c>
      <c r="X54" s="192"/>
    </row>
    <row r="55" spans="1:24" ht="12.75" customHeight="1">
      <c r="A55" s="2" t="s">
        <v>399</v>
      </c>
      <c r="B55" s="35"/>
      <c r="C55" s="178">
        <v>0</v>
      </c>
      <c r="D55" s="80">
        <f t="shared" si="22"/>
        <v>0</v>
      </c>
      <c r="E55" s="178">
        <v>0</v>
      </c>
      <c r="F55" s="80">
        <f t="shared" si="23"/>
        <v>0</v>
      </c>
      <c r="G55" s="178">
        <v>0</v>
      </c>
      <c r="H55" s="80">
        <f t="shared" si="24"/>
        <v>0</v>
      </c>
      <c r="I55" s="178">
        <v>0</v>
      </c>
      <c r="J55" s="80">
        <f t="shared" si="25"/>
        <v>0</v>
      </c>
      <c r="K55" s="178">
        <v>0</v>
      </c>
      <c r="L55" s="80">
        <f t="shared" si="26"/>
        <v>0</v>
      </c>
      <c r="M55" s="178">
        <v>0</v>
      </c>
      <c r="N55" s="80">
        <f t="shared" si="27"/>
        <v>0</v>
      </c>
      <c r="O55" s="178">
        <v>0</v>
      </c>
      <c r="P55" s="80">
        <f t="shared" si="28"/>
        <v>0</v>
      </c>
      <c r="Q55" s="178">
        <v>0</v>
      </c>
      <c r="R55" s="80">
        <f t="shared" si="29"/>
        <v>0</v>
      </c>
      <c r="S55" s="178">
        <v>0</v>
      </c>
      <c r="T55" s="80">
        <f t="shared" si="30"/>
        <v>0</v>
      </c>
      <c r="U55" s="178">
        <v>0</v>
      </c>
      <c r="V55" s="80">
        <f t="shared" si="31"/>
        <v>0</v>
      </c>
      <c r="X55" s="192"/>
    </row>
    <row r="56" spans="1:24" ht="12.75" customHeight="1">
      <c r="A56" s="2" t="s">
        <v>400</v>
      </c>
      <c r="B56" s="35"/>
      <c r="C56" s="178">
        <v>0</v>
      </c>
      <c r="D56" s="80">
        <f t="shared" si="22"/>
        <v>0</v>
      </c>
      <c r="E56" s="178">
        <v>0</v>
      </c>
      <c r="F56" s="80">
        <f t="shared" si="23"/>
        <v>0</v>
      </c>
      <c r="G56" s="178">
        <v>127.5</v>
      </c>
      <c r="H56" s="80">
        <f t="shared" si="24"/>
        <v>5.1000000000000004E-4</v>
      </c>
      <c r="I56" s="178">
        <v>130.05000000000001</v>
      </c>
      <c r="J56" s="80">
        <f t="shared" si="25"/>
        <v>5.1000000000000004E-4</v>
      </c>
      <c r="K56" s="178">
        <v>132.65100000000001</v>
      </c>
      <c r="L56" s="80">
        <f t="shared" si="26"/>
        <v>5.1000000000000004E-4</v>
      </c>
      <c r="M56" s="178">
        <v>135.30402000000001</v>
      </c>
      <c r="N56" s="80">
        <f t="shared" si="27"/>
        <v>5.1000000000000004E-4</v>
      </c>
      <c r="O56" s="178">
        <v>138.0101004</v>
      </c>
      <c r="P56" s="80">
        <f t="shared" si="28"/>
        <v>5.1000000000000004E-4</v>
      </c>
      <c r="Q56" s="178">
        <v>140.77030240799999</v>
      </c>
      <c r="R56" s="80">
        <f t="shared" si="29"/>
        <v>5.1000000000000004E-4</v>
      </c>
      <c r="S56" s="178">
        <v>143.58570845615998</v>
      </c>
      <c r="T56" s="80">
        <f t="shared" si="30"/>
        <v>5.0999999999999993E-4</v>
      </c>
      <c r="U56" s="178">
        <v>146.45742262528319</v>
      </c>
      <c r="V56" s="80">
        <f t="shared" si="31"/>
        <v>5.1000000000000004E-4</v>
      </c>
      <c r="X56" s="192"/>
    </row>
    <row r="57" spans="1:24" ht="12.75" customHeight="1">
      <c r="A57" s="2" t="s">
        <v>401</v>
      </c>
      <c r="B57" s="35"/>
      <c r="C57" s="178">
        <v>0</v>
      </c>
      <c r="D57" s="80">
        <f t="shared" si="22"/>
        <v>0</v>
      </c>
      <c r="E57" s="178">
        <v>0</v>
      </c>
      <c r="F57" s="80">
        <f t="shared" si="23"/>
        <v>0</v>
      </c>
      <c r="G57" s="178">
        <v>0</v>
      </c>
      <c r="H57" s="80">
        <f t="shared" si="24"/>
        <v>0</v>
      </c>
      <c r="I57" s="178">
        <v>0</v>
      </c>
      <c r="J57" s="80">
        <f t="shared" si="25"/>
        <v>0</v>
      </c>
      <c r="K57" s="178">
        <v>0</v>
      </c>
      <c r="L57" s="80">
        <f t="shared" si="26"/>
        <v>0</v>
      </c>
      <c r="M57" s="178">
        <v>0</v>
      </c>
      <c r="N57" s="80">
        <f t="shared" si="27"/>
        <v>0</v>
      </c>
      <c r="O57" s="178">
        <v>0</v>
      </c>
      <c r="P57" s="80">
        <f t="shared" si="28"/>
        <v>0</v>
      </c>
      <c r="Q57" s="178">
        <v>0</v>
      </c>
      <c r="R57" s="80">
        <f t="shared" si="29"/>
        <v>0</v>
      </c>
      <c r="S57" s="178">
        <v>0</v>
      </c>
      <c r="T57" s="80">
        <f t="shared" si="30"/>
        <v>0</v>
      </c>
      <c r="U57" s="178">
        <v>0</v>
      </c>
      <c r="V57" s="80">
        <f t="shared" si="31"/>
        <v>0</v>
      </c>
      <c r="X57" s="192"/>
    </row>
    <row r="58" spans="1:24" ht="12.75" customHeight="1">
      <c r="A58" s="2" t="s">
        <v>402</v>
      </c>
      <c r="B58" s="35"/>
      <c r="C58" s="178">
        <v>0</v>
      </c>
      <c r="D58" s="80">
        <f t="shared" si="22"/>
        <v>0</v>
      </c>
      <c r="E58" s="178">
        <v>0</v>
      </c>
      <c r="F58" s="80">
        <f t="shared" si="23"/>
        <v>0</v>
      </c>
      <c r="G58" s="178">
        <v>0</v>
      </c>
      <c r="H58" s="80">
        <f t="shared" si="24"/>
        <v>0</v>
      </c>
      <c r="I58" s="178">
        <v>0</v>
      </c>
      <c r="J58" s="80">
        <f t="shared" si="25"/>
        <v>0</v>
      </c>
      <c r="K58" s="178">
        <v>0</v>
      </c>
      <c r="L58" s="80">
        <f t="shared" si="26"/>
        <v>0</v>
      </c>
      <c r="M58" s="178">
        <v>0</v>
      </c>
      <c r="N58" s="80">
        <f t="shared" si="27"/>
        <v>0</v>
      </c>
      <c r="O58" s="178">
        <v>0</v>
      </c>
      <c r="P58" s="80">
        <f t="shared" si="28"/>
        <v>0</v>
      </c>
      <c r="Q58" s="178">
        <v>0</v>
      </c>
      <c r="R58" s="80">
        <f t="shared" si="29"/>
        <v>0</v>
      </c>
      <c r="S58" s="178">
        <v>0</v>
      </c>
      <c r="T58" s="80">
        <f t="shared" si="30"/>
        <v>0</v>
      </c>
      <c r="U58" s="178">
        <v>0</v>
      </c>
      <c r="V58" s="80">
        <f t="shared" si="31"/>
        <v>0</v>
      </c>
      <c r="X58" s="192"/>
    </row>
    <row r="59" spans="1:24" ht="12.75" customHeight="1">
      <c r="A59" s="2" t="s">
        <v>403</v>
      </c>
      <c r="B59" s="35"/>
      <c r="C59" s="178"/>
      <c r="D59" s="80">
        <f t="shared" si="22"/>
        <v>0</v>
      </c>
      <c r="E59" s="178"/>
      <c r="F59" s="80">
        <f t="shared" si="23"/>
        <v>0</v>
      </c>
      <c r="G59" s="178"/>
      <c r="H59" s="80">
        <f t="shared" si="24"/>
        <v>0</v>
      </c>
      <c r="I59" s="178"/>
      <c r="J59" s="80">
        <f t="shared" si="25"/>
        <v>0</v>
      </c>
      <c r="K59" s="178"/>
      <c r="L59" s="80">
        <f t="shared" si="26"/>
        <v>0</v>
      </c>
      <c r="M59" s="178"/>
      <c r="N59" s="80">
        <f t="shared" si="27"/>
        <v>0</v>
      </c>
      <c r="O59" s="178"/>
      <c r="P59" s="80">
        <f t="shared" si="28"/>
        <v>0</v>
      </c>
      <c r="Q59" s="178"/>
      <c r="R59" s="80">
        <f t="shared" si="29"/>
        <v>0</v>
      </c>
      <c r="S59" s="178"/>
      <c r="T59" s="80">
        <f t="shared" si="30"/>
        <v>0</v>
      </c>
      <c r="U59" s="178"/>
      <c r="V59" s="80">
        <f t="shared" si="31"/>
        <v>0</v>
      </c>
      <c r="X59" s="192"/>
    </row>
    <row r="60" spans="1:24" ht="12.75" customHeight="1">
      <c r="A60" s="2" t="s">
        <v>404</v>
      </c>
      <c r="B60" s="35"/>
      <c r="C60" s="178">
        <v>0</v>
      </c>
      <c r="D60" s="80">
        <f t="shared" si="22"/>
        <v>0</v>
      </c>
      <c r="E60" s="178">
        <v>0</v>
      </c>
      <c r="F60" s="80">
        <f t="shared" si="23"/>
        <v>0</v>
      </c>
      <c r="G60" s="178">
        <v>0</v>
      </c>
      <c r="H60" s="80">
        <f t="shared" si="24"/>
        <v>0</v>
      </c>
      <c r="I60" s="178">
        <v>0</v>
      </c>
      <c r="J60" s="80">
        <f t="shared" si="25"/>
        <v>0</v>
      </c>
      <c r="K60" s="178">
        <v>0</v>
      </c>
      <c r="L60" s="80">
        <f t="shared" si="26"/>
        <v>0</v>
      </c>
      <c r="M60" s="178">
        <v>0</v>
      </c>
      <c r="N60" s="80">
        <f t="shared" si="27"/>
        <v>0</v>
      </c>
      <c r="O60" s="178">
        <v>0</v>
      </c>
      <c r="P60" s="80">
        <f t="shared" si="28"/>
        <v>0</v>
      </c>
      <c r="Q60" s="178">
        <v>0</v>
      </c>
      <c r="R60" s="80">
        <f t="shared" si="29"/>
        <v>0</v>
      </c>
      <c r="S60" s="178">
        <v>0</v>
      </c>
      <c r="T60" s="80">
        <f t="shared" si="30"/>
        <v>0</v>
      </c>
      <c r="U60" s="178">
        <v>0</v>
      </c>
      <c r="V60" s="80">
        <f t="shared" si="31"/>
        <v>0</v>
      </c>
      <c r="X60" s="192"/>
    </row>
    <row r="61" spans="1:24" ht="12.75" customHeight="1">
      <c r="A61" s="2" t="s">
        <v>405</v>
      </c>
      <c r="B61" s="35"/>
      <c r="C61" s="178">
        <v>0</v>
      </c>
      <c r="D61" s="80">
        <f t="shared" si="22"/>
        <v>0</v>
      </c>
      <c r="E61" s="178">
        <v>0</v>
      </c>
      <c r="F61" s="80">
        <f t="shared" si="23"/>
        <v>0</v>
      </c>
      <c r="G61" s="178">
        <v>0</v>
      </c>
      <c r="H61" s="80">
        <f t="shared" si="24"/>
        <v>0</v>
      </c>
      <c r="I61" s="178">
        <v>0</v>
      </c>
      <c r="J61" s="80">
        <f t="shared" si="25"/>
        <v>0</v>
      </c>
      <c r="K61" s="178">
        <v>0</v>
      </c>
      <c r="L61" s="80">
        <f t="shared" si="26"/>
        <v>0</v>
      </c>
      <c r="M61" s="178">
        <v>0</v>
      </c>
      <c r="N61" s="80">
        <f t="shared" si="27"/>
        <v>0</v>
      </c>
      <c r="O61" s="178">
        <v>0</v>
      </c>
      <c r="P61" s="80">
        <f t="shared" si="28"/>
        <v>0</v>
      </c>
      <c r="Q61" s="178">
        <v>0</v>
      </c>
      <c r="R61" s="80">
        <f t="shared" si="29"/>
        <v>0</v>
      </c>
      <c r="S61" s="178">
        <v>0</v>
      </c>
      <c r="T61" s="80">
        <f t="shared" si="30"/>
        <v>0</v>
      </c>
      <c r="U61" s="178">
        <v>0</v>
      </c>
      <c r="V61" s="80">
        <f t="shared" si="31"/>
        <v>0</v>
      </c>
      <c r="X61" s="192"/>
    </row>
    <row r="62" spans="1:24" ht="12.75" customHeight="1">
      <c r="A62" s="2" t="s">
        <v>406</v>
      </c>
      <c r="B62" s="35"/>
      <c r="C62" s="178">
        <v>0</v>
      </c>
      <c r="D62" s="80">
        <f t="shared" si="22"/>
        <v>0</v>
      </c>
      <c r="E62" s="178">
        <v>0</v>
      </c>
      <c r="F62" s="80">
        <f t="shared" si="23"/>
        <v>0</v>
      </c>
      <c r="G62" s="178">
        <v>0</v>
      </c>
      <c r="H62" s="80">
        <f t="shared" si="24"/>
        <v>0</v>
      </c>
      <c r="I62" s="178">
        <v>0</v>
      </c>
      <c r="J62" s="80">
        <f t="shared" si="25"/>
        <v>0</v>
      </c>
      <c r="K62" s="178">
        <v>0</v>
      </c>
      <c r="L62" s="80">
        <f t="shared" si="26"/>
        <v>0</v>
      </c>
      <c r="M62" s="178">
        <v>0</v>
      </c>
      <c r="N62" s="80">
        <f t="shared" si="27"/>
        <v>0</v>
      </c>
      <c r="O62" s="178">
        <v>0</v>
      </c>
      <c r="P62" s="80">
        <f t="shared" si="28"/>
        <v>0</v>
      </c>
      <c r="Q62" s="178">
        <v>0</v>
      </c>
      <c r="R62" s="80">
        <f t="shared" si="29"/>
        <v>0</v>
      </c>
      <c r="S62" s="178">
        <v>0</v>
      </c>
      <c r="T62" s="80">
        <f t="shared" si="30"/>
        <v>0</v>
      </c>
      <c r="U62" s="178">
        <v>0</v>
      </c>
      <c r="V62" s="80">
        <f t="shared" si="31"/>
        <v>0</v>
      </c>
      <c r="X62" s="192"/>
    </row>
    <row r="63" spans="1:24" ht="12.75" customHeight="1">
      <c r="A63" s="2" t="s">
        <v>407</v>
      </c>
      <c r="B63" s="35"/>
      <c r="C63" s="178">
        <v>0</v>
      </c>
      <c r="D63" s="80">
        <f t="shared" si="22"/>
        <v>0</v>
      </c>
      <c r="E63" s="178">
        <v>0</v>
      </c>
      <c r="F63" s="80">
        <f t="shared" si="23"/>
        <v>0</v>
      </c>
      <c r="G63" s="178">
        <v>3053.6540652309232</v>
      </c>
      <c r="H63" s="80">
        <f t="shared" si="24"/>
        <v>1.2214616260923693E-2</v>
      </c>
      <c r="I63" s="178">
        <v>3122.7250632047735</v>
      </c>
      <c r="J63" s="80">
        <f t="shared" si="25"/>
        <v>1.224598064001872E-2</v>
      </c>
      <c r="K63" s="178">
        <v>3175.3629577463221</v>
      </c>
      <c r="L63" s="80">
        <f t="shared" si="26"/>
        <v>1.2208238976341108E-2</v>
      </c>
      <c r="M63" s="178">
        <v>3244.3306297393333</v>
      </c>
      <c r="N63" s="80">
        <f t="shared" si="27"/>
        <v>1.2228820852233806E-2</v>
      </c>
      <c r="O63" s="178">
        <v>3316.0395507198182</v>
      </c>
      <c r="P63" s="80">
        <f t="shared" si="28"/>
        <v>1.2254031885822086E-2</v>
      </c>
      <c r="Q63" s="178">
        <v>3392.293739032722</v>
      </c>
      <c r="R63" s="80">
        <f t="shared" si="29"/>
        <v>1.2290019821740243E-2</v>
      </c>
      <c r="S63" s="178">
        <v>3470.0242248180703</v>
      </c>
      <c r="T63" s="80">
        <f t="shared" si="30"/>
        <v>1.2325128828525087E-2</v>
      </c>
      <c r="U63" s="178">
        <v>3550.1985001514586</v>
      </c>
      <c r="V63" s="80">
        <f t="shared" si="31"/>
        <v>1.2362645761626812E-2</v>
      </c>
      <c r="X63" s="192"/>
    </row>
    <row r="64" spans="1:24" ht="12.75" customHeight="1">
      <c r="A64" s="2" t="s">
        <v>408</v>
      </c>
      <c r="B64" s="35"/>
      <c r="C64" s="178">
        <v>0</v>
      </c>
      <c r="D64" s="80">
        <f t="shared" si="22"/>
        <v>0</v>
      </c>
      <c r="E64" s="178">
        <v>0</v>
      </c>
      <c r="F64" s="80">
        <f t="shared" si="23"/>
        <v>0</v>
      </c>
      <c r="G64" s="178">
        <v>1199.9999999999998</v>
      </c>
      <c r="H64" s="80">
        <f t="shared" si="24"/>
        <v>4.7999999999999987E-3</v>
      </c>
      <c r="I64" s="178">
        <v>1223.9999999999998</v>
      </c>
      <c r="J64" s="80">
        <f t="shared" si="25"/>
        <v>4.7999999999999987E-3</v>
      </c>
      <c r="K64" s="178">
        <v>1248.48</v>
      </c>
      <c r="L64" s="80">
        <f t="shared" si="26"/>
        <v>4.8000000000000004E-3</v>
      </c>
      <c r="M64" s="178">
        <v>1273.4495999999999</v>
      </c>
      <c r="N64" s="80">
        <f t="shared" si="27"/>
        <v>4.7999999999999996E-3</v>
      </c>
      <c r="O64" s="178">
        <v>1298.918592</v>
      </c>
      <c r="P64" s="80">
        <f t="shared" si="28"/>
        <v>4.8000000000000004E-3</v>
      </c>
      <c r="Q64" s="178">
        <v>1324.8969638399997</v>
      </c>
      <c r="R64" s="80">
        <f t="shared" si="29"/>
        <v>4.7999999999999987E-3</v>
      </c>
      <c r="S64" s="178">
        <v>1351.3949031167997</v>
      </c>
      <c r="T64" s="80">
        <f t="shared" si="30"/>
        <v>4.7999999999999996E-3</v>
      </c>
      <c r="U64" s="178">
        <v>1378.4228011791356</v>
      </c>
      <c r="V64" s="80">
        <f t="shared" si="31"/>
        <v>4.7999999999999996E-3</v>
      </c>
      <c r="X64" s="192"/>
    </row>
    <row r="65" spans="1:24" ht="12.75" customHeight="1">
      <c r="A65" s="2" t="s">
        <v>409</v>
      </c>
      <c r="B65" s="35"/>
      <c r="C65" s="178">
        <v>0</v>
      </c>
      <c r="D65" s="80">
        <f t="shared" si="22"/>
        <v>0</v>
      </c>
      <c r="E65" s="178">
        <v>0</v>
      </c>
      <c r="F65" s="80">
        <f t="shared" si="23"/>
        <v>0</v>
      </c>
      <c r="G65" s="178">
        <v>125</v>
      </c>
      <c r="H65" s="80">
        <f t="shared" si="24"/>
        <v>5.0000000000000001E-4</v>
      </c>
      <c r="I65" s="178">
        <v>127.5</v>
      </c>
      <c r="J65" s="80">
        <f t="shared" si="25"/>
        <v>5.0000000000000001E-4</v>
      </c>
      <c r="K65" s="178">
        <v>130.05000000000001</v>
      </c>
      <c r="L65" s="80">
        <f t="shared" si="26"/>
        <v>5.0000000000000001E-4</v>
      </c>
      <c r="M65" s="178">
        <v>132.65100000000001</v>
      </c>
      <c r="N65" s="80">
        <f t="shared" si="27"/>
        <v>5.0000000000000001E-4</v>
      </c>
      <c r="O65" s="178">
        <v>135.30402000000001</v>
      </c>
      <c r="P65" s="80">
        <f t="shared" si="28"/>
        <v>5.0000000000000012E-4</v>
      </c>
      <c r="Q65" s="178">
        <v>138.0101004</v>
      </c>
      <c r="R65" s="80">
        <f t="shared" si="29"/>
        <v>5.0000000000000001E-4</v>
      </c>
      <c r="S65" s="178">
        <v>140.77030240799999</v>
      </c>
      <c r="T65" s="80">
        <f t="shared" si="30"/>
        <v>5.0000000000000001E-4</v>
      </c>
      <c r="U65" s="178">
        <v>143.58570845615998</v>
      </c>
      <c r="V65" s="80">
        <f t="shared" si="31"/>
        <v>5.0000000000000001E-4</v>
      </c>
      <c r="X65" s="192"/>
    </row>
    <row r="66" spans="1:24" ht="12.75" customHeight="1">
      <c r="A66" s="2" t="s">
        <v>410</v>
      </c>
      <c r="B66" s="35"/>
      <c r="C66" s="178">
        <v>0</v>
      </c>
      <c r="D66" s="80">
        <f t="shared" si="22"/>
        <v>0</v>
      </c>
      <c r="E66" s="178">
        <v>0</v>
      </c>
      <c r="F66" s="80">
        <f t="shared" si="23"/>
        <v>0</v>
      </c>
      <c r="G66" s="178">
        <v>700</v>
      </c>
      <c r="H66" s="80">
        <f t="shared" si="24"/>
        <v>2.8E-3</v>
      </c>
      <c r="I66" s="178">
        <v>714</v>
      </c>
      <c r="J66" s="80">
        <f t="shared" si="25"/>
        <v>2.8E-3</v>
      </c>
      <c r="K66" s="178">
        <v>728.28000000000009</v>
      </c>
      <c r="L66" s="80">
        <f t="shared" si="26"/>
        <v>2.8000000000000004E-3</v>
      </c>
      <c r="M66" s="178">
        <v>742.8456000000001</v>
      </c>
      <c r="N66" s="80">
        <f t="shared" si="27"/>
        <v>2.8000000000000004E-3</v>
      </c>
      <c r="O66" s="178">
        <v>757.70251199999996</v>
      </c>
      <c r="P66" s="80">
        <f t="shared" si="28"/>
        <v>2.8E-3</v>
      </c>
      <c r="Q66" s="178">
        <v>772.85656224000002</v>
      </c>
      <c r="R66" s="80">
        <f t="shared" si="29"/>
        <v>2.8E-3</v>
      </c>
      <c r="S66" s="178">
        <v>788.31369348479996</v>
      </c>
      <c r="T66" s="80">
        <f t="shared" si="30"/>
        <v>2.8E-3</v>
      </c>
      <c r="U66" s="178">
        <v>804.07996735449592</v>
      </c>
      <c r="V66" s="80">
        <f t="shared" si="31"/>
        <v>2.8E-3</v>
      </c>
      <c r="X66" s="192"/>
    </row>
    <row r="67" spans="1:24" ht="12.75" customHeight="1">
      <c r="A67" s="2" t="s">
        <v>411</v>
      </c>
      <c r="B67" s="35"/>
      <c r="C67" s="178">
        <v>0</v>
      </c>
      <c r="D67" s="80">
        <f t="shared" si="22"/>
        <v>0</v>
      </c>
      <c r="E67" s="178">
        <v>0</v>
      </c>
      <c r="F67" s="80">
        <f t="shared" si="23"/>
        <v>0</v>
      </c>
      <c r="G67" s="178">
        <v>3749.9999999999995</v>
      </c>
      <c r="H67" s="80">
        <f t="shared" si="24"/>
        <v>1.4999999999999998E-2</v>
      </c>
      <c r="I67" s="178">
        <v>3824.9999999999995</v>
      </c>
      <c r="J67" s="80">
        <f t="shared" si="25"/>
        <v>1.4999999999999998E-2</v>
      </c>
      <c r="K67" s="178">
        <v>3901.5</v>
      </c>
      <c r="L67" s="80">
        <f t="shared" si="26"/>
        <v>1.4999999999999999E-2</v>
      </c>
      <c r="M67" s="178">
        <v>3979.53</v>
      </c>
      <c r="N67" s="80">
        <f t="shared" si="27"/>
        <v>1.5000000000000001E-2</v>
      </c>
      <c r="O67" s="178">
        <v>4059.1205999999997</v>
      </c>
      <c r="P67" s="80">
        <f t="shared" si="28"/>
        <v>1.4999999999999999E-2</v>
      </c>
      <c r="Q67" s="178">
        <v>4140.3030119999994</v>
      </c>
      <c r="R67" s="80">
        <f t="shared" si="29"/>
        <v>1.4999999999999998E-2</v>
      </c>
      <c r="S67" s="178">
        <v>4223.1090722399995</v>
      </c>
      <c r="T67" s="80">
        <f t="shared" si="30"/>
        <v>1.4999999999999999E-2</v>
      </c>
      <c r="U67" s="178">
        <v>4307.5712536847996</v>
      </c>
      <c r="V67" s="80">
        <f t="shared" si="31"/>
        <v>1.5000000000000001E-2</v>
      </c>
      <c r="X67" s="192"/>
    </row>
    <row r="68" spans="1:24" ht="12.75" customHeight="1">
      <c r="A68" s="2" t="s">
        <v>412</v>
      </c>
      <c r="B68" s="35"/>
      <c r="C68" s="178">
        <v>0</v>
      </c>
      <c r="D68" s="80">
        <f t="shared" si="22"/>
        <v>0</v>
      </c>
      <c r="E68" s="178">
        <v>0</v>
      </c>
      <c r="F68" s="80">
        <f t="shared" si="23"/>
        <v>0</v>
      </c>
      <c r="G68" s="178">
        <v>424.99999999999994</v>
      </c>
      <c r="H68" s="80">
        <f t="shared" si="24"/>
        <v>1.6999999999999997E-3</v>
      </c>
      <c r="I68" s="178">
        <v>433.49999999999989</v>
      </c>
      <c r="J68" s="80">
        <f t="shared" si="25"/>
        <v>1.6999999999999995E-3</v>
      </c>
      <c r="K68" s="178">
        <v>442.17</v>
      </c>
      <c r="L68" s="80">
        <f t="shared" si="26"/>
        <v>1.7000000000000001E-3</v>
      </c>
      <c r="M68" s="178">
        <v>451.01339999999999</v>
      </c>
      <c r="N68" s="80">
        <f t="shared" si="27"/>
        <v>1.6999999999999999E-3</v>
      </c>
      <c r="O68" s="178">
        <v>460.03366799999998</v>
      </c>
      <c r="P68" s="80">
        <f t="shared" si="28"/>
        <v>1.7000000000000001E-3</v>
      </c>
      <c r="Q68" s="178">
        <v>469.23434135999997</v>
      </c>
      <c r="R68" s="80">
        <f t="shared" si="29"/>
        <v>1.6999999999999999E-3</v>
      </c>
      <c r="S68" s="178">
        <v>478.61902818719989</v>
      </c>
      <c r="T68" s="80">
        <f t="shared" si="30"/>
        <v>1.6999999999999997E-3</v>
      </c>
      <c r="U68" s="178">
        <v>488.19140875094388</v>
      </c>
      <c r="V68" s="80">
        <f t="shared" si="31"/>
        <v>1.6999999999999999E-3</v>
      </c>
      <c r="X68" s="192"/>
    </row>
    <row r="69" spans="1:24" ht="12.75" customHeight="1">
      <c r="A69" s="2" t="s">
        <v>413</v>
      </c>
      <c r="B69" s="35"/>
      <c r="C69" s="178">
        <v>0</v>
      </c>
      <c r="D69" s="80">
        <f t="shared" si="22"/>
        <v>0</v>
      </c>
      <c r="E69" s="178">
        <v>0</v>
      </c>
      <c r="F69" s="80">
        <f t="shared" si="23"/>
        <v>0</v>
      </c>
      <c r="G69" s="178">
        <v>0</v>
      </c>
      <c r="H69" s="80">
        <f t="shared" si="24"/>
        <v>0</v>
      </c>
      <c r="I69" s="178">
        <v>0</v>
      </c>
      <c r="J69" s="80">
        <f t="shared" si="25"/>
        <v>0</v>
      </c>
      <c r="K69" s="178">
        <v>0</v>
      </c>
      <c r="L69" s="80">
        <f t="shared" si="26"/>
        <v>0</v>
      </c>
      <c r="M69" s="178">
        <v>0</v>
      </c>
      <c r="N69" s="80">
        <f t="shared" si="27"/>
        <v>0</v>
      </c>
      <c r="O69" s="178">
        <v>0</v>
      </c>
      <c r="P69" s="80">
        <f t="shared" si="28"/>
        <v>0</v>
      </c>
      <c r="Q69" s="178">
        <v>0</v>
      </c>
      <c r="R69" s="80">
        <f t="shared" si="29"/>
        <v>0</v>
      </c>
      <c r="S69" s="178">
        <v>0</v>
      </c>
      <c r="T69" s="80">
        <f t="shared" si="30"/>
        <v>0</v>
      </c>
      <c r="U69" s="178">
        <v>0</v>
      </c>
      <c r="V69" s="80">
        <f t="shared" si="31"/>
        <v>0</v>
      </c>
      <c r="X69" s="192"/>
    </row>
    <row r="70" spans="1:24" ht="12.75" customHeight="1">
      <c r="A70" s="2" t="s">
        <v>414</v>
      </c>
      <c r="B70" s="35"/>
      <c r="C70" s="178">
        <v>0</v>
      </c>
      <c r="D70" s="80">
        <f t="shared" si="22"/>
        <v>0</v>
      </c>
      <c r="E70" s="178">
        <v>0</v>
      </c>
      <c r="F70" s="80">
        <f t="shared" si="23"/>
        <v>0</v>
      </c>
      <c r="G70" s="178">
        <v>25</v>
      </c>
      <c r="H70" s="80">
        <f t="shared" si="24"/>
        <v>1E-4</v>
      </c>
      <c r="I70" s="178">
        <v>25.5</v>
      </c>
      <c r="J70" s="80">
        <f t="shared" si="25"/>
        <v>1E-4</v>
      </c>
      <c r="K70" s="178">
        <v>26.01</v>
      </c>
      <c r="L70" s="80">
        <f t="shared" si="26"/>
        <v>1E-4</v>
      </c>
      <c r="M70" s="178">
        <v>26.530200000000001</v>
      </c>
      <c r="N70" s="80">
        <f t="shared" si="27"/>
        <v>1E-4</v>
      </c>
      <c r="O70" s="178">
        <v>27.060804000000001</v>
      </c>
      <c r="P70" s="80">
        <f t="shared" si="28"/>
        <v>1E-4</v>
      </c>
      <c r="Q70" s="178">
        <v>27.602020079999999</v>
      </c>
      <c r="R70" s="80">
        <f t="shared" si="29"/>
        <v>1E-4</v>
      </c>
      <c r="S70" s="178">
        <v>28.154060481599998</v>
      </c>
      <c r="T70" s="80">
        <f t="shared" si="30"/>
        <v>1E-4</v>
      </c>
      <c r="U70" s="178">
        <v>28.717141691231998</v>
      </c>
      <c r="V70" s="80">
        <f t="shared" si="31"/>
        <v>1E-4</v>
      </c>
      <c r="X70" s="192"/>
    </row>
    <row r="71" spans="1:24" ht="12.75" customHeight="1">
      <c r="A71" s="2" t="s">
        <v>415</v>
      </c>
      <c r="B71" s="35"/>
      <c r="C71" s="178">
        <v>0</v>
      </c>
      <c r="D71" s="80">
        <f t="shared" si="22"/>
        <v>0</v>
      </c>
      <c r="E71" s="178">
        <v>0</v>
      </c>
      <c r="F71" s="80">
        <f t="shared" si="23"/>
        <v>0</v>
      </c>
      <c r="G71" s="178">
        <v>0</v>
      </c>
      <c r="H71" s="80">
        <f t="shared" si="24"/>
        <v>0</v>
      </c>
      <c r="I71" s="178">
        <v>0</v>
      </c>
      <c r="J71" s="80">
        <f t="shared" si="25"/>
        <v>0</v>
      </c>
      <c r="K71" s="178">
        <v>0</v>
      </c>
      <c r="L71" s="80">
        <f t="shared" si="26"/>
        <v>0</v>
      </c>
      <c r="M71" s="178">
        <v>0</v>
      </c>
      <c r="N71" s="80">
        <f t="shared" si="27"/>
        <v>0</v>
      </c>
      <c r="O71" s="178">
        <v>0</v>
      </c>
      <c r="P71" s="80">
        <f t="shared" si="28"/>
        <v>0</v>
      </c>
      <c r="Q71" s="178">
        <v>0</v>
      </c>
      <c r="R71" s="80">
        <f t="shared" si="29"/>
        <v>0</v>
      </c>
      <c r="S71" s="178">
        <v>0</v>
      </c>
      <c r="T71" s="80">
        <f t="shared" si="30"/>
        <v>0</v>
      </c>
      <c r="U71" s="178">
        <v>0</v>
      </c>
      <c r="V71" s="80">
        <f t="shared" si="31"/>
        <v>0</v>
      </c>
      <c r="X71" s="192"/>
    </row>
    <row r="72" spans="1:24" ht="12.75" customHeight="1">
      <c r="A72" s="2" t="s">
        <v>416</v>
      </c>
      <c r="B72" s="35"/>
      <c r="C72" s="178">
        <v>0</v>
      </c>
      <c r="D72" s="80">
        <f t="shared" si="22"/>
        <v>0</v>
      </c>
      <c r="E72" s="178">
        <v>0</v>
      </c>
      <c r="F72" s="80">
        <f t="shared" si="23"/>
        <v>0</v>
      </c>
      <c r="G72" s="178">
        <v>0</v>
      </c>
      <c r="H72" s="80">
        <f t="shared" si="24"/>
        <v>0</v>
      </c>
      <c r="I72" s="178">
        <v>0</v>
      </c>
      <c r="J72" s="80">
        <f t="shared" si="25"/>
        <v>0</v>
      </c>
      <c r="K72" s="178">
        <v>0</v>
      </c>
      <c r="L72" s="80">
        <f t="shared" si="26"/>
        <v>0</v>
      </c>
      <c r="M72" s="178">
        <v>0</v>
      </c>
      <c r="N72" s="80">
        <f t="shared" si="27"/>
        <v>0</v>
      </c>
      <c r="O72" s="178">
        <v>0</v>
      </c>
      <c r="P72" s="80">
        <f t="shared" si="28"/>
        <v>0</v>
      </c>
      <c r="Q72" s="178">
        <v>0</v>
      </c>
      <c r="R72" s="80">
        <f t="shared" si="29"/>
        <v>0</v>
      </c>
      <c r="S72" s="178">
        <v>0</v>
      </c>
      <c r="T72" s="80">
        <f t="shared" si="30"/>
        <v>0</v>
      </c>
      <c r="U72" s="178">
        <v>0</v>
      </c>
      <c r="V72" s="80">
        <f t="shared" si="31"/>
        <v>0</v>
      </c>
      <c r="X72" s="192"/>
    </row>
    <row r="73" spans="1:24" ht="12.75" customHeight="1">
      <c r="A73" s="2" t="s">
        <v>417</v>
      </c>
      <c r="B73" s="35"/>
      <c r="C73" s="178">
        <v>0</v>
      </c>
      <c r="D73" s="80">
        <f t="shared" si="22"/>
        <v>0</v>
      </c>
      <c r="E73" s="178">
        <v>0</v>
      </c>
      <c r="F73" s="80">
        <f t="shared" si="23"/>
        <v>0</v>
      </c>
      <c r="G73" s="178">
        <v>0</v>
      </c>
      <c r="H73" s="80">
        <f t="shared" si="24"/>
        <v>0</v>
      </c>
      <c r="I73" s="178">
        <v>0</v>
      </c>
      <c r="J73" s="80">
        <f t="shared" si="25"/>
        <v>0</v>
      </c>
      <c r="K73" s="178">
        <v>0</v>
      </c>
      <c r="L73" s="80">
        <f t="shared" si="26"/>
        <v>0</v>
      </c>
      <c r="M73" s="178">
        <v>0</v>
      </c>
      <c r="N73" s="80">
        <f t="shared" si="27"/>
        <v>0</v>
      </c>
      <c r="O73" s="178">
        <v>0</v>
      </c>
      <c r="P73" s="80">
        <f t="shared" si="28"/>
        <v>0</v>
      </c>
      <c r="Q73" s="178">
        <v>0</v>
      </c>
      <c r="R73" s="80">
        <f t="shared" si="29"/>
        <v>0</v>
      </c>
      <c r="S73" s="178">
        <v>0</v>
      </c>
      <c r="T73" s="80">
        <f t="shared" si="30"/>
        <v>0</v>
      </c>
      <c r="U73" s="178">
        <v>0</v>
      </c>
      <c r="V73" s="80">
        <f t="shared" si="31"/>
        <v>0</v>
      </c>
      <c r="X73" s="192"/>
    </row>
    <row r="74" spans="1:24" ht="12.75" customHeight="1">
      <c r="A74" s="2" t="s">
        <v>418</v>
      </c>
      <c r="B74" s="35"/>
      <c r="C74" s="178">
        <v>0</v>
      </c>
      <c r="D74" s="80">
        <f t="shared" si="22"/>
        <v>0</v>
      </c>
      <c r="E74" s="178">
        <v>0</v>
      </c>
      <c r="F74" s="80">
        <f t="shared" si="23"/>
        <v>0</v>
      </c>
      <c r="G74" s="178">
        <v>0</v>
      </c>
      <c r="H74" s="80">
        <f t="shared" si="24"/>
        <v>0</v>
      </c>
      <c r="I74" s="178">
        <v>0</v>
      </c>
      <c r="J74" s="80">
        <f t="shared" si="25"/>
        <v>0</v>
      </c>
      <c r="K74" s="178">
        <v>0</v>
      </c>
      <c r="L74" s="80">
        <f t="shared" si="26"/>
        <v>0</v>
      </c>
      <c r="M74" s="178">
        <v>0</v>
      </c>
      <c r="N74" s="80">
        <f t="shared" si="27"/>
        <v>0</v>
      </c>
      <c r="O74" s="178">
        <v>0</v>
      </c>
      <c r="P74" s="80">
        <f t="shared" si="28"/>
        <v>0</v>
      </c>
      <c r="Q74" s="178">
        <v>0</v>
      </c>
      <c r="R74" s="80">
        <f t="shared" si="29"/>
        <v>0</v>
      </c>
      <c r="S74" s="178">
        <v>0</v>
      </c>
      <c r="T74" s="80">
        <f t="shared" si="30"/>
        <v>0</v>
      </c>
      <c r="U74" s="178">
        <v>0</v>
      </c>
      <c r="V74" s="80">
        <f t="shared" si="31"/>
        <v>0</v>
      </c>
      <c r="X74" s="192"/>
    </row>
    <row r="75" spans="1:24" ht="12.75" customHeight="1">
      <c r="A75" s="2" t="s">
        <v>419</v>
      </c>
      <c r="B75" s="35"/>
      <c r="C75" s="178">
        <v>0</v>
      </c>
      <c r="D75" s="80">
        <f t="shared" si="22"/>
        <v>0</v>
      </c>
      <c r="E75" s="178">
        <v>0</v>
      </c>
      <c r="F75" s="80">
        <f t="shared" si="23"/>
        <v>0</v>
      </c>
      <c r="G75" s="178">
        <v>1124.9999999999998</v>
      </c>
      <c r="H75" s="80">
        <f t="shared" si="24"/>
        <v>4.4999999999999988E-3</v>
      </c>
      <c r="I75" s="178">
        <v>1147.4999999999998</v>
      </c>
      <c r="J75" s="80">
        <f t="shared" si="25"/>
        <v>4.4999999999999988E-3</v>
      </c>
      <c r="K75" s="178">
        <v>1170.45</v>
      </c>
      <c r="L75" s="80">
        <f t="shared" si="26"/>
        <v>4.5000000000000005E-3</v>
      </c>
      <c r="M75" s="178">
        <v>1193.8589999999999</v>
      </c>
      <c r="N75" s="80">
        <f t="shared" si="27"/>
        <v>4.4999999999999997E-3</v>
      </c>
      <c r="O75" s="178">
        <v>1217.7361799999999</v>
      </c>
      <c r="P75" s="80">
        <f t="shared" si="28"/>
        <v>4.4999999999999997E-3</v>
      </c>
      <c r="Q75" s="178">
        <v>1242.0909035999998</v>
      </c>
      <c r="R75" s="80">
        <f t="shared" si="29"/>
        <v>4.4999999999999997E-3</v>
      </c>
      <c r="S75" s="178">
        <v>1266.9327216719998</v>
      </c>
      <c r="T75" s="80">
        <f t="shared" si="30"/>
        <v>4.4999999999999997E-3</v>
      </c>
      <c r="U75" s="178">
        <v>1292.2713761054397</v>
      </c>
      <c r="V75" s="80">
        <f t="shared" si="31"/>
        <v>4.4999999999999997E-3</v>
      </c>
      <c r="X75" s="192"/>
    </row>
    <row r="76" spans="1:24" ht="12.75" customHeight="1">
      <c r="A76" s="2" t="s">
        <v>420</v>
      </c>
      <c r="B76" s="35"/>
      <c r="C76" s="178">
        <v>0</v>
      </c>
      <c r="D76" s="80">
        <f t="shared" si="22"/>
        <v>0</v>
      </c>
      <c r="E76" s="178">
        <v>0</v>
      </c>
      <c r="F76" s="80">
        <f t="shared" si="23"/>
        <v>0</v>
      </c>
      <c r="G76" s="178">
        <v>100</v>
      </c>
      <c r="H76" s="80">
        <f t="shared" si="24"/>
        <v>4.0000000000000002E-4</v>
      </c>
      <c r="I76" s="178">
        <v>102</v>
      </c>
      <c r="J76" s="80">
        <f t="shared" si="25"/>
        <v>4.0000000000000002E-4</v>
      </c>
      <c r="K76" s="178">
        <v>104.04</v>
      </c>
      <c r="L76" s="80">
        <f t="shared" si="26"/>
        <v>4.0000000000000002E-4</v>
      </c>
      <c r="M76" s="178">
        <v>106.1208</v>
      </c>
      <c r="N76" s="80">
        <f t="shared" si="27"/>
        <v>4.0000000000000002E-4</v>
      </c>
      <c r="O76" s="178">
        <v>108.243216</v>
      </c>
      <c r="P76" s="80">
        <f t="shared" si="28"/>
        <v>4.0000000000000002E-4</v>
      </c>
      <c r="Q76" s="178">
        <v>110.40808032</v>
      </c>
      <c r="R76" s="80">
        <f t="shared" si="29"/>
        <v>4.0000000000000002E-4</v>
      </c>
      <c r="S76" s="178">
        <v>112.61624192639999</v>
      </c>
      <c r="T76" s="80">
        <f t="shared" si="30"/>
        <v>4.0000000000000002E-4</v>
      </c>
      <c r="U76" s="178">
        <v>114.86856676492799</v>
      </c>
      <c r="V76" s="80">
        <f t="shared" si="31"/>
        <v>4.0000000000000002E-4</v>
      </c>
      <c r="X76" s="192"/>
    </row>
    <row r="77" spans="1:24" ht="12.75" customHeight="1">
      <c r="A77" s="2" t="s">
        <v>421</v>
      </c>
      <c r="B77" s="35"/>
      <c r="C77" s="178">
        <v>0</v>
      </c>
      <c r="D77" s="80">
        <f t="shared" si="22"/>
        <v>0</v>
      </c>
      <c r="E77" s="178">
        <v>0</v>
      </c>
      <c r="F77" s="80">
        <f t="shared" si="23"/>
        <v>0</v>
      </c>
      <c r="G77" s="178">
        <v>324.99999999999994</v>
      </c>
      <c r="H77" s="80">
        <f t="shared" si="24"/>
        <v>1.2999999999999997E-3</v>
      </c>
      <c r="I77" s="178">
        <v>331.5</v>
      </c>
      <c r="J77" s="80">
        <f t="shared" si="25"/>
        <v>1.2999999999999999E-3</v>
      </c>
      <c r="K77" s="178">
        <v>338.13</v>
      </c>
      <c r="L77" s="80">
        <f t="shared" si="26"/>
        <v>1.2999999999999999E-3</v>
      </c>
      <c r="M77" s="178">
        <v>344.89260000000002</v>
      </c>
      <c r="N77" s="80">
        <f t="shared" si="27"/>
        <v>1.3000000000000002E-3</v>
      </c>
      <c r="O77" s="178">
        <v>351.79045199999996</v>
      </c>
      <c r="P77" s="80">
        <f t="shared" si="28"/>
        <v>1.2999999999999999E-3</v>
      </c>
      <c r="Q77" s="178">
        <v>358.82626103999991</v>
      </c>
      <c r="R77" s="80">
        <f t="shared" si="29"/>
        <v>1.2999999999999997E-3</v>
      </c>
      <c r="S77" s="178">
        <v>366.00278626079995</v>
      </c>
      <c r="T77" s="80">
        <f t="shared" si="30"/>
        <v>1.2999999999999999E-3</v>
      </c>
      <c r="U77" s="178">
        <v>373.32284198601593</v>
      </c>
      <c r="V77" s="80">
        <f t="shared" si="31"/>
        <v>1.2999999999999999E-3</v>
      </c>
      <c r="X77" s="192"/>
    </row>
    <row r="78" spans="1:24" ht="12.75" customHeight="1">
      <c r="A78" s="2" t="s">
        <v>422</v>
      </c>
      <c r="B78" s="35"/>
      <c r="C78" s="178">
        <v>0</v>
      </c>
      <c r="D78" s="80">
        <f t="shared" si="22"/>
        <v>0</v>
      </c>
      <c r="E78" s="178">
        <v>0</v>
      </c>
      <c r="F78" s="80">
        <f t="shared" si="23"/>
        <v>0</v>
      </c>
      <c r="G78" s="178">
        <v>5499.9999999999991</v>
      </c>
      <c r="H78" s="80">
        <f t="shared" si="24"/>
        <v>2.1999999999999995E-2</v>
      </c>
      <c r="I78" s="178">
        <v>5609.9999999999991</v>
      </c>
      <c r="J78" s="80">
        <f t="shared" si="25"/>
        <v>2.1999999999999995E-2</v>
      </c>
      <c r="K78" s="178">
        <v>5722.2</v>
      </c>
      <c r="L78" s="80">
        <f t="shared" si="26"/>
        <v>2.1999999999999999E-2</v>
      </c>
      <c r="M78" s="178">
        <v>5836.6440000000002</v>
      </c>
      <c r="N78" s="80">
        <f t="shared" si="27"/>
        <v>2.2000000000000002E-2</v>
      </c>
      <c r="O78" s="178">
        <v>5953.3768799999998</v>
      </c>
      <c r="P78" s="80">
        <f t="shared" si="28"/>
        <v>2.2000000000000002E-2</v>
      </c>
      <c r="Q78" s="178">
        <v>6072.4444175999988</v>
      </c>
      <c r="R78" s="80">
        <f t="shared" si="29"/>
        <v>2.1999999999999995E-2</v>
      </c>
      <c r="S78" s="178">
        <v>6193.8933059519995</v>
      </c>
      <c r="T78" s="80">
        <f t="shared" si="30"/>
        <v>2.1999999999999999E-2</v>
      </c>
      <c r="U78" s="178">
        <v>6317.7711720710386</v>
      </c>
      <c r="V78" s="80">
        <f t="shared" si="31"/>
        <v>2.1999999999999999E-2</v>
      </c>
      <c r="X78" s="192"/>
    </row>
    <row r="79" spans="1:24" ht="12.75" customHeight="1">
      <c r="A79" s="2" t="s">
        <v>423</v>
      </c>
      <c r="B79" s="35"/>
      <c r="C79" s="178">
        <v>0</v>
      </c>
      <c r="D79" s="80">
        <f t="shared" si="22"/>
        <v>0</v>
      </c>
      <c r="E79" s="178">
        <v>0</v>
      </c>
      <c r="F79" s="80">
        <f t="shared" si="23"/>
        <v>0</v>
      </c>
      <c r="G79" s="178">
        <v>0</v>
      </c>
      <c r="H79" s="80">
        <f t="shared" si="24"/>
        <v>0</v>
      </c>
      <c r="I79" s="178">
        <v>0</v>
      </c>
      <c r="J79" s="80">
        <f t="shared" si="25"/>
        <v>0</v>
      </c>
      <c r="K79" s="178">
        <v>0</v>
      </c>
      <c r="L79" s="80">
        <f t="shared" si="26"/>
        <v>0</v>
      </c>
      <c r="M79" s="178">
        <v>0</v>
      </c>
      <c r="N79" s="80">
        <f t="shared" si="27"/>
        <v>0</v>
      </c>
      <c r="O79" s="178">
        <v>0</v>
      </c>
      <c r="P79" s="80">
        <f t="shared" si="28"/>
        <v>0</v>
      </c>
      <c r="Q79" s="178">
        <v>0</v>
      </c>
      <c r="R79" s="80">
        <f t="shared" si="29"/>
        <v>0</v>
      </c>
      <c r="S79" s="178">
        <v>0</v>
      </c>
      <c r="T79" s="80">
        <f t="shared" si="30"/>
        <v>0</v>
      </c>
      <c r="U79" s="178">
        <v>0</v>
      </c>
      <c r="V79" s="80">
        <f t="shared" si="31"/>
        <v>0</v>
      </c>
      <c r="X79" s="192"/>
    </row>
    <row r="80" spans="1:24" ht="12.75" customHeight="1">
      <c r="A80" s="2" t="s">
        <v>424</v>
      </c>
      <c r="B80" s="35"/>
      <c r="C80" s="178">
        <v>0</v>
      </c>
      <c r="D80" s="80">
        <f t="shared" si="22"/>
        <v>0</v>
      </c>
      <c r="E80" s="178">
        <v>0</v>
      </c>
      <c r="F80" s="80">
        <f t="shared" si="23"/>
        <v>0</v>
      </c>
      <c r="G80" s="178">
        <v>0</v>
      </c>
      <c r="H80" s="80">
        <f t="shared" si="24"/>
        <v>0</v>
      </c>
      <c r="I80" s="178">
        <v>0</v>
      </c>
      <c r="J80" s="80">
        <f t="shared" si="25"/>
        <v>0</v>
      </c>
      <c r="K80" s="178">
        <v>0</v>
      </c>
      <c r="L80" s="80">
        <f t="shared" si="26"/>
        <v>0</v>
      </c>
      <c r="M80" s="178">
        <v>0</v>
      </c>
      <c r="N80" s="80">
        <f t="shared" si="27"/>
        <v>0</v>
      </c>
      <c r="O80" s="178">
        <v>0</v>
      </c>
      <c r="P80" s="80">
        <f t="shared" si="28"/>
        <v>0</v>
      </c>
      <c r="Q80" s="178">
        <v>0</v>
      </c>
      <c r="R80" s="80">
        <f t="shared" si="29"/>
        <v>0</v>
      </c>
      <c r="S80" s="178">
        <v>0</v>
      </c>
      <c r="T80" s="80">
        <f t="shared" si="30"/>
        <v>0</v>
      </c>
      <c r="U80" s="178">
        <v>0</v>
      </c>
      <c r="V80" s="80">
        <f t="shared" si="31"/>
        <v>0</v>
      </c>
      <c r="X80" s="192"/>
    </row>
    <row r="81" spans="1:24" ht="12.75" customHeight="1">
      <c r="A81" s="2" t="s">
        <v>425</v>
      </c>
      <c r="B81" s="35"/>
      <c r="C81" s="178">
        <v>0</v>
      </c>
      <c r="D81" s="80">
        <f t="shared" si="22"/>
        <v>0</v>
      </c>
      <c r="E81" s="178">
        <v>0</v>
      </c>
      <c r="F81" s="80">
        <f t="shared" si="23"/>
        <v>0</v>
      </c>
      <c r="G81" s="178">
        <v>0</v>
      </c>
      <c r="H81" s="80">
        <f t="shared" si="24"/>
        <v>0</v>
      </c>
      <c r="I81" s="178">
        <v>0</v>
      </c>
      <c r="J81" s="80">
        <f t="shared" si="25"/>
        <v>0</v>
      </c>
      <c r="K81" s="178">
        <v>0</v>
      </c>
      <c r="L81" s="80">
        <f t="shared" si="26"/>
        <v>0</v>
      </c>
      <c r="M81" s="178">
        <v>0</v>
      </c>
      <c r="N81" s="80">
        <f t="shared" si="27"/>
        <v>0</v>
      </c>
      <c r="O81" s="178">
        <v>0</v>
      </c>
      <c r="P81" s="80">
        <f t="shared" si="28"/>
        <v>0</v>
      </c>
      <c r="Q81" s="178">
        <v>0</v>
      </c>
      <c r="R81" s="80">
        <f t="shared" si="29"/>
        <v>0</v>
      </c>
      <c r="S81" s="178">
        <v>0</v>
      </c>
      <c r="T81" s="80">
        <f t="shared" si="30"/>
        <v>0</v>
      </c>
      <c r="U81" s="178">
        <v>0</v>
      </c>
      <c r="V81" s="80">
        <f t="shared" si="31"/>
        <v>0</v>
      </c>
      <c r="X81" s="192"/>
    </row>
    <row r="82" spans="1:24" ht="12.75" customHeight="1">
      <c r="A82" s="2" t="s">
        <v>426</v>
      </c>
      <c r="B82" s="35"/>
      <c r="C82" s="178">
        <v>0</v>
      </c>
      <c r="D82" s="80">
        <f t="shared" si="22"/>
        <v>0</v>
      </c>
      <c r="E82" s="178">
        <v>0</v>
      </c>
      <c r="F82" s="80">
        <f t="shared" si="23"/>
        <v>0</v>
      </c>
      <c r="G82" s="178">
        <v>0</v>
      </c>
      <c r="H82" s="80">
        <f t="shared" si="24"/>
        <v>0</v>
      </c>
      <c r="I82" s="178">
        <v>0</v>
      </c>
      <c r="J82" s="80">
        <f t="shared" si="25"/>
        <v>0</v>
      </c>
      <c r="K82" s="178">
        <v>0</v>
      </c>
      <c r="L82" s="80">
        <f t="shared" si="26"/>
        <v>0</v>
      </c>
      <c r="M82" s="178">
        <v>0</v>
      </c>
      <c r="N82" s="80">
        <f t="shared" si="27"/>
        <v>0</v>
      </c>
      <c r="O82" s="178">
        <v>0</v>
      </c>
      <c r="P82" s="80">
        <f t="shared" si="28"/>
        <v>0</v>
      </c>
      <c r="Q82" s="178">
        <v>0</v>
      </c>
      <c r="R82" s="80">
        <f t="shared" si="29"/>
        <v>0</v>
      </c>
      <c r="S82" s="178">
        <v>0</v>
      </c>
      <c r="T82" s="80">
        <f t="shared" si="30"/>
        <v>0</v>
      </c>
      <c r="U82" s="178">
        <v>0</v>
      </c>
      <c r="V82" s="80">
        <f t="shared" si="31"/>
        <v>0</v>
      </c>
      <c r="X82" s="192"/>
    </row>
    <row r="83" spans="1:24" ht="12.75" customHeight="1">
      <c r="A83" s="2" t="s">
        <v>427</v>
      </c>
      <c r="B83" s="35"/>
      <c r="C83" s="178">
        <v>0</v>
      </c>
      <c r="D83" s="80">
        <f t="shared" si="22"/>
        <v>0</v>
      </c>
      <c r="E83" s="178">
        <v>0</v>
      </c>
      <c r="F83" s="80">
        <f t="shared" si="23"/>
        <v>0</v>
      </c>
      <c r="G83" s="178">
        <v>0</v>
      </c>
      <c r="H83" s="80">
        <f t="shared" si="24"/>
        <v>0</v>
      </c>
      <c r="I83" s="178">
        <v>0</v>
      </c>
      <c r="J83" s="80">
        <f t="shared" si="25"/>
        <v>0</v>
      </c>
      <c r="K83" s="178">
        <v>0</v>
      </c>
      <c r="L83" s="80">
        <f t="shared" si="26"/>
        <v>0</v>
      </c>
      <c r="M83" s="178">
        <v>0</v>
      </c>
      <c r="N83" s="80">
        <f t="shared" si="27"/>
        <v>0</v>
      </c>
      <c r="O83" s="178">
        <v>0</v>
      </c>
      <c r="P83" s="80">
        <f t="shared" si="28"/>
        <v>0</v>
      </c>
      <c r="Q83" s="178">
        <v>0</v>
      </c>
      <c r="R83" s="80">
        <f t="shared" si="29"/>
        <v>0</v>
      </c>
      <c r="S83" s="178">
        <v>0</v>
      </c>
      <c r="T83" s="80">
        <f t="shared" si="30"/>
        <v>0</v>
      </c>
      <c r="U83" s="178">
        <v>0</v>
      </c>
      <c r="V83" s="80">
        <f t="shared" si="31"/>
        <v>0</v>
      </c>
      <c r="X83" s="192"/>
    </row>
    <row r="84" spans="1:24" ht="12.75" customHeight="1">
      <c r="A84" s="2" t="s">
        <v>428</v>
      </c>
      <c r="B84" s="35"/>
      <c r="C84" s="178">
        <v>0</v>
      </c>
      <c r="D84" s="80">
        <f t="shared" ref="D84:D105" si="32">IFERROR(C84/C$28,0)</f>
        <v>0</v>
      </c>
      <c r="E84" s="178">
        <v>0</v>
      </c>
      <c r="F84" s="80">
        <f t="shared" si="23"/>
        <v>0</v>
      </c>
      <c r="G84" s="178">
        <v>0</v>
      </c>
      <c r="H84" s="80">
        <f t="shared" si="24"/>
        <v>0</v>
      </c>
      <c r="I84" s="178">
        <v>0</v>
      </c>
      <c r="J84" s="80">
        <f t="shared" si="25"/>
        <v>0</v>
      </c>
      <c r="K84" s="178">
        <v>0</v>
      </c>
      <c r="L84" s="80">
        <f t="shared" si="26"/>
        <v>0</v>
      </c>
      <c r="M84" s="178">
        <v>0</v>
      </c>
      <c r="N84" s="80">
        <f t="shared" si="27"/>
        <v>0</v>
      </c>
      <c r="O84" s="178">
        <v>0</v>
      </c>
      <c r="P84" s="80">
        <f t="shared" si="28"/>
        <v>0</v>
      </c>
      <c r="Q84" s="178">
        <v>0</v>
      </c>
      <c r="R84" s="80">
        <f t="shared" si="29"/>
        <v>0</v>
      </c>
      <c r="S84" s="178">
        <v>0</v>
      </c>
      <c r="T84" s="80">
        <f t="shared" si="30"/>
        <v>0</v>
      </c>
      <c r="U84" s="178">
        <v>0</v>
      </c>
      <c r="V84" s="80">
        <f t="shared" si="31"/>
        <v>0</v>
      </c>
      <c r="X84" s="192"/>
    </row>
    <row r="85" spans="1:24" ht="12.75" customHeight="1">
      <c r="A85" s="2" t="s">
        <v>429</v>
      </c>
      <c r="B85" s="35"/>
      <c r="C85" s="178">
        <v>0</v>
      </c>
      <c r="D85" s="80">
        <f t="shared" si="32"/>
        <v>0</v>
      </c>
      <c r="E85" s="178">
        <v>0</v>
      </c>
      <c r="F85" s="80">
        <f t="shared" si="23"/>
        <v>0</v>
      </c>
      <c r="G85" s="178">
        <v>0</v>
      </c>
      <c r="H85" s="80">
        <f t="shared" si="24"/>
        <v>0</v>
      </c>
      <c r="I85" s="178">
        <v>0</v>
      </c>
      <c r="J85" s="80">
        <f t="shared" si="25"/>
        <v>0</v>
      </c>
      <c r="K85" s="178">
        <v>0</v>
      </c>
      <c r="L85" s="80">
        <f t="shared" si="26"/>
        <v>0</v>
      </c>
      <c r="M85" s="178">
        <v>0</v>
      </c>
      <c r="N85" s="80">
        <f t="shared" si="27"/>
        <v>0</v>
      </c>
      <c r="O85" s="178">
        <v>0</v>
      </c>
      <c r="P85" s="80">
        <f t="shared" si="28"/>
        <v>0</v>
      </c>
      <c r="Q85" s="178">
        <v>0</v>
      </c>
      <c r="R85" s="80">
        <f t="shared" si="29"/>
        <v>0</v>
      </c>
      <c r="S85" s="178">
        <v>0</v>
      </c>
      <c r="T85" s="80">
        <f t="shared" si="30"/>
        <v>0</v>
      </c>
      <c r="U85" s="178">
        <v>0</v>
      </c>
      <c r="V85" s="80">
        <f t="shared" si="31"/>
        <v>0</v>
      </c>
      <c r="X85" s="192"/>
    </row>
    <row r="86" spans="1:24" ht="12.75" customHeight="1">
      <c r="A86" s="2" t="s">
        <v>430</v>
      </c>
      <c r="B86" s="35"/>
      <c r="C86" s="178">
        <v>0</v>
      </c>
      <c r="D86" s="80">
        <f t="shared" si="32"/>
        <v>0</v>
      </c>
      <c r="E86" s="178">
        <v>0</v>
      </c>
      <c r="F86" s="80">
        <f t="shared" si="23"/>
        <v>0</v>
      </c>
      <c r="G86" s="178">
        <v>1000</v>
      </c>
      <c r="H86" s="80">
        <f t="shared" si="24"/>
        <v>4.0000000000000001E-3</v>
      </c>
      <c r="I86" s="178">
        <v>1020</v>
      </c>
      <c r="J86" s="80">
        <f t="shared" si="25"/>
        <v>4.0000000000000001E-3</v>
      </c>
      <c r="K86" s="178">
        <v>1040.4000000000001</v>
      </c>
      <c r="L86" s="80">
        <f t="shared" si="26"/>
        <v>4.0000000000000001E-3</v>
      </c>
      <c r="M86" s="178">
        <v>1061.2080000000001</v>
      </c>
      <c r="N86" s="80">
        <f t="shared" si="27"/>
        <v>4.0000000000000001E-3</v>
      </c>
      <c r="O86" s="178">
        <v>1082.4321600000001</v>
      </c>
      <c r="P86" s="80">
        <f t="shared" si="28"/>
        <v>4.000000000000001E-3</v>
      </c>
      <c r="Q86" s="178">
        <v>1104.0808032</v>
      </c>
      <c r="R86" s="80">
        <f t="shared" si="29"/>
        <v>4.0000000000000001E-3</v>
      </c>
      <c r="S86" s="178">
        <v>1126.1624192639999</v>
      </c>
      <c r="T86" s="80">
        <f t="shared" si="30"/>
        <v>4.0000000000000001E-3</v>
      </c>
      <c r="U86" s="178">
        <v>1148.6856676492798</v>
      </c>
      <c r="V86" s="80">
        <f t="shared" si="31"/>
        <v>4.0000000000000001E-3</v>
      </c>
      <c r="X86" s="192"/>
    </row>
    <row r="87" spans="1:24" ht="12.75" customHeight="1">
      <c r="A87" s="2" t="s">
        <v>431</v>
      </c>
      <c r="B87" s="35"/>
      <c r="C87" s="178">
        <v>0</v>
      </c>
      <c r="D87" s="80">
        <f t="shared" si="32"/>
        <v>0</v>
      </c>
      <c r="E87" s="178">
        <v>0</v>
      </c>
      <c r="F87" s="80">
        <f t="shared" si="23"/>
        <v>0</v>
      </c>
      <c r="G87" s="178">
        <v>0</v>
      </c>
      <c r="H87" s="80">
        <f t="shared" si="24"/>
        <v>0</v>
      </c>
      <c r="I87" s="178">
        <v>0</v>
      </c>
      <c r="J87" s="80">
        <f t="shared" si="25"/>
        <v>0</v>
      </c>
      <c r="K87" s="178">
        <v>0</v>
      </c>
      <c r="L87" s="80">
        <f t="shared" si="26"/>
        <v>0</v>
      </c>
      <c r="M87" s="178">
        <v>0</v>
      </c>
      <c r="N87" s="80">
        <f t="shared" si="27"/>
        <v>0</v>
      </c>
      <c r="O87" s="178">
        <v>0</v>
      </c>
      <c r="P87" s="80">
        <f t="shared" si="28"/>
        <v>0</v>
      </c>
      <c r="Q87" s="178">
        <v>0</v>
      </c>
      <c r="R87" s="80">
        <f t="shared" si="29"/>
        <v>0</v>
      </c>
      <c r="S87" s="178">
        <v>0</v>
      </c>
      <c r="T87" s="80">
        <f t="shared" si="30"/>
        <v>0</v>
      </c>
      <c r="U87" s="178">
        <v>0</v>
      </c>
      <c r="V87" s="80">
        <f t="shared" si="31"/>
        <v>0</v>
      </c>
      <c r="X87" s="192"/>
    </row>
    <row r="88" spans="1:24" ht="12.75" customHeight="1">
      <c r="A88" s="2" t="s">
        <v>432</v>
      </c>
      <c r="B88" s="35"/>
      <c r="C88" s="178">
        <v>0</v>
      </c>
      <c r="D88" s="80">
        <f t="shared" si="32"/>
        <v>0</v>
      </c>
      <c r="E88" s="178">
        <v>0</v>
      </c>
      <c r="F88" s="80">
        <f t="shared" si="23"/>
        <v>0</v>
      </c>
      <c r="G88" s="178">
        <v>1275</v>
      </c>
      <c r="H88" s="80">
        <f t="shared" si="24"/>
        <v>5.1000000000000004E-3</v>
      </c>
      <c r="I88" s="178">
        <v>1300.5</v>
      </c>
      <c r="J88" s="80">
        <f t="shared" si="25"/>
        <v>5.1000000000000004E-3</v>
      </c>
      <c r="K88" s="178">
        <v>1326.5100000000002</v>
      </c>
      <c r="L88" s="80">
        <f t="shared" si="26"/>
        <v>5.1000000000000012E-3</v>
      </c>
      <c r="M88" s="178">
        <v>1353.0402000000001</v>
      </c>
      <c r="N88" s="80">
        <f t="shared" si="27"/>
        <v>5.1000000000000004E-3</v>
      </c>
      <c r="O88" s="178">
        <v>1380.1010039999999</v>
      </c>
      <c r="P88" s="80">
        <f t="shared" si="28"/>
        <v>5.1000000000000004E-3</v>
      </c>
      <c r="Q88" s="178">
        <v>1407.70302408</v>
      </c>
      <c r="R88" s="80">
        <f t="shared" si="29"/>
        <v>5.1000000000000004E-3</v>
      </c>
      <c r="S88" s="178">
        <v>1435.8570845616</v>
      </c>
      <c r="T88" s="80">
        <f t="shared" si="30"/>
        <v>5.1000000000000004E-3</v>
      </c>
      <c r="U88" s="178">
        <v>1464.574226252832</v>
      </c>
      <c r="V88" s="80">
        <f t="shared" si="31"/>
        <v>5.1000000000000004E-3</v>
      </c>
      <c r="X88" s="192"/>
    </row>
    <row r="89" spans="1:24" ht="12.75" customHeight="1">
      <c r="A89" s="2" t="s">
        <v>433</v>
      </c>
      <c r="B89" s="35"/>
      <c r="C89" s="178">
        <v>0</v>
      </c>
      <c r="D89" s="80">
        <f t="shared" si="32"/>
        <v>0</v>
      </c>
      <c r="E89" s="178">
        <v>0</v>
      </c>
      <c r="F89" s="80">
        <f t="shared" si="23"/>
        <v>0</v>
      </c>
      <c r="G89" s="178">
        <v>0</v>
      </c>
      <c r="H89" s="80">
        <f t="shared" si="24"/>
        <v>0</v>
      </c>
      <c r="I89" s="178">
        <v>0</v>
      </c>
      <c r="J89" s="80">
        <f t="shared" si="25"/>
        <v>0</v>
      </c>
      <c r="K89" s="178">
        <v>0</v>
      </c>
      <c r="L89" s="80">
        <f t="shared" si="26"/>
        <v>0</v>
      </c>
      <c r="M89" s="178">
        <v>0</v>
      </c>
      <c r="N89" s="80">
        <f t="shared" si="27"/>
        <v>0</v>
      </c>
      <c r="O89" s="178">
        <v>0</v>
      </c>
      <c r="P89" s="80">
        <f t="shared" si="28"/>
        <v>0</v>
      </c>
      <c r="Q89" s="178">
        <v>0</v>
      </c>
      <c r="R89" s="80">
        <f t="shared" si="29"/>
        <v>0</v>
      </c>
      <c r="S89" s="178">
        <v>0</v>
      </c>
      <c r="T89" s="80">
        <f t="shared" si="30"/>
        <v>0</v>
      </c>
      <c r="U89" s="178">
        <v>0</v>
      </c>
      <c r="V89" s="80">
        <f t="shared" si="31"/>
        <v>0</v>
      </c>
      <c r="X89" s="192"/>
    </row>
    <row r="90" spans="1:24" ht="12.75" customHeight="1">
      <c r="A90" s="2" t="s">
        <v>434</v>
      </c>
      <c r="B90" s="35"/>
      <c r="C90" s="178">
        <v>0</v>
      </c>
      <c r="D90" s="80">
        <f t="shared" si="32"/>
        <v>0</v>
      </c>
      <c r="E90" s="178">
        <v>0</v>
      </c>
      <c r="F90" s="80">
        <f t="shared" si="23"/>
        <v>0</v>
      </c>
      <c r="G90" s="178">
        <v>50</v>
      </c>
      <c r="H90" s="80">
        <f t="shared" si="24"/>
        <v>2.0000000000000001E-4</v>
      </c>
      <c r="I90" s="178">
        <v>51</v>
      </c>
      <c r="J90" s="80">
        <f t="shared" si="25"/>
        <v>2.0000000000000001E-4</v>
      </c>
      <c r="K90" s="178">
        <v>52.02</v>
      </c>
      <c r="L90" s="80">
        <f t="shared" si="26"/>
        <v>2.0000000000000001E-4</v>
      </c>
      <c r="M90" s="178">
        <v>53.060400000000001</v>
      </c>
      <c r="N90" s="80">
        <f t="shared" si="27"/>
        <v>2.0000000000000001E-4</v>
      </c>
      <c r="O90" s="178">
        <v>54.121608000000002</v>
      </c>
      <c r="P90" s="80">
        <f t="shared" si="28"/>
        <v>2.0000000000000001E-4</v>
      </c>
      <c r="Q90" s="178">
        <v>55.204040159999998</v>
      </c>
      <c r="R90" s="80">
        <f t="shared" si="29"/>
        <v>2.0000000000000001E-4</v>
      </c>
      <c r="S90" s="178">
        <v>56.308120963199997</v>
      </c>
      <c r="T90" s="80">
        <f t="shared" si="30"/>
        <v>2.0000000000000001E-4</v>
      </c>
      <c r="U90" s="178">
        <v>57.434283382463995</v>
      </c>
      <c r="V90" s="80">
        <f t="shared" si="31"/>
        <v>2.0000000000000001E-4</v>
      </c>
      <c r="X90" s="192"/>
    </row>
    <row r="91" spans="1:24" ht="12.75" customHeight="1">
      <c r="A91" s="2" t="s">
        <v>435</v>
      </c>
      <c r="C91" s="178">
        <v>0</v>
      </c>
      <c r="D91" s="80">
        <f t="shared" si="32"/>
        <v>0</v>
      </c>
      <c r="E91" s="178">
        <v>0</v>
      </c>
      <c r="F91" s="80">
        <f t="shared" si="23"/>
        <v>0</v>
      </c>
      <c r="G91" s="178">
        <v>0</v>
      </c>
      <c r="H91" s="80">
        <f t="shared" si="24"/>
        <v>0</v>
      </c>
      <c r="I91" s="178">
        <v>0</v>
      </c>
      <c r="J91" s="80">
        <f t="shared" si="25"/>
        <v>0</v>
      </c>
      <c r="K91" s="178">
        <v>0</v>
      </c>
      <c r="L91" s="80">
        <f t="shared" si="26"/>
        <v>0</v>
      </c>
      <c r="M91" s="178">
        <v>0</v>
      </c>
      <c r="N91" s="80">
        <f t="shared" si="27"/>
        <v>0</v>
      </c>
      <c r="O91" s="178">
        <v>0</v>
      </c>
      <c r="P91" s="80">
        <f t="shared" si="28"/>
        <v>0</v>
      </c>
      <c r="Q91" s="178">
        <v>0</v>
      </c>
      <c r="R91" s="80">
        <f t="shared" si="29"/>
        <v>0</v>
      </c>
      <c r="S91" s="178">
        <v>0</v>
      </c>
      <c r="T91" s="80">
        <f t="shared" si="30"/>
        <v>0</v>
      </c>
      <c r="U91" s="178">
        <v>0</v>
      </c>
      <c r="V91" s="80">
        <f t="shared" si="31"/>
        <v>0</v>
      </c>
      <c r="X91" s="192"/>
    </row>
    <row r="92" spans="1:24" ht="12.75" customHeight="1">
      <c r="A92" s="2" t="s">
        <v>436</v>
      </c>
      <c r="B92" s="35"/>
      <c r="C92" s="178">
        <v>0</v>
      </c>
      <c r="D92" s="80">
        <f t="shared" si="32"/>
        <v>0</v>
      </c>
      <c r="E92" s="178">
        <v>0</v>
      </c>
      <c r="F92" s="80">
        <f t="shared" si="23"/>
        <v>0</v>
      </c>
      <c r="G92" s="178">
        <v>1299.9999999999998</v>
      </c>
      <c r="H92" s="80">
        <f t="shared" si="24"/>
        <v>5.1999999999999989E-3</v>
      </c>
      <c r="I92" s="178">
        <v>1326</v>
      </c>
      <c r="J92" s="80">
        <f t="shared" si="25"/>
        <v>5.1999999999999998E-3</v>
      </c>
      <c r="K92" s="178">
        <v>1352.52</v>
      </c>
      <c r="L92" s="80">
        <f t="shared" si="26"/>
        <v>5.1999999999999998E-3</v>
      </c>
      <c r="M92" s="178">
        <v>1379.5704000000001</v>
      </c>
      <c r="N92" s="80">
        <f t="shared" si="27"/>
        <v>5.2000000000000006E-3</v>
      </c>
      <c r="O92" s="178">
        <v>1407.1618079999998</v>
      </c>
      <c r="P92" s="80">
        <f t="shared" si="28"/>
        <v>5.1999999999999998E-3</v>
      </c>
      <c r="Q92" s="178">
        <v>1435.3050441599996</v>
      </c>
      <c r="R92" s="80">
        <f t="shared" si="29"/>
        <v>5.1999999999999989E-3</v>
      </c>
      <c r="S92" s="178">
        <v>1464.0111450431998</v>
      </c>
      <c r="T92" s="80">
        <f t="shared" si="30"/>
        <v>5.1999999999999998E-3</v>
      </c>
      <c r="U92" s="178">
        <v>1493.2913679440637</v>
      </c>
      <c r="V92" s="80">
        <f t="shared" si="31"/>
        <v>5.1999999999999998E-3</v>
      </c>
      <c r="X92" s="192"/>
    </row>
    <row r="93" spans="1:24" ht="12.75" customHeight="1">
      <c r="A93" s="2" t="s">
        <v>437</v>
      </c>
      <c r="B93" s="35"/>
      <c r="C93" s="178">
        <v>0</v>
      </c>
      <c r="D93" s="80">
        <f t="shared" si="32"/>
        <v>0</v>
      </c>
      <c r="E93" s="178">
        <v>0</v>
      </c>
      <c r="F93" s="80">
        <f t="shared" si="23"/>
        <v>0</v>
      </c>
      <c r="G93" s="178">
        <v>0</v>
      </c>
      <c r="H93" s="80">
        <f t="shared" si="24"/>
        <v>0</v>
      </c>
      <c r="I93" s="178">
        <v>0</v>
      </c>
      <c r="J93" s="80">
        <f t="shared" si="25"/>
        <v>0</v>
      </c>
      <c r="K93" s="178">
        <v>0</v>
      </c>
      <c r="L93" s="80">
        <f t="shared" si="26"/>
        <v>0</v>
      </c>
      <c r="M93" s="178">
        <v>0</v>
      </c>
      <c r="N93" s="80">
        <f t="shared" si="27"/>
        <v>0</v>
      </c>
      <c r="O93" s="178">
        <v>0</v>
      </c>
      <c r="P93" s="80">
        <f t="shared" si="28"/>
        <v>0</v>
      </c>
      <c r="Q93" s="178">
        <v>0</v>
      </c>
      <c r="R93" s="80">
        <f t="shared" si="29"/>
        <v>0</v>
      </c>
      <c r="S93" s="178">
        <v>0</v>
      </c>
      <c r="T93" s="80">
        <f t="shared" si="30"/>
        <v>0</v>
      </c>
      <c r="U93" s="178">
        <v>0</v>
      </c>
      <c r="V93" s="80">
        <f t="shared" si="31"/>
        <v>0</v>
      </c>
      <c r="X93" s="192"/>
    </row>
    <row r="94" spans="1:24" ht="12.75" customHeight="1">
      <c r="A94" s="2" t="s">
        <v>438</v>
      </c>
      <c r="B94" s="35"/>
      <c r="C94" s="178">
        <v>0</v>
      </c>
      <c r="D94" s="80">
        <f t="shared" si="32"/>
        <v>0</v>
      </c>
      <c r="E94" s="178">
        <v>0</v>
      </c>
      <c r="F94" s="80">
        <f t="shared" si="23"/>
        <v>0</v>
      </c>
      <c r="G94" s="178">
        <v>0</v>
      </c>
      <c r="H94" s="80">
        <f t="shared" si="24"/>
        <v>0</v>
      </c>
      <c r="I94" s="178">
        <v>0</v>
      </c>
      <c r="J94" s="80">
        <f t="shared" si="25"/>
        <v>0</v>
      </c>
      <c r="K94" s="178">
        <v>0</v>
      </c>
      <c r="L94" s="80">
        <f t="shared" si="26"/>
        <v>0</v>
      </c>
      <c r="M94" s="178">
        <v>0</v>
      </c>
      <c r="N94" s="80">
        <f t="shared" si="27"/>
        <v>0</v>
      </c>
      <c r="O94" s="178">
        <v>0</v>
      </c>
      <c r="P94" s="80">
        <f t="shared" si="28"/>
        <v>0</v>
      </c>
      <c r="Q94" s="178">
        <v>0</v>
      </c>
      <c r="R94" s="80">
        <f t="shared" si="29"/>
        <v>0</v>
      </c>
      <c r="S94" s="178">
        <v>0</v>
      </c>
      <c r="T94" s="80">
        <f t="shared" si="30"/>
        <v>0</v>
      </c>
      <c r="U94" s="178">
        <v>0</v>
      </c>
      <c r="V94" s="80">
        <f t="shared" si="31"/>
        <v>0</v>
      </c>
      <c r="X94" s="192"/>
    </row>
    <row r="95" spans="1:24" ht="12.75" customHeight="1">
      <c r="A95" s="2" t="s">
        <v>439</v>
      </c>
      <c r="B95" s="35"/>
      <c r="C95" s="178">
        <v>0</v>
      </c>
      <c r="D95" s="80">
        <f t="shared" si="32"/>
        <v>0</v>
      </c>
      <c r="E95" s="178">
        <v>0</v>
      </c>
      <c r="F95" s="80">
        <f t="shared" si="23"/>
        <v>0</v>
      </c>
      <c r="G95" s="178">
        <v>0</v>
      </c>
      <c r="H95" s="80">
        <f t="shared" si="24"/>
        <v>0</v>
      </c>
      <c r="I95" s="178">
        <v>0</v>
      </c>
      <c r="J95" s="80">
        <f t="shared" si="25"/>
        <v>0</v>
      </c>
      <c r="K95" s="178">
        <v>0</v>
      </c>
      <c r="L95" s="80">
        <f t="shared" si="26"/>
        <v>0</v>
      </c>
      <c r="M95" s="178">
        <v>0</v>
      </c>
      <c r="N95" s="80">
        <f t="shared" si="27"/>
        <v>0</v>
      </c>
      <c r="O95" s="178">
        <v>0</v>
      </c>
      <c r="P95" s="80">
        <f t="shared" si="28"/>
        <v>0</v>
      </c>
      <c r="Q95" s="178">
        <v>0</v>
      </c>
      <c r="R95" s="80">
        <f t="shared" si="29"/>
        <v>0</v>
      </c>
      <c r="S95" s="178">
        <v>0</v>
      </c>
      <c r="T95" s="80">
        <f t="shared" si="30"/>
        <v>0</v>
      </c>
      <c r="U95" s="178">
        <v>0</v>
      </c>
      <c r="V95" s="80">
        <f t="shared" si="31"/>
        <v>0</v>
      </c>
      <c r="X95" s="192"/>
    </row>
    <row r="96" spans="1:24" ht="12.75" customHeight="1">
      <c r="A96" s="2" t="s">
        <v>440</v>
      </c>
      <c r="B96" s="35"/>
      <c r="C96" s="178">
        <v>0</v>
      </c>
      <c r="D96" s="80">
        <f t="shared" si="32"/>
        <v>0</v>
      </c>
      <c r="E96" s="178">
        <v>0</v>
      </c>
      <c r="F96" s="80">
        <f t="shared" si="23"/>
        <v>0</v>
      </c>
      <c r="G96" s="178">
        <v>0</v>
      </c>
      <c r="H96" s="80">
        <f t="shared" si="24"/>
        <v>0</v>
      </c>
      <c r="I96" s="178">
        <v>0</v>
      </c>
      <c r="J96" s="80">
        <f t="shared" si="25"/>
        <v>0</v>
      </c>
      <c r="K96" s="178">
        <v>0</v>
      </c>
      <c r="L96" s="80">
        <f t="shared" si="26"/>
        <v>0</v>
      </c>
      <c r="M96" s="178">
        <v>0</v>
      </c>
      <c r="N96" s="80">
        <f t="shared" si="27"/>
        <v>0</v>
      </c>
      <c r="O96" s="178">
        <v>0</v>
      </c>
      <c r="P96" s="80">
        <f t="shared" si="28"/>
        <v>0</v>
      </c>
      <c r="Q96" s="178">
        <v>0</v>
      </c>
      <c r="R96" s="80">
        <f t="shared" si="29"/>
        <v>0</v>
      </c>
      <c r="S96" s="178">
        <v>0</v>
      </c>
      <c r="T96" s="80">
        <f t="shared" si="30"/>
        <v>0</v>
      </c>
      <c r="U96" s="178">
        <v>0</v>
      </c>
      <c r="V96" s="80">
        <f t="shared" si="31"/>
        <v>0</v>
      </c>
      <c r="X96" s="192"/>
    </row>
    <row r="97" spans="1:24" ht="12.75" customHeight="1">
      <c r="A97" s="2" t="s">
        <v>441</v>
      </c>
      <c r="B97" s="35"/>
      <c r="C97" s="178">
        <v>0</v>
      </c>
      <c r="D97" s="80">
        <f t="shared" si="32"/>
        <v>0</v>
      </c>
      <c r="E97" s="178">
        <v>0</v>
      </c>
      <c r="F97" s="80">
        <f t="shared" si="23"/>
        <v>0</v>
      </c>
      <c r="G97" s="178">
        <v>4211.4791749999995</v>
      </c>
      <c r="H97" s="80">
        <f t="shared" si="24"/>
        <v>1.6845916699999998E-2</v>
      </c>
      <c r="I97" s="178">
        <v>4346.2465086000002</v>
      </c>
      <c r="J97" s="80">
        <f t="shared" si="25"/>
        <v>1.704410395529412E-2</v>
      </c>
      <c r="K97" s="178">
        <v>4438.8861387720008</v>
      </c>
      <c r="L97" s="80">
        <f t="shared" si="26"/>
        <v>1.7066075120230683E-2</v>
      </c>
      <c r="M97" s="178">
        <v>4530.2540564086676</v>
      </c>
      <c r="N97" s="80">
        <f t="shared" si="27"/>
        <v>1.7075838314104936E-2</v>
      </c>
      <c r="O97" s="178">
        <v>4626.8631442243404</v>
      </c>
      <c r="P97" s="80">
        <f t="shared" si="28"/>
        <v>1.7098025410569252E-2</v>
      </c>
      <c r="Q97" s="178">
        <v>4673.1317756665849</v>
      </c>
      <c r="R97" s="80">
        <f t="shared" si="29"/>
        <v>1.6930397710465634E-2</v>
      </c>
      <c r="S97" s="178">
        <v>4732.2943892697185</v>
      </c>
      <c r="T97" s="80">
        <f t="shared" si="30"/>
        <v>1.6808567959007176E-2</v>
      </c>
      <c r="U97" s="178">
        <v>4833.2802379368122</v>
      </c>
      <c r="V97" s="80">
        <f t="shared" si="31"/>
        <v>1.6830645228917487E-2</v>
      </c>
      <c r="X97" s="192"/>
    </row>
    <row r="98" spans="1:24" ht="12.75" customHeight="1">
      <c r="A98" s="6" t="s">
        <v>470</v>
      </c>
      <c r="B98" s="35"/>
      <c r="C98" s="178">
        <v>0</v>
      </c>
      <c r="D98" s="80">
        <f t="shared" si="32"/>
        <v>0</v>
      </c>
      <c r="E98" s="178">
        <v>0</v>
      </c>
      <c r="F98" s="80">
        <f t="shared" si="23"/>
        <v>0</v>
      </c>
      <c r="G98" s="178">
        <v>299.99999999999994</v>
      </c>
      <c r="H98" s="80">
        <f t="shared" si="24"/>
        <v>1.1999999999999997E-3</v>
      </c>
      <c r="I98" s="178">
        <v>305.99999999999994</v>
      </c>
      <c r="J98" s="80">
        <f t="shared" si="25"/>
        <v>1.1999999999999997E-3</v>
      </c>
      <c r="K98" s="178">
        <v>312.12</v>
      </c>
      <c r="L98" s="80">
        <f t="shared" si="26"/>
        <v>1.2000000000000001E-3</v>
      </c>
      <c r="M98" s="178">
        <v>318.36239999999998</v>
      </c>
      <c r="N98" s="80">
        <f t="shared" si="27"/>
        <v>1.1999999999999999E-3</v>
      </c>
      <c r="O98" s="178">
        <v>324.729648</v>
      </c>
      <c r="P98" s="80">
        <f t="shared" si="28"/>
        <v>1.2000000000000001E-3</v>
      </c>
      <c r="Q98" s="178">
        <v>331.22424095999992</v>
      </c>
      <c r="R98" s="80">
        <f t="shared" si="29"/>
        <v>1.1999999999999997E-3</v>
      </c>
      <c r="S98" s="178">
        <v>337.84872577919992</v>
      </c>
      <c r="T98" s="80">
        <f t="shared" si="30"/>
        <v>1.1999999999999999E-3</v>
      </c>
      <c r="U98" s="178">
        <v>344.6057002947839</v>
      </c>
      <c r="V98" s="80">
        <f t="shared" si="31"/>
        <v>1.1999999999999999E-3</v>
      </c>
      <c r="X98" s="192"/>
    </row>
    <row r="99" spans="1:24" ht="12.75" customHeight="1">
      <c r="A99" s="6" t="s">
        <v>470</v>
      </c>
      <c r="B99" s="35"/>
      <c r="C99" s="178">
        <v>0</v>
      </c>
      <c r="D99" s="80">
        <f t="shared" si="32"/>
        <v>0</v>
      </c>
      <c r="E99" s="178">
        <v>0</v>
      </c>
      <c r="F99" s="80">
        <f t="shared" si="23"/>
        <v>0</v>
      </c>
      <c r="G99" s="178">
        <v>0</v>
      </c>
      <c r="H99" s="80">
        <f t="shared" si="24"/>
        <v>0</v>
      </c>
      <c r="I99" s="178">
        <v>0</v>
      </c>
      <c r="J99" s="80">
        <f t="shared" si="25"/>
        <v>0</v>
      </c>
      <c r="K99" s="178">
        <v>0</v>
      </c>
      <c r="L99" s="80">
        <f t="shared" si="26"/>
        <v>0</v>
      </c>
      <c r="M99" s="178">
        <v>0</v>
      </c>
      <c r="N99" s="80">
        <f t="shared" si="27"/>
        <v>0</v>
      </c>
      <c r="O99" s="178">
        <v>0</v>
      </c>
      <c r="P99" s="80">
        <f t="shared" si="28"/>
        <v>0</v>
      </c>
      <c r="Q99" s="178">
        <v>0</v>
      </c>
      <c r="R99" s="80">
        <f t="shared" si="29"/>
        <v>0</v>
      </c>
      <c r="S99" s="178">
        <v>0</v>
      </c>
      <c r="T99" s="80">
        <f t="shared" si="30"/>
        <v>0</v>
      </c>
      <c r="U99" s="178">
        <v>0</v>
      </c>
      <c r="V99" s="80">
        <f t="shared" si="31"/>
        <v>0</v>
      </c>
      <c r="X99" s="192"/>
    </row>
    <row r="100" spans="1:24" ht="12.75" customHeight="1">
      <c r="A100" s="6" t="s">
        <v>470</v>
      </c>
      <c r="B100" s="35"/>
      <c r="C100" s="178">
        <v>0</v>
      </c>
      <c r="D100" s="80">
        <f t="shared" si="32"/>
        <v>0</v>
      </c>
      <c r="E100" s="178">
        <v>0</v>
      </c>
      <c r="F100" s="80">
        <f t="shared" si="23"/>
        <v>0</v>
      </c>
      <c r="G100" s="178">
        <v>0</v>
      </c>
      <c r="H100" s="80">
        <f t="shared" si="24"/>
        <v>0</v>
      </c>
      <c r="I100" s="178">
        <v>0</v>
      </c>
      <c r="J100" s="80">
        <f t="shared" si="25"/>
        <v>0</v>
      </c>
      <c r="K100" s="178">
        <v>0</v>
      </c>
      <c r="L100" s="80">
        <f t="shared" si="26"/>
        <v>0</v>
      </c>
      <c r="M100" s="178">
        <v>0</v>
      </c>
      <c r="N100" s="80">
        <f t="shared" si="27"/>
        <v>0</v>
      </c>
      <c r="O100" s="178">
        <v>0</v>
      </c>
      <c r="P100" s="80">
        <f t="shared" si="28"/>
        <v>0</v>
      </c>
      <c r="Q100" s="178">
        <v>0</v>
      </c>
      <c r="R100" s="80">
        <f t="shared" si="29"/>
        <v>0</v>
      </c>
      <c r="S100" s="178">
        <v>0</v>
      </c>
      <c r="T100" s="80">
        <f t="shared" si="30"/>
        <v>0</v>
      </c>
      <c r="U100" s="178">
        <v>0</v>
      </c>
      <c r="V100" s="80">
        <f t="shared" si="31"/>
        <v>0</v>
      </c>
      <c r="X100" s="192"/>
    </row>
    <row r="101" spans="1:24" ht="12.75" customHeight="1">
      <c r="A101" s="28" t="s">
        <v>445</v>
      </c>
      <c r="B101" s="35"/>
      <c r="C101" s="178"/>
      <c r="D101" s="80">
        <f t="shared" si="32"/>
        <v>0</v>
      </c>
      <c r="E101" s="178"/>
      <c r="F101" s="80">
        <f t="shared" si="23"/>
        <v>0</v>
      </c>
      <c r="G101" s="178"/>
      <c r="H101" s="80">
        <f t="shared" si="24"/>
        <v>0</v>
      </c>
      <c r="I101" s="178">
        <v>0</v>
      </c>
      <c r="J101" s="80">
        <f t="shared" si="25"/>
        <v>0</v>
      </c>
      <c r="K101" s="178">
        <v>0</v>
      </c>
      <c r="L101" s="80">
        <f t="shared" si="26"/>
        <v>0</v>
      </c>
      <c r="M101" s="178">
        <v>0</v>
      </c>
      <c r="N101" s="80">
        <f t="shared" si="27"/>
        <v>0</v>
      </c>
      <c r="O101" s="178">
        <v>0</v>
      </c>
      <c r="P101" s="80">
        <f t="shared" si="28"/>
        <v>0</v>
      </c>
      <c r="Q101" s="178">
        <v>0</v>
      </c>
      <c r="R101" s="80">
        <f t="shared" si="29"/>
        <v>0</v>
      </c>
      <c r="S101" s="178">
        <v>0</v>
      </c>
      <c r="T101" s="80">
        <f t="shared" si="30"/>
        <v>0</v>
      </c>
      <c r="U101" s="178">
        <v>0</v>
      </c>
      <c r="V101" s="80">
        <f t="shared" si="31"/>
        <v>0</v>
      </c>
      <c r="X101" s="192"/>
    </row>
    <row r="102" spans="1:24" ht="12.75" customHeight="1">
      <c r="A102" s="117" t="s">
        <v>444</v>
      </c>
      <c r="B102" s="35"/>
      <c r="C102" s="178">
        <v>0</v>
      </c>
      <c r="D102" s="80">
        <f t="shared" si="32"/>
        <v>0</v>
      </c>
      <c r="E102" s="178">
        <v>0</v>
      </c>
      <c r="F102" s="80">
        <f t="shared" si="23"/>
        <v>0</v>
      </c>
      <c r="G102" s="178">
        <v>2500</v>
      </c>
      <c r="H102" s="80">
        <f t="shared" si="24"/>
        <v>0.01</v>
      </c>
      <c r="I102" s="178">
        <v>2550</v>
      </c>
      <c r="J102" s="80">
        <f t="shared" si="25"/>
        <v>0.01</v>
      </c>
      <c r="K102" s="178">
        <v>2601.0000000000005</v>
      </c>
      <c r="L102" s="80">
        <f t="shared" si="26"/>
        <v>1.0000000000000002E-2</v>
      </c>
      <c r="M102" s="178">
        <v>2653.02</v>
      </c>
      <c r="N102" s="80">
        <f t="shared" si="27"/>
        <v>0.01</v>
      </c>
      <c r="O102" s="178">
        <v>2706.0804000000003</v>
      </c>
      <c r="P102" s="80">
        <f t="shared" si="28"/>
        <v>1.0000000000000002E-2</v>
      </c>
      <c r="Q102" s="178">
        <v>2760.2020079999998</v>
      </c>
      <c r="R102" s="80">
        <f t="shared" si="29"/>
        <v>0.01</v>
      </c>
      <c r="S102" s="178">
        <v>2815.40604816</v>
      </c>
      <c r="T102" s="80">
        <f t="shared" si="30"/>
        <v>0.01</v>
      </c>
      <c r="U102" s="178">
        <v>2871.7141691231996</v>
      </c>
      <c r="V102" s="80">
        <f t="shared" si="31"/>
        <v>0.01</v>
      </c>
      <c r="X102" s="192"/>
    </row>
    <row r="103" spans="1:24" ht="12.75" customHeight="1">
      <c r="A103" s="117" t="s">
        <v>444</v>
      </c>
      <c r="B103" s="35"/>
      <c r="C103" s="178">
        <v>0</v>
      </c>
      <c r="D103" s="80">
        <f t="shared" si="32"/>
        <v>0</v>
      </c>
      <c r="E103" s="178">
        <v>0</v>
      </c>
      <c r="F103" s="80">
        <f t="shared" si="23"/>
        <v>0</v>
      </c>
      <c r="G103" s="178">
        <v>0</v>
      </c>
      <c r="H103" s="80">
        <f t="shared" si="24"/>
        <v>0</v>
      </c>
      <c r="I103" s="178">
        <v>0</v>
      </c>
      <c r="J103" s="80">
        <f t="shared" si="25"/>
        <v>0</v>
      </c>
      <c r="K103" s="178">
        <v>0</v>
      </c>
      <c r="L103" s="80">
        <f t="shared" si="26"/>
        <v>0</v>
      </c>
      <c r="M103" s="178">
        <v>0</v>
      </c>
      <c r="N103" s="80">
        <f t="shared" si="27"/>
        <v>0</v>
      </c>
      <c r="O103" s="178">
        <v>0</v>
      </c>
      <c r="P103" s="80">
        <f t="shared" si="28"/>
        <v>0</v>
      </c>
      <c r="Q103" s="178">
        <v>0</v>
      </c>
      <c r="R103" s="80">
        <f t="shared" si="29"/>
        <v>0</v>
      </c>
      <c r="S103" s="178">
        <v>0</v>
      </c>
      <c r="T103" s="80">
        <f t="shared" si="30"/>
        <v>0</v>
      </c>
      <c r="U103" s="178">
        <v>0</v>
      </c>
      <c r="V103" s="80">
        <f t="shared" si="31"/>
        <v>0</v>
      </c>
      <c r="X103" s="192"/>
    </row>
    <row r="104" spans="1:24" ht="12.75" customHeight="1">
      <c r="A104" s="117" t="s">
        <v>444</v>
      </c>
      <c r="B104" s="35"/>
      <c r="C104" s="178">
        <v>0</v>
      </c>
      <c r="D104" s="80">
        <f t="shared" si="32"/>
        <v>0</v>
      </c>
      <c r="E104" s="178">
        <v>0</v>
      </c>
      <c r="F104" s="80">
        <f t="shared" si="23"/>
        <v>0</v>
      </c>
      <c r="G104" s="178">
        <v>0</v>
      </c>
      <c r="H104" s="80">
        <f t="shared" si="24"/>
        <v>0</v>
      </c>
      <c r="I104" s="178">
        <v>0</v>
      </c>
      <c r="J104" s="80">
        <f t="shared" si="25"/>
        <v>0</v>
      </c>
      <c r="K104" s="178">
        <v>0</v>
      </c>
      <c r="L104" s="80">
        <f t="shared" si="26"/>
        <v>0</v>
      </c>
      <c r="M104" s="178">
        <v>0</v>
      </c>
      <c r="N104" s="80">
        <f t="shared" si="27"/>
        <v>0</v>
      </c>
      <c r="O104" s="178">
        <v>0</v>
      </c>
      <c r="P104" s="80">
        <f t="shared" si="28"/>
        <v>0</v>
      </c>
      <c r="Q104" s="178">
        <v>0</v>
      </c>
      <c r="R104" s="80">
        <f t="shared" si="29"/>
        <v>0</v>
      </c>
      <c r="S104" s="178">
        <v>0</v>
      </c>
      <c r="T104" s="80">
        <f t="shared" si="30"/>
        <v>0</v>
      </c>
      <c r="U104" s="178">
        <v>0</v>
      </c>
      <c r="V104" s="80">
        <f t="shared" si="31"/>
        <v>0</v>
      </c>
      <c r="X104" s="192"/>
    </row>
    <row r="105" spans="1:24" ht="12.75" customHeight="1">
      <c r="A105" s="2" t="s">
        <v>445</v>
      </c>
      <c r="B105" s="53"/>
      <c r="C105" s="82">
        <f>SUM(C52:C104)</f>
        <v>0</v>
      </c>
      <c r="D105" s="83">
        <f t="shared" si="32"/>
        <v>0</v>
      </c>
      <c r="E105" s="82">
        <f>SUM(E52:E104)</f>
        <v>0</v>
      </c>
      <c r="F105" s="83">
        <f t="shared" si="23"/>
        <v>0</v>
      </c>
      <c r="G105" s="82">
        <f>SUM(G52:G104)</f>
        <v>27267.633240230924</v>
      </c>
      <c r="H105" s="83">
        <f t="shared" ref="H105" si="33">IFERROR(G105/G$28,0)</f>
        <v>0.1090705329609237</v>
      </c>
      <c r="I105" s="82">
        <f>SUM(I52:I104)</f>
        <v>27871.521571804773</v>
      </c>
      <c r="J105" s="83">
        <f t="shared" ref="J105" si="34">IFERROR(I105/I$28,0)</f>
        <v>0.10930008459531283</v>
      </c>
      <c r="K105" s="82">
        <f>SUM(K52:K104)</f>
        <v>28424.85009651833</v>
      </c>
      <c r="L105" s="83">
        <f t="shared" ref="L105" si="35">IFERROR(K105/K$28,0)</f>
        <v>0.10928431409657181</v>
      </c>
      <c r="M105" s="82">
        <f>SUM(M52:M104)</f>
        <v>29001.397706148</v>
      </c>
      <c r="N105" s="83">
        <f t="shared" ref="N105" si="36">IFERROR(M105/M$28,0)</f>
        <v>0.10931465916633874</v>
      </c>
      <c r="O105" s="82">
        <f>SUM(O52:O104)</f>
        <v>29594.251975344159</v>
      </c>
      <c r="P105" s="83">
        <f t="shared" ref="P105" si="37">IFERROR(O105/O$28,0)</f>
        <v>0.10936205729639134</v>
      </c>
      <c r="Q105" s="82">
        <f>SUM(Q52:Q104)</f>
        <v>30149.801780707301</v>
      </c>
      <c r="R105" s="83">
        <f t="shared" ref="R105" si="38">IFERROR(Q105/Q$28,0)</f>
        <v>0.10923041753220586</v>
      </c>
      <c r="S105" s="82">
        <f>SUM(S52:S104)</f>
        <v>30728.382405415952</v>
      </c>
      <c r="T105" s="83">
        <f t="shared" ref="T105" si="39">IFERROR(S105/S$28,0)</f>
        <v>0.10914369678753229</v>
      </c>
      <c r="U105" s="82">
        <f>SUM(U52:U104)</f>
        <v>31360.063805242989</v>
      </c>
      <c r="V105" s="83">
        <f t="shared" si="31"/>
        <v>0.10920329099054429</v>
      </c>
    </row>
    <row r="106" spans="1:24" ht="12.75" customHeight="1">
      <c r="A106" s="117" t="s">
        <v>446</v>
      </c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17" t="s">
        <v>446</v>
      </c>
      <c r="B107" s="53"/>
      <c r="C107" s="82">
        <f>C28-C33-C46-C105</f>
        <v>41800</v>
      </c>
      <c r="D107" s="83">
        <f>IFERROR(C107/C$28,0)</f>
        <v>1</v>
      </c>
      <c r="E107" s="82">
        <f>E28-E33-E46-E105</f>
        <v>42636</v>
      </c>
      <c r="F107" s="83">
        <f>IFERROR(E107/E$28,0)</f>
        <v>1</v>
      </c>
      <c r="G107" s="82">
        <f>G28-G33-G46-G105</f>
        <v>17690.456729769077</v>
      </c>
      <c r="H107" s="83">
        <f>IFERROR(G107/G$28,0)</f>
        <v>7.0761826919076315E-2</v>
      </c>
      <c r="I107" s="82">
        <f>I28-I33-I46-I105</f>
        <v>19030.426792195223</v>
      </c>
      <c r="J107" s="83">
        <f>IFERROR(I107/I$28,0)</f>
        <v>7.4629124675275382E-2</v>
      </c>
      <c r="K107" s="82">
        <f>K28-K33-K46-K105</f>
        <v>19274.011234761656</v>
      </c>
      <c r="L107" s="83">
        <f>IFERROR(K107/K$28,0)</f>
        <v>7.4102311552332392E-2</v>
      </c>
      <c r="M107" s="82">
        <f>M28-M33-M46-M105</f>
        <v>19596.621010426326</v>
      </c>
      <c r="N107" s="83">
        <f>IFERROR(M107/M$28,0)</f>
        <v>7.3865334639114391E-2</v>
      </c>
      <c r="O107" s="82">
        <f>O28-O33-O46-O105</f>
        <v>19827.456611811664</v>
      </c>
      <c r="P107" s="83">
        <f>IFERROR(O107/O$28,0)</f>
        <v>7.3270020402245492E-2</v>
      </c>
      <c r="Q107" s="82">
        <f>Q28-Q33-Q46-Q105</f>
        <v>21498.015348320074</v>
      </c>
      <c r="R107" s="83">
        <f>IFERROR(Q107/Q$28,0)</f>
        <v>7.7885659404679605E-2</v>
      </c>
      <c r="S107" s="82">
        <f>S28-S33-S46-S105</f>
        <v>22895.448102007325</v>
      </c>
      <c r="T107" s="83">
        <f>IFERROR(S107/S$28,0)</f>
        <v>8.1322010787646698E-2</v>
      </c>
      <c r="U107" s="82">
        <f>U28-U33-U46-U105</f>
        <v>23179.676332541374</v>
      </c>
      <c r="V107" s="83">
        <f>IFERROR(U107/U$28,0)</f>
        <v>8.0717212673079727E-2</v>
      </c>
    </row>
    <row r="108" spans="1:24" ht="12.75" customHeight="1">
      <c r="A108" s="117" t="s">
        <v>446</v>
      </c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 t="s">
        <v>447</v>
      </c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1"/>
      <c r="B110" s="40"/>
      <c r="C110" s="86" t="str">
        <f>C50</f>
        <v>FY 2018-19</v>
      </c>
      <c r="D110" s="86" t="s">
        <v>366</v>
      </c>
      <c r="E110" s="86" t="str">
        <f>E50</f>
        <v>FY 2019-20</v>
      </c>
      <c r="F110" s="86" t="s">
        <v>366</v>
      </c>
      <c r="G110" s="86" t="str">
        <f>G50</f>
        <v>FY 2020-21</v>
      </c>
      <c r="H110" s="86" t="s">
        <v>366</v>
      </c>
      <c r="I110" s="86" t="str">
        <f>I50</f>
        <v>FY 2021-22</v>
      </c>
      <c r="J110" s="86" t="s">
        <v>366</v>
      </c>
      <c r="K110" s="86" t="str">
        <f>K50</f>
        <v>FY 2022-23</v>
      </c>
      <c r="L110" s="86" t="s">
        <v>366</v>
      </c>
      <c r="M110" s="86" t="str">
        <f>M50</f>
        <v>FY 2023-24</v>
      </c>
      <c r="N110" s="86" t="s">
        <v>366</v>
      </c>
      <c r="O110" s="86" t="str">
        <f>O50</f>
        <v>FY 2024-25</v>
      </c>
      <c r="P110" s="86" t="s">
        <v>366</v>
      </c>
      <c r="Q110" s="86" t="str">
        <f>Q50</f>
        <v>FY 2025-26</v>
      </c>
      <c r="R110" s="86" t="s">
        <v>366</v>
      </c>
      <c r="S110" s="86" t="str">
        <f>S50</f>
        <v>FY 2026-27</v>
      </c>
      <c r="T110" s="86" t="s">
        <v>366</v>
      </c>
      <c r="U110" s="86" t="str">
        <f>U50</f>
        <v>FY 2027-28</v>
      </c>
      <c r="V110" s="86" t="s">
        <v>366</v>
      </c>
    </row>
    <row r="111" spans="1:24" ht="12.75" customHeight="1">
      <c r="A111" s="1" t="s">
        <v>448</v>
      </c>
      <c r="B111" s="35"/>
      <c r="C111" s="79">
        <f>C59</f>
        <v>0</v>
      </c>
      <c r="D111" s="80">
        <f t="shared" ref="D111:D116" si="40">IFERROR(C111/C$28,0)</f>
        <v>0</v>
      </c>
      <c r="E111" s="79">
        <f>E59</f>
        <v>0</v>
      </c>
      <c r="F111" s="80">
        <f t="shared" ref="F111:F116" si="41">IFERROR(E111/E$28,0)</f>
        <v>0</v>
      </c>
      <c r="G111" s="79">
        <f>G59</f>
        <v>0</v>
      </c>
      <c r="H111" s="80">
        <f t="shared" ref="H111:H116" si="42">IFERROR(G111/G$28,0)</f>
        <v>0</v>
      </c>
      <c r="I111" s="79">
        <f>I59</f>
        <v>0</v>
      </c>
      <c r="J111" s="80">
        <f t="shared" ref="J111:J116" si="43">IFERROR(I111/I$28,0)</f>
        <v>0</v>
      </c>
      <c r="K111" s="79">
        <f>K59</f>
        <v>0</v>
      </c>
      <c r="L111" s="80">
        <f t="shared" ref="L111:L116" si="44">IFERROR(K111/K$28,0)</f>
        <v>0</v>
      </c>
      <c r="M111" s="79">
        <f>M59</f>
        <v>0</v>
      </c>
      <c r="N111" s="80">
        <f t="shared" ref="N111:N116" si="45">IFERROR(M111/M$28,0)</f>
        <v>0</v>
      </c>
      <c r="O111" s="79">
        <f>O59</f>
        <v>0</v>
      </c>
      <c r="P111" s="80">
        <f t="shared" ref="P111:P116" si="46">IFERROR(O111/O$28,0)</f>
        <v>0</v>
      </c>
      <c r="Q111" s="79">
        <f>Q59</f>
        <v>0</v>
      </c>
      <c r="R111" s="80">
        <f t="shared" ref="R111:R116" si="47">IFERROR(Q111/Q$28,0)</f>
        <v>0</v>
      </c>
      <c r="S111" s="79">
        <f>S59</f>
        <v>0</v>
      </c>
      <c r="T111" s="80">
        <f t="shared" ref="T111:T116" si="48">IFERROR(S111/S$28,0)</f>
        <v>0</v>
      </c>
      <c r="U111" s="79">
        <f>U59</f>
        <v>0</v>
      </c>
      <c r="V111" s="80">
        <f t="shared" ref="V111:V116" si="49">IFERROR(U111/U$28,0)</f>
        <v>0</v>
      </c>
    </row>
    <row r="112" spans="1:24" ht="12.75" customHeight="1">
      <c r="A112" s="1"/>
      <c r="B112" s="35"/>
      <c r="C112" s="79">
        <f>C62</f>
        <v>0</v>
      </c>
      <c r="D112" s="80">
        <f t="shared" si="40"/>
        <v>0</v>
      </c>
      <c r="E112" s="79">
        <f>E62</f>
        <v>0</v>
      </c>
      <c r="F112" s="80">
        <f t="shared" si="41"/>
        <v>0</v>
      </c>
      <c r="G112" s="79">
        <f>G62</f>
        <v>0</v>
      </c>
      <c r="H112" s="80">
        <f t="shared" si="42"/>
        <v>0</v>
      </c>
      <c r="I112" s="79">
        <f>I62</f>
        <v>0</v>
      </c>
      <c r="J112" s="80">
        <f t="shared" si="43"/>
        <v>0</v>
      </c>
      <c r="K112" s="79">
        <f>K62</f>
        <v>0</v>
      </c>
      <c r="L112" s="80">
        <f t="shared" si="44"/>
        <v>0</v>
      </c>
      <c r="M112" s="79">
        <f>M62</f>
        <v>0</v>
      </c>
      <c r="N112" s="80">
        <f t="shared" si="45"/>
        <v>0</v>
      </c>
      <c r="O112" s="79">
        <f>O62</f>
        <v>0</v>
      </c>
      <c r="P112" s="80">
        <f t="shared" si="46"/>
        <v>0</v>
      </c>
      <c r="Q112" s="79">
        <f>Q62</f>
        <v>0</v>
      </c>
      <c r="R112" s="80">
        <f t="shared" si="47"/>
        <v>0</v>
      </c>
      <c r="S112" s="79">
        <f>S62</f>
        <v>0</v>
      </c>
      <c r="T112" s="80">
        <f t="shared" si="48"/>
        <v>0</v>
      </c>
      <c r="U112" s="79">
        <f>U62</f>
        <v>0</v>
      </c>
      <c r="V112" s="80">
        <f t="shared" si="49"/>
        <v>0</v>
      </c>
    </row>
    <row r="113" spans="1:22" ht="12.75" customHeight="1">
      <c r="A113" s="1"/>
      <c r="B113" s="41"/>
      <c r="C113" s="111">
        <v>0</v>
      </c>
      <c r="D113" s="80">
        <f t="shared" si="40"/>
        <v>0</v>
      </c>
      <c r="E113" s="111">
        <v>0</v>
      </c>
      <c r="F113" s="80">
        <f t="shared" si="41"/>
        <v>0</v>
      </c>
      <c r="G113" s="111">
        <v>0</v>
      </c>
      <c r="H113" s="80">
        <f t="shared" si="42"/>
        <v>0</v>
      </c>
      <c r="I113" s="111">
        <v>0</v>
      </c>
      <c r="J113" s="80">
        <f t="shared" si="43"/>
        <v>0</v>
      </c>
      <c r="K113" s="111">
        <v>0</v>
      </c>
      <c r="L113" s="80">
        <f t="shared" si="44"/>
        <v>0</v>
      </c>
      <c r="M113" s="111">
        <v>0</v>
      </c>
      <c r="N113" s="80">
        <f t="shared" si="45"/>
        <v>0</v>
      </c>
      <c r="O113" s="111">
        <v>0</v>
      </c>
      <c r="P113" s="80">
        <f t="shared" si="46"/>
        <v>0</v>
      </c>
      <c r="Q113" s="111">
        <v>0</v>
      </c>
      <c r="R113" s="80">
        <f t="shared" si="47"/>
        <v>0</v>
      </c>
      <c r="S113" s="111">
        <v>0</v>
      </c>
      <c r="T113" s="80">
        <f t="shared" si="48"/>
        <v>0</v>
      </c>
      <c r="U113" s="111">
        <v>0</v>
      </c>
      <c r="V113" s="80">
        <f t="shared" si="49"/>
        <v>0</v>
      </c>
    </row>
    <row r="114" spans="1:22" ht="12.75" customHeight="1">
      <c r="A114" s="40" t="s">
        <v>449</v>
      </c>
      <c r="B114" s="41"/>
      <c r="C114" s="111">
        <v>0</v>
      </c>
      <c r="D114" s="80">
        <f t="shared" si="40"/>
        <v>0</v>
      </c>
      <c r="E114" s="111">
        <v>0</v>
      </c>
      <c r="F114" s="80">
        <f t="shared" si="41"/>
        <v>0</v>
      </c>
      <c r="G114" s="111">
        <v>0</v>
      </c>
      <c r="H114" s="80">
        <f t="shared" si="42"/>
        <v>0</v>
      </c>
      <c r="I114" s="111">
        <v>0</v>
      </c>
      <c r="J114" s="80">
        <f t="shared" si="43"/>
        <v>0</v>
      </c>
      <c r="K114" s="111">
        <v>0</v>
      </c>
      <c r="L114" s="80">
        <f t="shared" si="44"/>
        <v>0</v>
      </c>
      <c r="M114" s="111">
        <v>0</v>
      </c>
      <c r="N114" s="80">
        <f t="shared" si="45"/>
        <v>0</v>
      </c>
      <c r="O114" s="111">
        <v>0</v>
      </c>
      <c r="P114" s="80">
        <f t="shared" si="46"/>
        <v>0</v>
      </c>
      <c r="Q114" s="111">
        <v>0</v>
      </c>
      <c r="R114" s="80">
        <f t="shared" si="47"/>
        <v>0</v>
      </c>
      <c r="S114" s="111">
        <v>0</v>
      </c>
      <c r="T114" s="80">
        <f t="shared" si="48"/>
        <v>0</v>
      </c>
      <c r="U114" s="111">
        <v>0</v>
      </c>
      <c r="V114" s="80">
        <f t="shared" si="49"/>
        <v>0</v>
      </c>
    </row>
    <row r="115" spans="1:22" ht="12.75" customHeight="1">
      <c r="A115" s="2" t="s">
        <v>403</v>
      </c>
      <c r="B115" s="41"/>
      <c r="C115" s="112">
        <v>0</v>
      </c>
      <c r="D115" s="80">
        <f t="shared" si="40"/>
        <v>0</v>
      </c>
      <c r="E115" s="112">
        <v>0</v>
      </c>
      <c r="F115" s="80">
        <f t="shared" si="41"/>
        <v>0</v>
      </c>
      <c r="G115" s="112">
        <v>0</v>
      </c>
      <c r="H115" s="80">
        <f t="shared" si="42"/>
        <v>0</v>
      </c>
      <c r="I115" s="112">
        <v>0</v>
      </c>
      <c r="J115" s="80">
        <f t="shared" si="43"/>
        <v>0</v>
      </c>
      <c r="K115" s="112">
        <v>0</v>
      </c>
      <c r="L115" s="80">
        <f t="shared" si="44"/>
        <v>0</v>
      </c>
      <c r="M115" s="112">
        <v>0</v>
      </c>
      <c r="N115" s="80">
        <f t="shared" si="45"/>
        <v>0</v>
      </c>
      <c r="O115" s="112">
        <v>0</v>
      </c>
      <c r="P115" s="80">
        <f t="shared" si="46"/>
        <v>0</v>
      </c>
      <c r="Q115" s="112">
        <v>0</v>
      </c>
      <c r="R115" s="80">
        <f t="shared" si="47"/>
        <v>0</v>
      </c>
      <c r="S115" s="112">
        <v>0</v>
      </c>
      <c r="T115" s="80">
        <f t="shared" si="48"/>
        <v>0</v>
      </c>
      <c r="U115" s="112">
        <v>0</v>
      </c>
      <c r="V115" s="80">
        <f t="shared" si="49"/>
        <v>0</v>
      </c>
    </row>
    <row r="116" spans="1:22" ht="12.75" customHeight="1">
      <c r="A116" s="2" t="s">
        <v>450</v>
      </c>
      <c r="B116" s="42"/>
      <c r="C116" s="85">
        <f>SUM(C111:C115)</f>
        <v>0</v>
      </c>
      <c r="D116" s="83">
        <f t="shared" si="40"/>
        <v>0</v>
      </c>
      <c r="E116" s="85">
        <f>SUM(E111:E115)</f>
        <v>0</v>
      </c>
      <c r="F116" s="83">
        <f t="shared" si="41"/>
        <v>0</v>
      </c>
      <c r="G116" s="85">
        <f>SUM(G111:G115)</f>
        <v>0</v>
      </c>
      <c r="H116" s="83">
        <f t="shared" si="42"/>
        <v>0</v>
      </c>
      <c r="I116" s="85">
        <f>SUM(I111:I115)</f>
        <v>0</v>
      </c>
      <c r="J116" s="83">
        <f t="shared" si="43"/>
        <v>0</v>
      </c>
      <c r="K116" s="85">
        <f>SUM(K111:K115)</f>
        <v>0</v>
      </c>
      <c r="L116" s="83">
        <f t="shared" si="44"/>
        <v>0</v>
      </c>
      <c r="M116" s="85">
        <f>SUM(M111:M115)</f>
        <v>0</v>
      </c>
      <c r="N116" s="83">
        <f t="shared" si="45"/>
        <v>0</v>
      </c>
      <c r="O116" s="85">
        <f>SUM(O111:O115)</f>
        <v>0</v>
      </c>
      <c r="P116" s="83">
        <f t="shared" si="46"/>
        <v>0</v>
      </c>
      <c r="Q116" s="85">
        <f>SUM(Q111:Q115)</f>
        <v>0</v>
      </c>
      <c r="R116" s="83">
        <f t="shared" si="47"/>
        <v>0</v>
      </c>
      <c r="S116" s="85">
        <f>SUM(S111:S115)</f>
        <v>0</v>
      </c>
      <c r="T116" s="83">
        <f t="shared" si="48"/>
        <v>0</v>
      </c>
      <c r="U116" s="85">
        <f>SUM(U111:U115)</f>
        <v>0</v>
      </c>
      <c r="V116" s="83">
        <f t="shared" si="49"/>
        <v>0</v>
      </c>
    </row>
    <row r="117" spans="1:22" ht="12.75" customHeight="1">
      <c r="A117" s="117" t="s">
        <v>446</v>
      </c>
    </row>
    <row r="118" spans="1:22" ht="12.75" customHeight="1">
      <c r="A118" s="117" t="s">
        <v>446</v>
      </c>
      <c r="B118" s="43"/>
    </row>
    <row r="119" spans="1:22" ht="12.75" customHeight="1">
      <c r="A119" s="117" t="s">
        <v>446</v>
      </c>
      <c r="B119" s="47"/>
    </row>
    <row r="120" spans="1:22" ht="12.75" customHeight="1">
      <c r="A120" s="40" t="s">
        <v>451</v>
      </c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7" tint="0.59999389629810485"/>
  </sheetPr>
  <dimension ref="A1:X119"/>
  <sheetViews>
    <sheetView topLeftCell="A9" zoomScale="70" zoomScaleNormal="70" workbookViewId="0" xr3:uid="{F1CDC194-CB96-5A2D-8E84-222F42300CFA}">
      <selection activeCell="W59" sqref="W59"/>
    </sheetView>
  </sheetViews>
  <sheetFormatPr defaultColWidth="9.140625" defaultRowHeight="12.75" customHeight="1"/>
  <cols>
    <col min="1" max="1" width="9.5703125" style="2" customWidth="1"/>
    <col min="2" max="2" width="40.85546875" style="2" customWidth="1"/>
    <col min="3" max="3" width="15.7109375" style="2" customWidth="1"/>
    <col min="4" max="4" width="8.7109375" style="2" customWidth="1"/>
    <col min="5" max="5" width="12.7109375" style="2" customWidth="1"/>
    <col min="6" max="6" width="8.7109375" style="2" customWidth="1"/>
    <col min="7" max="7" width="12.710937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355</v>
      </c>
      <c r="G2" s="33" t="s">
        <v>39</v>
      </c>
      <c r="H2" s="34"/>
      <c r="I2" s="34"/>
      <c r="V2" s="32"/>
    </row>
    <row r="3" spans="1:22" ht="12.75" customHeight="1">
      <c r="A3" s="1" t="s">
        <v>357</v>
      </c>
      <c r="D3" s="118" t="s">
        <v>358</v>
      </c>
      <c r="G3" s="115" t="str">
        <f>+G2</f>
        <v>Burger King (Graham Center)</v>
      </c>
      <c r="H3" s="116"/>
      <c r="I3" s="116"/>
      <c r="V3" s="32"/>
    </row>
    <row r="4" spans="1:22" ht="12.75" customHeight="1">
      <c r="A4" s="1" t="s">
        <v>359</v>
      </c>
      <c r="B4" s="109" t="s">
        <v>221</v>
      </c>
      <c r="D4" s="118" t="s">
        <v>360</v>
      </c>
      <c r="G4" s="115" t="s">
        <v>65</v>
      </c>
      <c r="H4" s="116"/>
      <c r="I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361</v>
      </c>
      <c r="B7" s="1"/>
    </row>
    <row r="8" spans="1:22" ht="12.75" customHeight="1">
      <c r="A8" s="2" t="s">
        <v>362</v>
      </c>
      <c r="C8" s="109">
        <v>220</v>
      </c>
      <c r="E8" s="109">
        <f>+C8</f>
        <v>220</v>
      </c>
      <c r="G8" s="109">
        <f>+E8</f>
        <v>220</v>
      </c>
      <c r="I8" s="109">
        <f>+G8</f>
        <v>220</v>
      </c>
      <c r="K8" s="109">
        <f>+I8</f>
        <v>220</v>
      </c>
      <c r="M8" s="109">
        <f>+K8</f>
        <v>220</v>
      </c>
      <c r="O8" s="109">
        <f>+M8</f>
        <v>220</v>
      </c>
      <c r="Q8" s="109">
        <f>+O8</f>
        <v>220</v>
      </c>
      <c r="S8" s="109">
        <f>+Q8</f>
        <v>220</v>
      </c>
      <c r="U8" s="109">
        <f>+S8</f>
        <v>220</v>
      </c>
    </row>
    <row r="10" spans="1:22" ht="12.75" customHeight="1">
      <c r="A10" s="2" t="s">
        <v>462</v>
      </c>
      <c r="C10" s="109">
        <v>337</v>
      </c>
      <c r="E10" s="109"/>
      <c r="G10" s="109"/>
      <c r="I10" s="109"/>
      <c r="K10" s="109"/>
      <c r="M10" s="109"/>
      <c r="O10" s="109"/>
      <c r="Q10" s="109"/>
      <c r="S10" s="109"/>
      <c r="U10" s="109"/>
    </row>
    <row r="12" spans="1:22" ht="12.75" customHeight="1">
      <c r="A12" s="2" t="s">
        <v>463</v>
      </c>
      <c r="C12" s="110">
        <v>5.4</v>
      </c>
      <c r="E12" s="110"/>
      <c r="G12" s="110"/>
      <c r="I12" s="110"/>
      <c r="K12" s="110"/>
      <c r="M12" s="110"/>
      <c r="O12" s="110"/>
      <c r="Q12" s="110"/>
      <c r="S12" s="110"/>
      <c r="U12" s="110"/>
    </row>
    <row r="14" spans="1:22" ht="12.75" customHeight="1">
      <c r="A14" s="2" t="s">
        <v>464</v>
      </c>
      <c r="C14" s="121">
        <f>C12*C10*C8</f>
        <v>400356.00000000006</v>
      </c>
      <c r="E14" s="121">
        <f>E12*E10*E8</f>
        <v>0</v>
      </c>
      <c r="G14" s="121"/>
      <c r="I14" s="121"/>
      <c r="K14" s="121"/>
      <c r="M14" s="121"/>
      <c r="O14" s="121"/>
      <c r="Q14" s="121"/>
      <c r="S14" s="121"/>
      <c r="U14" s="121"/>
    </row>
    <row r="15" spans="1:22" ht="12.75" customHeight="1">
      <c r="A15" s="39">
        <v>0.05</v>
      </c>
    </row>
    <row r="16" spans="1:22" ht="12.75" customHeight="1">
      <c r="B16" s="35"/>
      <c r="C16" s="86" t="str">
        <f>C6</f>
        <v>FY 2018-19</v>
      </c>
      <c r="D16" s="86" t="s">
        <v>366</v>
      </c>
      <c r="E16" s="86" t="str">
        <f>E6</f>
        <v>FY 2019-20</v>
      </c>
      <c r="F16" s="86" t="s">
        <v>366</v>
      </c>
      <c r="G16" s="86" t="str">
        <f>G6</f>
        <v>FY 2020-21</v>
      </c>
      <c r="H16" s="86" t="s">
        <v>366</v>
      </c>
      <c r="I16" s="86" t="str">
        <f>I6</f>
        <v>FY 2021-22</v>
      </c>
      <c r="J16" s="86" t="s">
        <v>366</v>
      </c>
      <c r="K16" s="86" t="str">
        <f>K6</f>
        <v>FY 2022-23</v>
      </c>
      <c r="L16" s="86" t="s">
        <v>366</v>
      </c>
      <c r="M16" s="86" t="str">
        <f>M6</f>
        <v>FY 2023-24</v>
      </c>
      <c r="N16" s="86" t="s">
        <v>366</v>
      </c>
      <c r="O16" s="86" t="str">
        <f>O6</f>
        <v>FY 2024-25</v>
      </c>
      <c r="P16" s="86" t="s">
        <v>366</v>
      </c>
      <c r="Q16" s="86" t="str">
        <f>Q6</f>
        <v>FY 2025-26</v>
      </c>
      <c r="R16" s="86" t="s">
        <v>366</v>
      </c>
      <c r="S16" s="86" t="str">
        <f>S6</f>
        <v>FY 2026-27</v>
      </c>
      <c r="T16" s="86" t="s">
        <v>366</v>
      </c>
      <c r="U16" s="86" t="str">
        <f>U6</f>
        <v>FY 2027-28</v>
      </c>
      <c r="V16" s="86" t="s">
        <v>366</v>
      </c>
    </row>
    <row r="17" spans="1:24" ht="12.75" customHeight="1">
      <c r="A17" s="1" t="s">
        <v>367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368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369</v>
      </c>
      <c r="B19" s="35"/>
      <c r="C19" s="200">
        <f>+C14-C20-C21</f>
        <v>345587.29920000001</v>
      </c>
      <c r="D19" s="80">
        <f>IFERROR(C19/C$28,0)</f>
        <v>0.86319999999999986</v>
      </c>
      <c r="E19" s="200">
        <f>+E14-E20</f>
        <v>0</v>
      </c>
      <c r="F19" s="80">
        <f>IFERROR(E19/E$28,0)</f>
        <v>0</v>
      </c>
      <c r="G19" s="111">
        <f>+G14-G20-G21</f>
        <v>0</v>
      </c>
      <c r="H19" s="80">
        <f>IFERROR(G19/G$28,0)</f>
        <v>0</v>
      </c>
      <c r="I19" s="111">
        <f>+I14-I20-I21</f>
        <v>0</v>
      </c>
      <c r="J19" s="80">
        <f>IFERROR(I19/I$28,0)</f>
        <v>0</v>
      </c>
      <c r="K19" s="111">
        <f>+K14-K20-K21</f>
        <v>0</v>
      </c>
      <c r="L19" s="80">
        <f>IFERROR(K19/K$28,0)</f>
        <v>0</v>
      </c>
      <c r="M19" s="111">
        <f>+M14-M20-M21</f>
        <v>0</v>
      </c>
      <c r="N19" s="80">
        <f>IFERROR(M19/M$28,0)</f>
        <v>0</v>
      </c>
      <c r="O19" s="111">
        <f>+O14-O20-O21</f>
        <v>0</v>
      </c>
      <c r="P19" s="80">
        <f>IFERROR(O19/O$28,0)</f>
        <v>0</v>
      </c>
      <c r="Q19" s="111">
        <f>+Q14-Q20-Q21</f>
        <v>0</v>
      </c>
      <c r="R19" s="80">
        <f>IFERROR(Q19/Q$28,0)</f>
        <v>0</v>
      </c>
      <c r="S19" s="111">
        <f>+S14-S20-S21</f>
        <v>0</v>
      </c>
      <c r="T19" s="80">
        <f>IFERROR(S19/S$28,0)</f>
        <v>0</v>
      </c>
      <c r="U19" s="111">
        <f>+U14-U20-U21</f>
        <v>0</v>
      </c>
      <c r="V19" s="80">
        <f>IFERROR(U19/U$28,0)</f>
        <v>0</v>
      </c>
    </row>
    <row r="20" spans="1:24" ht="12.75" customHeight="1">
      <c r="A20" s="2" t="s">
        <v>370</v>
      </c>
      <c r="B20" s="35"/>
      <c r="C20" s="111">
        <f>+C14*12.38%</f>
        <v>49564.072800000009</v>
      </c>
      <c r="D20" s="80">
        <f>IFERROR(C20/C$28,0)</f>
        <v>0.12380000000000001</v>
      </c>
      <c r="E20" s="111">
        <f>+E14*53.27%</f>
        <v>0</v>
      </c>
      <c r="F20" s="80">
        <f>IFERROR(E20/E$28,0)</f>
        <v>0</v>
      </c>
      <c r="G20" s="111">
        <f>+G14*12.38%</f>
        <v>0</v>
      </c>
      <c r="H20" s="80">
        <f>IFERROR(G20/G$28,0)</f>
        <v>0</v>
      </c>
      <c r="I20" s="111">
        <f>+I14*12.38%</f>
        <v>0</v>
      </c>
      <c r="J20" s="80">
        <f>IFERROR(I20/I$28,0)</f>
        <v>0</v>
      </c>
      <c r="K20" s="111">
        <f>+K14*12.38%</f>
        <v>0</v>
      </c>
      <c r="L20" s="80">
        <f>IFERROR(K20/K$28,0)</f>
        <v>0</v>
      </c>
      <c r="M20" s="111">
        <f>+M14*12.38%</f>
        <v>0</v>
      </c>
      <c r="N20" s="80">
        <f>IFERROR(M20/M$28,0)</f>
        <v>0</v>
      </c>
      <c r="O20" s="111">
        <f>+O14*12.38%</f>
        <v>0</v>
      </c>
      <c r="P20" s="80">
        <f>IFERROR(O20/O$28,0)</f>
        <v>0</v>
      </c>
      <c r="Q20" s="111">
        <f>+Q14*12.38%</f>
        <v>0</v>
      </c>
      <c r="R20" s="80">
        <f>IFERROR(Q20/Q$28,0)</f>
        <v>0</v>
      </c>
      <c r="S20" s="111">
        <f>+S14*12.38%</f>
        <v>0</v>
      </c>
      <c r="T20" s="80">
        <f>IFERROR(S20/S$28,0)</f>
        <v>0</v>
      </c>
      <c r="U20" s="111">
        <f>+U14*12.38%</f>
        <v>0</v>
      </c>
      <c r="V20" s="80">
        <f>IFERROR(U20/U$28,0)</f>
        <v>0</v>
      </c>
    </row>
    <row r="21" spans="1:24" ht="12.75" customHeight="1">
      <c r="A21" s="186" t="s">
        <v>371</v>
      </c>
      <c r="B21" s="195"/>
      <c r="C21" s="111">
        <f>+C14*0.013</f>
        <v>5204.6280000000006</v>
      </c>
      <c r="D21" s="80">
        <f>IFERROR(C21/C$28,0)</f>
        <v>1.2999999999999999E-2</v>
      </c>
      <c r="E21" s="111">
        <v>0</v>
      </c>
      <c r="F21" s="80">
        <f>IFERROR(E21/E$28,0)</f>
        <v>0</v>
      </c>
      <c r="G21" s="111">
        <v>0</v>
      </c>
      <c r="H21" s="80">
        <f>IFERROR(G21/G$28,0)</f>
        <v>0</v>
      </c>
      <c r="I21" s="111">
        <v>0</v>
      </c>
      <c r="J21" s="80">
        <f>IFERROR(I21/I$28,0)</f>
        <v>0</v>
      </c>
      <c r="K21" s="111">
        <v>0</v>
      </c>
      <c r="L21" s="80">
        <f>IFERROR(K21/K$28,0)</f>
        <v>0</v>
      </c>
      <c r="M21" s="111">
        <v>0</v>
      </c>
      <c r="N21" s="80">
        <f>IFERROR(M21/M$28,0)</f>
        <v>0</v>
      </c>
      <c r="O21" s="111">
        <v>0</v>
      </c>
      <c r="P21" s="80">
        <f>IFERROR(O21/O$28,0)</f>
        <v>0</v>
      </c>
      <c r="Q21" s="111">
        <v>0</v>
      </c>
      <c r="R21" s="80">
        <f>IFERROR(Q21/Q$28,0)</f>
        <v>0</v>
      </c>
      <c r="S21" s="111">
        <v>0</v>
      </c>
      <c r="T21" s="80">
        <f>IFERROR(S21/S$28,0)</f>
        <v>0</v>
      </c>
      <c r="U21" s="111">
        <v>0</v>
      </c>
      <c r="V21" s="80">
        <f>IFERROR(U21/U$28,0)</f>
        <v>0</v>
      </c>
    </row>
    <row r="22" spans="1:24" ht="12.75" customHeight="1">
      <c r="A22" s="2" t="s">
        <v>372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373</v>
      </c>
      <c r="B23" s="123"/>
      <c r="C23" s="79"/>
      <c r="D23" s="80">
        <f t="shared" ref="D23:D28" si="0">IFERROR(C23/C$28,0)</f>
        <v>0</v>
      </c>
      <c r="E23" s="79"/>
      <c r="F23" s="80">
        <f t="shared" ref="F23:F28" si="1">IFERROR(E23/E$28,0)</f>
        <v>0</v>
      </c>
      <c r="G23" s="79"/>
      <c r="H23" s="80">
        <f t="shared" ref="H23:H28" si="2">IFERROR(G23/G$28,0)</f>
        <v>0</v>
      </c>
      <c r="I23" s="79"/>
      <c r="J23" s="80">
        <f t="shared" ref="J23:J28" si="3">IFERROR(I23/I$28,0)</f>
        <v>0</v>
      </c>
      <c r="K23" s="79"/>
      <c r="L23" s="80">
        <f t="shared" ref="L23:L28" si="4">IFERROR(K23/K$28,0)</f>
        <v>0</v>
      </c>
      <c r="M23" s="79"/>
      <c r="N23" s="80">
        <f t="shared" ref="N23:N28" si="5">IFERROR(M23/M$28,0)</f>
        <v>0</v>
      </c>
      <c r="O23" s="79"/>
      <c r="P23" s="80">
        <f t="shared" ref="P23:P28" si="6">IFERROR(O23/O$28,0)</f>
        <v>0</v>
      </c>
      <c r="Q23" s="79"/>
      <c r="R23" s="80">
        <f t="shared" ref="R23:R28" si="7">IFERROR(Q23/Q$28,0)</f>
        <v>0</v>
      </c>
      <c r="S23" s="79"/>
      <c r="T23" s="80">
        <f t="shared" ref="T23:T28" si="8">IFERROR(S23/S$28,0)</f>
        <v>0</v>
      </c>
      <c r="U23" s="79"/>
      <c r="V23" s="80">
        <f t="shared" ref="V23:V28" si="9">IFERROR(U23/U$28,0)</f>
        <v>0</v>
      </c>
    </row>
    <row r="24" spans="1:24" ht="12.75" customHeight="1">
      <c r="A24" s="122" t="s">
        <v>374</v>
      </c>
      <c r="B24" s="123"/>
      <c r="C24" s="79"/>
      <c r="D24" s="80">
        <f t="shared" si="0"/>
        <v>0</v>
      </c>
      <c r="E24" s="79"/>
      <c r="F24" s="80">
        <f t="shared" si="1"/>
        <v>0</v>
      </c>
      <c r="G24" s="79"/>
      <c r="H24" s="80">
        <f t="shared" si="2"/>
        <v>0</v>
      </c>
      <c r="I24" s="79"/>
      <c r="J24" s="80">
        <f t="shared" si="3"/>
        <v>0</v>
      </c>
      <c r="K24" s="79"/>
      <c r="L24" s="80">
        <f t="shared" si="4"/>
        <v>0</v>
      </c>
      <c r="M24" s="79"/>
      <c r="N24" s="80">
        <f t="shared" si="5"/>
        <v>0</v>
      </c>
      <c r="O24" s="79"/>
      <c r="P24" s="80">
        <f t="shared" si="6"/>
        <v>0</v>
      </c>
      <c r="Q24" s="79"/>
      <c r="R24" s="80">
        <f t="shared" si="7"/>
        <v>0</v>
      </c>
      <c r="S24" s="79"/>
      <c r="T24" s="80">
        <f t="shared" si="8"/>
        <v>0</v>
      </c>
      <c r="U24" s="79"/>
      <c r="V24" s="80">
        <f t="shared" si="9"/>
        <v>0</v>
      </c>
      <c r="X24" s="79"/>
    </row>
    <row r="25" spans="1:24" ht="12.75" customHeight="1">
      <c r="A25" s="2" t="s">
        <v>375</v>
      </c>
      <c r="B25" s="35"/>
      <c r="C25" s="111"/>
      <c r="D25" s="80">
        <f t="shared" si="0"/>
        <v>0</v>
      </c>
      <c r="E25" s="111"/>
      <c r="F25" s="80">
        <f t="shared" si="1"/>
        <v>0</v>
      </c>
      <c r="G25" s="111"/>
      <c r="H25" s="80">
        <f t="shared" si="2"/>
        <v>0</v>
      </c>
      <c r="I25" s="111"/>
      <c r="J25" s="80">
        <f t="shared" si="3"/>
        <v>0</v>
      </c>
      <c r="K25" s="111"/>
      <c r="L25" s="80">
        <f t="shared" si="4"/>
        <v>0</v>
      </c>
      <c r="M25" s="111"/>
      <c r="N25" s="80">
        <f t="shared" si="5"/>
        <v>0</v>
      </c>
      <c r="O25" s="111"/>
      <c r="P25" s="80">
        <f t="shared" si="6"/>
        <v>0</v>
      </c>
      <c r="Q25" s="111"/>
      <c r="R25" s="80">
        <f t="shared" si="7"/>
        <v>0</v>
      </c>
      <c r="S25" s="111"/>
      <c r="T25" s="80">
        <f t="shared" si="8"/>
        <v>0</v>
      </c>
      <c r="U25" s="111"/>
      <c r="V25" s="80">
        <f t="shared" si="9"/>
        <v>0</v>
      </c>
      <c r="X25" s="79"/>
    </row>
    <row r="26" spans="1:24" ht="12.75" customHeight="1">
      <c r="A26" s="122" t="s">
        <v>376</v>
      </c>
      <c r="B26" s="35"/>
      <c r="C26" s="79"/>
      <c r="D26" s="80">
        <f t="shared" si="0"/>
        <v>0</v>
      </c>
      <c r="E26" s="79"/>
      <c r="F26" s="80">
        <f t="shared" si="1"/>
        <v>0</v>
      </c>
      <c r="G26" s="79"/>
      <c r="H26" s="80">
        <f t="shared" si="2"/>
        <v>0</v>
      </c>
      <c r="I26" s="79"/>
      <c r="J26" s="80">
        <f t="shared" si="3"/>
        <v>0</v>
      </c>
      <c r="K26" s="79"/>
      <c r="L26" s="80">
        <f t="shared" si="4"/>
        <v>0</v>
      </c>
      <c r="M26" s="79"/>
      <c r="N26" s="80">
        <f t="shared" si="5"/>
        <v>0</v>
      </c>
      <c r="O26" s="79"/>
      <c r="P26" s="80">
        <f t="shared" si="6"/>
        <v>0</v>
      </c>
      <c r="Q26" s="79"/>
      <c r="R26" s="80">
        <f t="shared" si="7"/>
        <v>0</v>
      </c>
      <c r="S26" s="79"/>
      <c r="T26" s="80">
        <f t="shared" si="8"/>
        <v>0</v>
      </c>
      <c r="U26" s="79"/>
      <c r="V26" s="80">
        <f t="shared" si="9"/>
        <v>0</v>
      </c>
    </row>
    <row r="27" spans="1:24" ht="12.75" customHeight="1">
      <c r="A27" s="2" t="s">
        <v>377</v>
      </c>
      <c r="B27" s="35"/>
      <c r="C27" s="112"/>
      <c r="D27" s="80">
        <f t="shared" si="0"/>
        <v>0</v>
      </c>
      <c r="E27" s="112"/>
      <c r="F27" s="80">
        <f t="shared" si="1"/>
        <v>0</v>
      </c>
      <c r="G27" s="112"/>
      <c r="H27" s="80">
        <f t="shared" si="2"/>
        <v>0</v>
      </c>
      <c r="I27" s="112"/>
      <c r="J27" s="80">
        <f t="shared" si="3"/>
        <v>0</v>
      </c>
      <c r="K27" s="112"/>
      <c r="L27" s="80">
        <f t="shared" si="4"/>
        <v>0</v>
      </c>
      <c r="M27" s="112"/>
      <c r="N27" s="80">
        <f t="shared" si="5"/>
        <v>0</v>
      </c>
      <c r="O27" s="112"/>
      <c r="P27" s="80">
        <f t="shared" si="6"/>
        <v>0</v>
      </c>
      <c r="Q27" s="112"/>
      <c r="R27" s="80">
        <f t="shared" si="7"/>
        <v>0</v>
      </c>
      <c r="S27" s="112"/>
      <c r="T27" s="80">
        <f t="shared" si="8"/>
        <v>0</v>
      </c>
      <c r="U27" s="112"/>
      <c r="V27" s="80">
        <f t="shared" si="9"/>
        <v>0</v>
      </c>
    </row>
    <row r="28" spans="1:24" ht="12.75" customHeight="1">
      <c r="A28" s="1" t="s">
        <v>378</v>
      </c>
      <c r="B28" s="53"/>
      <c r="C28" s="82">
        <f>SUM(C19:C27)</f>
        <v>400356.00000000006</v>
      </c>
      <c r="D28" s="83">
        <f t="shared" si="0"/>
        <v>1</v>
      </c>
      <c r="E28" s="82">
        <f>SUM(E19:E27)</f>
        <v>0</v>
      </c>
      <c r="F28" s="83">
        <f t="shared" si="1"/>
        <v>0</v>
      </c>
      <c r="G28" s="82">
        <f>SUM(G19:G27)</f>
        <v>0</v>
      </c>
      <c r="H28" s="83">
        <f t="shared" si="2"/>
        <v>0</v>
      </c>
      <c r="I28" s="82">
        <f>SUM(I19:I27)</f>
        <v>0</v>
      </c>
      <c r="J28" s="83">
        <f t="shared" si="3"/>
        <v>0</v>
      </c>
      <c r="K28" s="82">
        <f>SUM(K19:K27)</f>
        <v>0</v>
      </c>
      <c r="L28" s="83">
        <f t="shared" si="4"/>
        <v>0</v>
      </c>
      <c r="M28" s="82">
        <f>SUM(M19:M27)</f>
        <v>0</v>
      </c>
      <c r="N28" s="83">
        <f t="shared" si="5"/>
        <v>0</v>
      </c>
      <c r="O28" s="82">
        <f>SUM(O19:O27)</f>
        <v>0</v>
      </c>
      <c r="P28" s="83">
        <f t="shared" si="6"/>
        <v>0</v>
      </c>
      <c r="Q28" s="82">
        <f>SUM(Q19:Q27)</f>
        <v>0</v>
      </c>
      <c r="R28" s="83">
        <f t="shared" si="7"/>
        <v>0</v>
      </c>
      <c r="S28" s="82">
        <f>SUM(S19:S27)</f>
        <v>0</v>
      </c>
      <c r="T28" s="83">
        <f t="shared" si="8"/>
        <v>0</v>
      </c>
      <c r="U28" s="82">
        <f>SUM(U19:U27)</f>
        <v>0</v>
      </c>
      <c r="V28" s="83">
        <f t="shared" si="9"/>
        <v>0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379</v>
      </c>
      <c r="B30" s="53"/>
      <c r="C30" s="197">
        <v>0.29420000000000002</v>
      </c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380</v>
      </c>
      <c r="B31" s="35"/>
      <c r="C31" s="178">
        <f>$C$30*C14</f>
        <v>117784.73520000002</v>
      </c>
      <c r="D31" s="80">
        <f>IFERROR(C31/C$28,0)</f>
        <v>0.29420000000000002</v>
      </c>
      <c r="E31" s="178">
        <f>$C$30*E14</f>
        <v>0</v>
      </c>
      <c r="F31" s="80">
        <f>IFERROR(E31/E$28,0)</f>
        <v>0</v>
      </c>
      <c r="G31" s="178">
        <f>$C$30*G14</f>
        <v>0</v>
      </c>
      <c r="H31" s="80">
        <f>IFERROR(G31/G$28,0)</f>
        <v>0</v>
      </c>
      <c r="I31" s="178">
        <f>$C$30*I14</f>
        <v>0</v>
      </c>
      <c r="J31" s="80">
        <f>IFERROR(I31/I$28,0)</f>
        <v>0</v>
      </c>
      <c r="K31" s="178">
        <f>$C$30*K14</f>
        <v>0</v>
      </c>
      <c r="L31" s="80">
        <f>IFERROR(K31/K$28,0)</f>
        <v>0</v>
      </c>
      <c r="M31" s="178">
        <f>$C$30*M14</f>
        <v>0</v>
      </c>
      <c r="N31" s="80">
        <f>IFERROR(M31/M$28,0)</f>
        <v>0</v>
      </c>
      <c r="O31" s="178">
        <f>$C$30*O14</f>
        <v>0</v>
      </c>
      <c r="P31" s="80">
        <f>IFERROR(O31/O$28,0)</f>
        <v>0</v>
      </c>
      <c r="Q31" s="178">
        <f>$C$30*Q14</f>
        <v>0</v>
      </c>
      <c r="R31" s="80">
        <f>IFERROR(Q31/Q$28,0)</f>
        <v>0</v>
      </c>
      <c r="S31" s="178">
        <f>$C$30*S14</f>
        <v>0</v>
      </c>
      <c r="T31" s="80">
        <f>IFERROR(S31/S$28,0)</f>
        <v>0</v>
      </c>
      <c r="U31" s="178">
        <f>$C$30*U14</f>
        <v>0</v>
      </c>
      <c r="V31" s="80">
        <f>IFERROR(U31/U$28,0)</f>
        <v>0</v>
      </c>
    </row>
    <row r="32" spans="1:24" ht="12.75" customHeight="1">
      <c r="A32" s="8" t="s">
        <v>381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382</v>
      </c>
      <c r="B33" s="53"/>
      <c r="C33" s="82">
        <f>SUM(C31:C32)</f>
        <v>117784.73520000002</v>
      </c>
      <c r="D33" s="83">
        <f>IFERROR(C33/C$28,0)</f>
        <v>0.29420000000000002</v>
      </c>
      <c r="E33" s="82">
        <f>SUM(E31:E32)</f>
        <v>0</v>
      </c>
      <c r="F33" s="83">
        <f>IFERROR(E33/E$28,0)</f>
        <v>0</v>
      </c>
      <c r="G33" s="82">
        <f>SUM(G31:G32)</f>
        <v>0</v>
      </c>
      <c r="H33" s="83">
        <f>IFERROR(G33/G$28,0)</f>
        <v>0</v>
      </c>
      <c r="I33" s="82">
        <f>SUM(I31:I32)</f>
        <v>0</v>
      </c>
      <c r="J33" s="83">
        <f>IFERROR(I33/I$28,0)</f>
        <v>0</v>
      </c>
      <c r="K33" s="82">
        <f>SUM(K31:K32)</f>
        <v>0</v>
      </c>
      <c r="L33" s="83">
        <f>IFERROR(K33/K$28,0)</f>
        <v>0</v>
      </c>
      <c r="M33" s="82">
        <f>SUM(M31:M32)</f>
        <v>0</v>
      </c>
      <c r="N33" s="83">
        <f>IFERROR(M33/M$28,0)</f>
        <v>0</v>
      </c>
      <c r="O33" s="82">
        <f>SUM(O31:O32)</f>
        <v>0</v>
      </c>
      <c r="P33" s="83">
        <f>IFERROR(O33/O$28,0)</f>
        <v>0</v>
      </c>
      <c r="Q33" s="82">
        <f>SUM(Q31:Q32)</f>
        <v>0</v>
      </c>
      <c r="R33" s="83">
        <f>IFERROR(Q33/Q$28,0)</f>
        <v>0</v>
      </c>
      <c r="S33" s="82">
        <f>SUM(S31:S32)</f>
        <v>0</v>
      </c>
      <c r="T33" s="83">
        <f>IFERROR(S33/S$28,0)</f>
        <v>0</v>
      </c>
      <c r="U33" s="82">
        <f>SUM(U31:U32)</f>
        <v>0</v>
      </c>
      <c r="V33" s="83">
        <f>IFERROR(U33/U$28,0)</f>
        <v>0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383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384</v>
      </c>
      <c r="B36" s="35"/>
      <c r="C36" s="178"/>
      <c r="D36" s="80">
        <f t="shared" ref="D36:D46" si="10">IFERROR(C36/C$28,0)</f>
        <v>0</v>
      </c>
      <c r="E36" s="178"/>
      <c r="F36" s="80">
        <f t="shared" ref="F36:F46" si="11">IFERROR(E36/E$28,0)</f>
        <v>0</v>
      </c>
      <c r="G36" s="178"/>
      <c r="H36" s="80">
        <f t="shared" ref="H36:H46" si="12">IFERROR(G36/G$28,0)</f>
        <v>0</v>
      </c>
      <c r="I36" s="178"/>
      <c r="J36" s="80">
        <f t="shared" ref="J36:J46" si="13">IFERROR(I36/I$28,0)</f>
        <v>0</v>
      </c>
      <c r="K36" s="178"/>
      <c r="L36" s="80">
        <f t="shared" ref="L36:L46" si="14">IFERROR(K36/K$28,0)</f>
        <v>0</v>
      </c>
      <c r="M36" s="178"/>
      <c r="N36" s="80">
        <f t="shared" ref="N36:N46" si="15">IFERROR(M36/M$28,0)</f>
        <v>0</v>
      </c>
      <c r="O36" s="178"/>
      <c r="P36" s="80">
        <f t="shared" ref="P36:P46" si="16">IFERROR(O36/O$28,0)</f>
        <v>0</v>
      </c>
      <c r="Q36" s="178"/>
      <c r="R36" s="80">
        <f t="shared" ref="R36:R46" si="17">IFERROR(Q36/Q$28,0)</f>
        <v>0</v>
      </c>
      <c r="S36" s="178"/>
      <c r="T36" s="80">
        <f t="shared" ref="T36:T46" si="18">IFERROR(S36/S$28,0)</f>
        <v>0</v>
      </c>
      <c r="U36" s="178"/>
      <c r="V36" s="80">
        <f t="shared" ref="V36:V46" si="19">IFERROR(U36/U$28,0)</f>
        <v>0</v>
      </c>
    </row>
    <row r="37" spans="1:22" ht="12.75" customHeight="1">
      <c r="A37" s="2" t="s">
        <v>385</v>
      </c>
      <c r="B37" s="35"/>
      <c r="C37" s="178">
        <v>116007</v>
      </c>
      <c r="D37" s="80">
        <f t="shared" si="10"/>
        <v>0.28975961394359018</v>
      </c>
      <c r="E37" s="178"/>
      <c r="F37" s="80">
        <f t="shared" si="11"/>
        <v>0</v>
      </c>
      <c r="G37" s="178"/>
      <c r="H37" s="80">
        <f t="shared" si="12"/>
        <v>0</v>
      </c>
      <c r="I37" s="178">
        <f>+G37*1.032</f>
        <v>0</v>
      </c>
      <c r="J37" s="80">
        <f t="shared" si="13"/>
        <v>0</v>
      </c>
      <c r="K37" s="178">
        <f>+I37*1.025</f>
        <v>0</v>
      </c>
      <c r="L37" s="80">
        <f t="shared" si="14"/>
        <v>0</v>
      </c>
      <c r="M37" s="178">
        <f>+K37*1.025</f>
        <v>0</v>
      </c>
      <c r="N37" s="80">
        <f t="shared" si="15"/>
        <v>0</v>
      </c>
      <c r="O37" s="178">
        <f>+M37*1.025</f>
        <v>0</v>
      </c>
      <c r="P37" s="80">
        <f t="shared" si="16"/>
        <v>0</v>
      </c>
      <c r="Q37" s="178">
        <f>+O37*1.025</f>
        <v>0</v>
      </c>
      <c r="R37" s="80">
        <f t="shared" si="17"/>
        <v>0</v>
      </c>
      <c r="S37" s="178">
        <f>+Q37*1.025</f>
        <v>0</v>
      </c>
      <c r="T37" s="80">
        <f t="shared" si="18"/>
        <v>0</v>
      </c>
      <c r="U37" s="178">
        <f>+S37*1.025</f>
        <v>0</v>
      </c>
      <c r="V37" s="80">
        <f t="shared" si="19"/>
        <v>0</v>
      </c>
    </row>
    <row r="38" spans="1:22" ht="12.75" customHeight="1">
      <c r="A38" s="2" t="s">
        <v>386</v>
      </c>
      <c r="B38" s="35"/>
      <c r="C38" s="178">
        <v>0</v>
      </c>
      <c r="D38" s="80">
        <f t="shared" si="10"/>
        <v>0</v>
      </c>
      <c r="E38" s="178"/>
      <c r="F38" s="80">
        <f t="shared" si="11"/>
        <v>0</v>
      </c>
      <c r="G38" s="178"/>
      <c r="H38" s="80">
        <f t="shared" si="12"/>
        <v>0</v>
      </c>
      <c r="I38" s="178">
        <f>+G38*1.032</f>
        <v>0</v>
      </c>
      <c r="J38" s="80">
        <f t="shared" si="13"/>
        <v>0</v>
      </c>
      <c r="K38" s="178">
        <f>+I38*1.025</f>
        <v>0</v>
      </c>
      <c r="L38" s="80">
        <f t="shared" si="14"/>
        <v>0</v>
      </c>
      <c r="M38" s="178">
        <f>+K38*1.025</f>
        <v>0</v>
      </c>
      <c r="N38" s="80">
        <f t="shared" si="15"/>
        <v>0</v>
      </c>
      <c r="O38" s="178">
        <f>+M38*1.025</f>
        <v>0</v>
      </c>
      <c r="P38" s="80">
        <f t="shared" si="16"/>
        <v>0</v>
      </c>
      <c r="Q38" s="178">
        <f>+O38*1.025</f>
        <v>0</v>
      </c>
      <c r="R38" s="80">
        <f t="shared" si="17"/>
        <v>0</v>
      </c>
      <c r="S38" s="178">
        <f>+Q38*1.025</f>
        <v>0</v>
      </c>
      <c r="T38" s="80">
        <f t="shared" si="18"/>
        <v>0</v>
      </c>
      <c r="U38" s="178">
        <f>+S38*1.025</f>
        <v>0</v>
      </c>
      <c r="V38" s="80">
        <f t="shared" si="19"/>
        <v>0</v>
      </c>
    </row>
    <row r="39" spans="1:22" ht="12.75" customHeight="1">
      <c r="A39" s="2" t="s">
        <v>387</v>
      </c>
      <c r="B39" s="35"/>
      <c r="C39" s="178">
        <v>21871</v>
      </c>
      <c r="D39" s="80">
        <f t="shared" si="10"/>
        <v>5.4628880296536078E-2</v>
      </c>
      <c r="E39" s="178"/>
      <c r="F39" s="80">
        <f t="shared" si="11"/>
        <v>0</v>
      </c>
      <c r="G39" s="178"/>
      <c r="H39" s="80">
        <f t="shared" si="12"/>
        <v>0</v>
      </c>
      <c r="I39" s="178">
        <f>+G39*1.032</f>
        <v>0</v>
      </c>
      <c r="J39" s="80">
        <f t="shared" si="13"/>
        <v>0</v>
      </c>
      <c r="K39" s="178">
        <f>+I39*1.025</f>
        <v>0</v>
      </c>
      <c r="L39" s="80">
        <f t="shared" si="14"/>
        <v>0</v>
      </c>
      <c r="M39" s="178">
        <f>+K39*1.025</f>
        <v>0</v>
      </c>
      <c r="N39" s="80">
        <f t="shared" si="15"/>
        <v>0</v>
      </c>
      <c r="O39" s="178">
        <f>+M39*1.025</f>
        <v>0</v>
      </c>
      <c r="P39" s="80">
        <f t="shared" si="16"/>
        <v>0</v>
      </c>
      <c r="Q39" s="178">
        <f>+O39*1.025</f>
        <v>0</v>
      </c>
      <c r="R39" s="80">
        <f t="shared" si="17"/>
        <v>0</v>
      </c>
      <c r="S39" s="178">
        <f>+Q39*1.025</f>
        <v>0</v>
      </c>
      <c r="T39" s="80">
        <f t="shared" si="18"/>
        <v>0</v>
      </c>
      <c r="U39" s="178">
        <f>+S39*1.025</f>
        <v>0</v>
      </c>
      <c r="V39" s="80">
        <f t="shared" si="19"/>
        <v>0</v>
      </c>
    </row>
    <row r="40" spans="1:22" ht="12.75" customHeight="1">
      <c r="A40" s="2" t="s">
        <v>388</v>
      </c>
      <c r="B40" s="35"/>
      <c r="C40" s="178">
        <f>C36*0.124</f>
        <v>0</v>
      </c>
      <c r="D40" s="80">
        <f t="shared" si="10"/>
        <v>0</v>
      </c>
      <c r="E40" s="178"/>
      <c r="F40" s="80">
        <f t="shared" si="11"/>
        <v>0</v>
      </c>
      <c r="G40" s="178"/>
      <c r="H40" s="80">
        <f t="shared" si="12"/>
        <v>0</v>
      </c>
      <c r="I40" s="178">
        <f>I36*0.124</f>
        <v>0</v>
      </c>
      <c r="J40" s="80">
        <f t="shared" si="13"/>
        <v>0</v>
      </c>
      <c r="K40" s="178">
        <f>K36*0.124</f>
        <v>0</v>
      </c>
      <c r="L40" s="80">
        <f t="shared" si="14"/>
        <v>0</v>
      </c>
      <c r="M40" s="178">
        <f>M36*0.124</f>
        <v>0</v>
      </c>
      <c r="N40" s="80">
        <f t="shared" si="15"/>
        <v>0</v>
      </c>
      <c r="O40" s="178">
        <f>O36*0.124</f>
        <v>0</v>
      </c>
      <c r="P40" s="80">
        <f t="shared" si="16"/>
        <v>0</v>
      </c>
      <c r="Q40" s="178">
        <f>Q36*0.124</f>
        <v>0</v>
      </c>
      <c r="R40" s="80">
        <f t="shared" si="17"/>
        <v>0</v>
      </c>
      <c r="S40" s="178">
        <f>S36*0.124</f>
        <v>0</v>
      </c>
      <c r="T40" s="80">
        <f t="shared" si="18"/>
        <v>0</v>
      </c>
      <c r="U40" s="178">
        <f>U36*0.124</f>
        <v>0</v>
      </c>
      <c r="V40" s="80">
        <f t="shared" si="19"/>
        <v>0</v>
      </c>
    </row>
    <row r="41" spans="1:22" ht="12.75" customHeight="1">
      <c r="A41" s="2" t="s">
        <v>389</v>
      </c>
      <c r="B41" s="35"/>
      <c r="C41" s="178">
        <f>C37*0.124</f>
        <v>14384.868</v>
      </c>
      <c r="D41" s="80">
        <f t="shared" si="10"/>
        <v>3.5930192129005181E-2</v>
      </c>
      <c r="E41" s="178"/>
      <c r="F41" s="80">
        <f t="shared" si="11"/>
        <v>0</v>
      </c>
      <c r="G41" s="178"/>
      <c r="H41" s="80">
        <f t="shared" si="12"/>
        <v>0</v>
      </c>
      <c r="I41" s="178">
        <f>I37*0.124</f>
        <v>0</v>
      </c>
      <c r="J41" s="80">
        <f t="shared" si="13"/>
        <v>0</v>
      </c>
      <c r="K41" s="178">
        <f>K37*0.124</f>
        <v>0</v>
      </c>
      <c r="L41" s="80">
        <f t="shared" si="14"/>
        <v>0</v>
      </c>
      <c r="M41" s="178">
        <f>M37*0.124</f>
        <v>0</v>
      </c>
      <c r="N41" s="80">
        <f t="shared" si="15"/>
        <v>0</v>
      </c>
      <c r="O41" s="178">
        <f>O37*0.124</f>
        <v>0</v>
      </c>
      <c r="P41" s="80">
        <f t="shared" si="16"/>
        <v>0</v>
      </c>
      <c r="Q41" s="178">
        <f>Q37*0.124</f>
        <v>0</v>
      </c>
      <c r="R41" s="80">
        <f t="shared" si="17"/>
        <v>0</v>
      </c>
      <c r="S41" s="178">
        <f>S37*0.124</f>
        <v>0</v>
      </c>
      <c r="T41" s="80">
        <f t="shared" si="18"/>
        <v>0</v>
      </c>
      <c r="U41" s="178">
        <f>U37*0.124</f>
        <v>0</v>
      </c>
      <c r="V41" s="80">
        <f t="shared" si="19"/>
        <v>0</v>
      </c>
    </row>
    <row r="42" spans="1:22" ht="12.75" customHeight="1">
      <c r="A42" s="2" t="s">
        <v>390</v>
      </c>
      <c r="B42" s="35"/>
      <c r="C42" s="178"/>
      <c r="D42" s="80">
        <f t="shared" si="10"/>
        <v>0</v>
      </c>
      <c r="E42" s="178"/>
      <c r="F42" s="80">
        <f t="shared" si="11"/>
        <v>0</v>
      </c>
      <c r="G42" s="178"/>
      <c r="H42" s="80">
        <f t="shared" si="12"/>
        <v>0</v>
      </c>
      <c r="I42" s="178"/>
      <c r="J42" s="80">
        <f t="shared" si="13"/>
        <v>0</v>
      </c>
      <c r="K42" s="178"/>
      <c r="L42" s="80">
        <f t="shared" si="14"/>
        <v>0</v>
      </c>
      <c r="M42" s="178"/>
      <c r="N42" s="80">
        <f t="shared" si="15"/>
        <v>0</v>
      </c>
      <c r="O42" s="178"/>
      <c r="P42" s="80">
        <f t="shared" si="16"/>
        <v>0</v>
      </c>
      <c r="Q42" s="178"/>
      <c r="R42" s="80">
        <f t="shared" si="17"/>
        <v>0</v>
      </c>
      <c r="S42" s="178"/>
      <c r="T42" s="80">
        <f t="shared" si="18"/>
        <v>0</v>
      </c>
      <c r="U42" s="178"/>
      <c r="V42" s="80">
        <f t="shared" si="19"/>
        <v>0</v>
      </c>
    </row>
    <row r="43" spans="1:22" ht="12.75" customHeight="1">
      <c r="A43" s="2" t="s">
        <v>391</v>
      </c>
      <c r="B43" s="35"/>
      <c r="C43" s="178"/>
      <c r="D43" s="80">
        <f t="shared" si="10"/>
        <v>0</v>
      </c>
      <c r="E43" s="178"/>
      <c r="F43" s="80">
        <f t="shared" si="11"/>
        <v>0</v>
      </c>
      <c r="G43" s="178"/>
      <c r="H43" s="80">
        <f t="shared" si="12"/>
        <v>0</v>
      </c>
      <c r="I43" s="178"/>
      <c r="J43" s="80">
        <f t="shared" si="13"/>
        <v>0</v>
      </c>
      <c r="K43" s="178"/>
      <c r="L43" s="80">
        <f t="shared" si="14"/>
        <v>0</v>
      </c>
      <c r="M43" s="178"/>
      <c r="N43" s="80">
        <f t="shared" si="15"/>
        <v>0</v>
      </c>
      <c r="O43" s="178"/>
      <c r="P43" s="80">
        <f t="shared" si="16"/>
        <v>0</v>
      </c>
      <c r="Q43" s="178"/>
      <c r="R43" s="80">
        <f t="shared" si="17"/>
        <v>0</v>
      </c>
      <c r="S43" s="178"/>
      <c r="T43" s="80">
        <f t="shared" si="18"/>
        <v>0</v>
      </c>
      <c r="U43" s="178"/>
      <c r="V43" s="80">
        <f t="shared" si="19"/>
        <v>0</v>
      </c>
    </row>
    <row r="44" spans="1:22" ht="12.75" customHeight="1">
      <c r="A44" s="2" t="s">
        <v>392</v>
      </c>
      <c r="B44" s="35"/>
      <c r="C44" s="178"/>
      <c r="D44" s="80">
        <f t="shared" si="10"/>
        <v>0</v>
      </c>
      <c r="E44" s="178"/>
      <c r="F44" s="80">
        <f t="shared" si="11"/>
        <v>0</v>
      </c>
      <c r="G44" s="178"/>
      <c r="H44" s="80">
        <f t="shared" si="12"/>
        <v>0</v>
      </c>
      <c r="I44" s="178"/>
      <c r="J44" s="80">
        <f t="shared" si="13"/>
        <v>0</v>
      </c>
      <c r="K44" s="178"/>
      <c r="L44" s="80">
        <f t="shared" si="14"/>
        <v>0</v>
      </c>
      <c r="M44" s="178"/>
      <c r="N44" s="80">
        <f t="shared" si="15"/>
        <v>0</v>
      </c>
      <c r="O44" s="178"/>
      <c r="P44" s="80">
        <f t="shared" si="16"/>
        <v>0</v>
      </c>
      <c r="Q44" s="178"/>
      <c r="R44" s="80">
        <f t="shared" si="17"/>
        <v>0</v>
      </c>
      <c r="S44" s="178"/>
      <c r="T44" s="80">
        <f t="shared" si="18"/>
        <v>0</v>
      </c>
      <c r="U44" s="178"/>
      <c r="V44" s="80">
        <f t="shared" si="19"/>
        <v>0</v>
      </c>
    </row>
    <row r="45" spans="1:22" ht="12.75" customHeight="1">
      <c r="A45" s="2" t="s">
        <v>393</v>
      </c>
      <c r="B45" s="35"/>
      <c r="C45" s="181">
        <f>SUM(C36:C39)*0.094</f>
        <v>12960.531999999999</v>
      </c>
      <c r="D45" s="80">
        <f t="shared" si="10"/>
        <v>3.2372518458571864E-2</v>
      </c>
      <c r="E45" s="181"/>
      <c r="F45" s="80">
        <f t="shared" si="11"/>
        <v>0</v>
      </c>
      <c r="G45" s="181"/>
      <c r="H45" s="80">
        <f t="shared" si="12"/>
        <v>0</v>
      </c>
      <c r="I45" s="181">
        <f>SUM(I36:I39)*0.094</f>
        <v>0</v>
      </c>
      <c r="J45" s="80">
        <f t="shared" si="13"/>
        <v>0</v>
      </c>
      <c r="K45" s="181">
        <f>SUM(K36:K39)*0.094</f>
        <v>0</v>
      </c>
      <c r="L45" s="80">
        <f t="shared" si="14"/>
        <v>0</v>
      </c>
      <c r="M45" s="181">
        <f>SUM(M36:M39)*0.094</f>
        <v>0</v>
      </c>
      <c r="N45" s="80">
        <f t="shared" si="15"/>
        <v>0</v>
      </c>
      <c r="O45" s="181">
        <f>SUM(O36:O39)*0.094</f>
        <v>0</v>
      </c>
      <c r="P45" s="80">
        <f t="shared" si="16"/>
        <v>0</v>
      </c>
      <c r="Q45" s="181">
        <f>SUM(Q36:Q39)*0.094</f>
        <v>0</v>
      </c>
      <c r="R45" s="80">
        <f t="shared" si="17"/>
        <v>0</v>
      </c>
      <c r="S45" s="181">
        <f>SUM(S36:S39)*0.094</f>
        <v>0</v>
      </c>
      <c r="T45" s="80">
        <f t="shared" si="18"/>
        <v>0</v>
      </c>
      <c r="U45" s="181">
        <f>SUM(U36:U39)*0.094</f>
        <v>0</v>
      </c>
      <c r="V45" s="80">
        <f t="shared" si="19"/>
        <v>0</v>
      </c>
    </row>
    <row r="46" spans="1:22" ht="12.75" customHeight="1">
      <c r="A46" s="1" t="s">
        <v>394</v>
      </c>
      <c r="B46" s="53"/>
      <c r="C46" s="82">
        <f>SUM(C36:C45)</f>
        <v>165223.4</v>
      </c>
      <c r="D46" s="83">
        <f t="shared" si="10"/>
        <v>0.41269120482770327</v>
      </c>
      <c r="E46" s="82">
        <f>SUM(E36:E45)</f>
        <v>0</v>
      </c>
      <c r="F46" s="83">
        <f t="shared" si="11"/>
        <v>0</v>
      </c>
      <c r="G46" s="82">
        <f>SUM(G36:G45)</f>
        <v>0</v>
      </c>
      <c r="H46" s="83">
        <f t="shared" si="12"/>
        <v>0</v>
      </c>
      <c r="I46" s="82">
        <f>SUM(I36:I45)</f>
        <v>0</v>
      </c>
      <c r="J46" s="83">
        <f t="shared" si="13"/>
        <v>0</v>
      </c>
      <c r="K46" s="82">
        <f>SUM(K36:K45)</f>
        <v>0</v>
      </c>
      <c r="L46" s="83">
        <f t="shared" si="14"/>
        <v>0</v>
      </c>
      <c r="M46" s="82">
        <f>SUM(M36:M45)</f>
        <v>0</v>
      </c>
      <c r="N46" s="83">
        <f t="shared" si="15"/>
        <v>0</v>
      </c>
      <c r="O46" s="82">
        <f>SUM(O36:O45)</f>
        <v>0</v>
      </c>
      <c r="P46" s="83">
        <f t="shared" si="16"/>
        <v>0</v>
      </c>
      <c r="Q46" s="82">
        <f>SUM(Q36:Q45)</f>
        <v>0</v>
      </c>
      <c r="R46" s="83">
        <f t="shared" si="17"/>
        <v>0</v>
      </c>
      <c r="S46" s="82">
        <f>SUM(S36:S45)</f>
        <v>0</v>
      </c>
      <c r="T46" s="83">
        <f t="shared" si="18"/>
        <v>0</v>
      </c>
      <c r="U46" s="82">
        <f>SUM(U36:U45)</f>
        <v>0</v>
      </c>
      <c r="V46" s="83">
        <f t="shared" si="19"/>
        <v>0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366</v>
      </c>
      <c r="E50" s="86" t="str">
        <f>E6</f>
        <v>FY 2019-20</v>
      </c>
      <c r="F50" s="86" t="s">
        <v>366</v>
      </c>
      <c r="G50" s="86" t="str">
        <f>G6</f>
        <v>FY 2020-21</v>
      </c>
      <c r="H50" s="86" t="s">
        <v>366</v>
      </c>
      <c r="I50" s="86" t="str">
        <f>I6</f>
        <v>FY 2021-22</v>
      </c>
      <c r="J50" s="86" t="s">
        <v>366</v>
      </c>
      <c r="K50" s="86" t="str">
        <f>K6</f>
        <v>FY 2022-23</v>
      </c>
      <c r="L50" s="86" t="s">
        <v>366</v>
      </c>
      <c r="M50" s="86" t="str">
        <f>M6</f>
        <v>FY 2023-24</v>
      </c>
      <c r="N50" s="86" t="s">
        <v>366</v>
      </c>
      <c r="O50" s="86" t="str">
        <f>O6</f>
        <v>FY 2024-25</v>
      </c>
      <c r="P50" s="86" t="s">
        <v>366</v>
      </c>
      <c r="Q50" s="86" t="str">
        <f>Q6</f>
        <v>FY 2025-26</v>
      </c>
      <c r="R50" s="86" t="s">
        <v>366</v>
      </c>
      <c r="S50" s="86" t="str">
        <f>S6</f>
        <v>FY 2026-27</v>
      </c>
      <c r="T50" s="86" t="s">
        <v>366</v>
      </c>
      <c r="U50" s="86" t="str">
        <f>U6</f>
        <v>FY 2027-28</v>
      </c>
      <c r="V50" s="86" t="s">
        <v>366</v>
      </c>
    </row>
    <row r="51" spans="1:24" ht="12.75" customHeight="1">
      <c r="A51" s="1" t="s">
        <v>395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396</v>
      </c>
      <c r="B52" s="35"/>
      <c r="C52" s="178">
        <v>0</v>
      </c>
      <c r="D52" s="80">
        <f t="shared" ref="D52:D83" si="20">IFERROR(C52/C$28,0)</f>
        <v>0</v>
      </c>
      <c r="E52" s="178">
        <v>0</v>
      </c>
      <c r="F52" s="80">
        <f t="shared" ref="F52:F105" si="21">IFERROR(E52/E$28,0)</f>
        <v>0</v>
      </c>
      <c r="G52" s="178">
        <v>0</v>
      </c>
      <c r="H52" s="80">
        <f t="shared" ref="H52:H105" si="22">IFERROR(G52/G$28,0)</f>
        <v>0</v>
      </c>
      <c r="I52" s="178">
        <v>0</v>
      </c>
      <c r="J52" s="80">
        <f t="shared" ref="J52:J105" si="23">IFERROR(I52/I$28,0)</f>
        <v>0</v>
      </c>
      <c r="K52" s="178">
        <v>0</v>
      </c>
      <c r="L52" s="80">
        <f t="shared" ref="L52:L105" si="24">IFERROR(K52/K$28,0)</f>
        <v>0</v>
      </c>
      <c r="M52" s="178">
        <v>0</v>
      </c>
      <c r="N52" s="80">
        <f t="shared" ref="N52:N105" si="25">IFERROR(M52/M$28,0)</f>
        <v>0</v>
      </c>
      <c r="O52" s="178">
        <v>0</v>
      </c>
      <c r="P52" s="80">
        <f t="shared" ref="P52:P105" si="26">IFERROR(O52/O$28,0)</f>
        <v>0</v>
      </c>
      <c r="Q52" s="178">
        <v>0</v>
      </c>
      <c r="R52" s="80">
        <f t="shared" ref="R52:R105" si="27">IFERROR(Q52/Q$28,0)</f>
        <v>0</v>
      </c>
      <c r="S52" s="178">
        <v>0</v>
      </c>
      <c r="T52" s="80">
        <f t="shared" ref="T52:T105" si="28">IFERROR(S52/S$28,0)</f>
        <v>0</v>
      </c>
      <c r="U52" s="178">
        <v>0</v>
      </c>
      <c r="V52" s="80">
        <f t="shared" ref="V52:V105" si="29">IFERROR(U52/U$28,0)</f>
        <v>0</v>
      </c>
      <c r="X52" s="192"/>
    </row>
    <row r="53" spans="1:24" ht="12.75" customHeight="1">
      <c r="A53" s="2" t="s">
        <v>397</v>
      </c>
      <c r="B53" s="35"/>
      <c r="C53" s="178">
        <v>0</v>
      </c>
      <c r="D53" s="80">
        <f t="shared" si="20"/>
        <v>0</v>
      </c>
      <c r="E53" s="178">
        <v>0</v>
      </c>
      <c r="F53" s="80">
        <f t="shared" si="21"/>
        <v>0</v>
      </c>
      <c r="G53" s="178">
        <v>0</v>
      </c>
      <c r="H53" s="80">
        <f t="shared" si="22"/>
        <v>0</v>
      </c>
      <c r="I53" s="178">
        <v>0</v>
      </c>
      <c r="J53" s="80">
        <f t="shared" si="23"/>
        <v>0</v>
      </c>
      <c r="K53" s="178">
        <v>0</v>
      </c>
      <c r="L53" s="80">
        <f t="shared" si="24"/>
        <v>0</v>
      </c>
      <c r="M53" s="178">
        <v>0</v>
      </c>
      <c r="N53" s="80">
        <f t="shared" si="25"/>
        <v>0</v>
      </c>
      <c r="O53" s="178">
        <v>0</v>
      </c>
      <c r="P53" s="80">
        <f t="shared" si="26"/>
        <v>0</v>
      </c>
      <c r="Q53" s="178">
        <v>0</v>
      </c>
      <c r="R53" s="80">
        <f t="shared" si="27"/>
        <v>0</v>
      </c>
      <c r="S53" s="178">
        <v>0</v>
      </c>
      <c r="T53" s="80">
        <f t="shared" si="28"/>
        <v>0</v>
      </c>
      <c r="U53" s="178">
        <v>0</v>
      </c>
      <c r="V53" s="80">
        <f t="shared" si="29"/>
        <v>0</v>
      </c>
      <c r="X53" s="192"/>
    </row>
    <row r="54" spans="1:24" ht="12.75" customHeight="1">
      <c r="A54" s="2" t="s">
        <v>398</v>
      </c>
      <c r="B54" s="35"/>
      <c r="C54" s="178">
        <v>280.24920000000003</v>
      </c>
      <c r="D54" s="80">
        <f t="shared" si="20"/>
        <v>6.9999999999999999E-4</v>
      </c>
      <c r="E54" s="178">
        <v>0</v>
      </c>
      <c r="F54" s="80">
        <f t="shared" si="21"/>
        <v>0</v>
      </c>
      <c r="G54" s="178">
        <v>0</v>
      </c>
      <c r="H54" s="80">
        <f t="shared" si="22"/>
        <v>0</v>
      </c>
      <c r="I54" s="178">
        <v>0</v>
      </c>
      <c r="J54" s="80">
        <f t="shared" si="23"/>
        <v>0</v>
      </c>
      <c r="K54" s="178">
        <v>0</v>
      </c>
      <c r="L54" s="80">
        <f t="shared" si="24"/>
        <v>0</v>
      </c>
      <c r="M54" s="178">
        <v>0</v>
      </c>
      <c r="N54" s="80">
        <f t="shared" si="25"/>
        <v>0</v>
      </c>
      <c r="O54" s="178">
        <v>0</v>
      </c>
      <c r="P54" s="80">
        <f t="shared" si="26"/>
        <v>0</v>
      </c>
      <c r="Q54" s="178">
        <v>0</v>
      </c>
      <c r="R54" s="80">
        <f t="shared" si="27"/>
        <v>0</v>
      </c>
      <c r="S54" s="178">
        <v>0</v>
      </c>
      <c r="T54" s="80">
        <f t="shared" si="28"/>
        <v>0</v>
      </c>
      <c r="U54" s="178">
        <v>0</v>
      </c>
      <c r="V54" s="80">
        <f t="shared" si="29"/>
        <v>0</v>
      </c>
      <c r="X54" s="192"/>
    </row>
    <row r="55" spans="1:24" ht="12.75" customHeight="1">
      <c r="A55" s="2" t="s">
        <v>399</v>
      </c>
      <c r="B55" s="35"/>
      <c r="C55" s="178">
        <v>34030.260000000009</v>
      </c>
      <c r="D55" s="80">
        <f t="shared" si="20"/>
        <v>8.5000000000000006E-2</v>
      </c>
      <c r="E55" s="178">
        <v>0</v>
      </c>
      <c r="F55" s="80">
        <f t="shared" si="21"/>
        <v>0</v>
      </c>
      <c r="G55" s="178">
        <v>0</v>
      </c>
      <c r="H55" s="80">
        <f t="shared" si="22"/>
        <v>0</v>
      </c>
      <c r="I55" s="178">
        <v>0</v>
      </c>
      <c r="J55" s="80">
        <f t="shared" si="23"/>
        <v>0</v>
      </c>
      <c r="K55" s="178">
        <v>0</v>
      </c>
      <c r="L55" s="80">
        <f t="shared" si="24"/>
        <v>0</v>
      </c>
      <c r="M55" s="178">
        <v>0</v>
      </c>
      <c r="N55" s="80">
        <f t="shared" si="25"/>
        <v>0</v>
      </c>
      <c r="O55" s="178">
        <v>0</v>
      </c>
      <c r="P55" s="80">
        <f t="shared" si="26"/>
        <v>0</v>
      </c>
      <c r="Q55" s="178">
        <v>0</v>
      </c>
      <c r="R55" s="80">
        <f t="shared" si="27"/>
        <v>0</v>
      </c>
      <c r="S55" s="178">
        <v>0</v>
      </c>
      <c r="T55" s="80">
        <f t="shared" si="28"/>
        <v>0</v>
      </c>
      <c r="U55" s="178">
        <v>0</v>
      </c>
      <c r="V55" s="80">
        <f t="shared" si="29"/>
        <v>0</v>
      </c>
      <c r="X55" s="192"/>
    </row>
    <row r="56" spans="1:24" ht="12.75" customHeight="1">
      <c r="A56" s="2" t="s">
        <v>400</v>
      </c>
      <c r="B56" s="35"/>
      <c r="C56" s="178">
        <v>204.18156000000002</v>
      </c>
      <c r="D56" s="80">
        <f t="shared" si="20"/>
        <v>5.0999999999999993E-4</v>
      </c>
      <c r="E56" s="178">
        <v>0</v>
      </c>
      <c r="F56" s="80">
        <f t="shared" si="21"/>
        <v>0</v>
      </c>
      <c r="G56" s="178">
        <v>0</v>
      </c>
      <c r="H56" s="80">
        <f t="shared" si="22"/>
        <v>0</v>
      </c>
      <c r="I56" s="178">
        <v>0</v>
      </c>
      <c r="J56" s="80">
        <f t="shared" si="23"/>
        <v>0</v>
      </c>
      <c r="K56" s="178">
        <v>0</v>
      </c>
      <c r="L56" s="80">
        <f t="shared" si="24"/>
        <v>0</v>
      </c>
      <c r="M56" s="178">
        <v>0</v>
      </c>
      <c r="N56" s="80">
        <f t="shared" si="25"/>
        <v>0</v>
      </c>
      <c r="O56" s="178">
        <v>0</v>
      </c>
      <c r="P56" s="80">
        <f t="shared" si="26"/>
        <v>0</v>
      </c>
      <c r="Q56" s="178">
        <v>0</v>
      </c>
      <c r="R56" s="80">
        <f t="shared" si="27"/>
        <v>0</v>
      </c>
      <c r="S56" s="178">
        <v>0</v>
      </c>
      <c r="T56" s="80">
        <f t="shared" si="28"/>
        <v>0</v>
      </c>
      <c r="U56" s="178">
        <v>0</v>
      </c>
      <c r="V56" s="80">
        <f t="shared" si="29"/>
        <v>0</v>
      </c>
      <c r="X56" s="192"/>
    </row>
    <row r="57" spans="1:24" ht="12.75" customHeight="1">
      <c r="A57" s="2" t="s">
        <v>401</v>
      </c>
      <c r="B57" s="35"/>
      <c r="C57" s="178">
        <v>0</v>
      </c>
      <c r="D57" s="80">
        <f t="shared" si="20"/>
        <v>0</v>
      </c>
      <c r="E57" s="178">
        <v>0</v>
      </c>
      <c r="F57" s="80">
        <f t="shared" si="21"/>
        <v>0</v>
      </c>
      <c r="G57" s="178">
        <v>0</v>
      </c>
      <c r="H57" s="80">
        <f t="shared" si="22"/>
        <v>0</v>
      </c>
      <c r="I57" s="178">
        <v>0</v>
      </c>
      <c r="J57" s="80">
        <f t="shared" si="23"/>
        <v>0</v>
      </c>
      <c r="K57" s="178">
        <v>0</v>
      </c>
      <c r="L57" s="80">
        <f t="shared" si="24"/>
        <v>0</v>
      </c>
      <c r="M57" s="178">
        <v>0</v>
      </c>
      <c r="N57" s="80">
        <f t="shared" si="25"/>
        <v>0</v>
      </c>
      <c r="O57" s="178">
        <v>0</v>
      </c>
      <c r="P57" s="80">
        <f t="shared" si="26"/>
        <v>0</v>
      </c>
      <c r="Q57" s="178">
        <v>0</v>
      </c>
      <c r="R57" s="80">
        <f t="shared" si="27"/>
        <v>0</v>
      </c>
      <c r="S57" s="178">
        <v>0</v>
      </c>
      <c r="T57" s="80">
        <f t="shared" si="28"/>
        <v>0</v>
      </c>
      <c r="U57" s="178">
        <v>0</v>
      </c>
      <c r="V57" s="80">
        <f t="shared" si="29"/>
        <v>0</v>
      </c>
      <c r="X57" s="192"/>
    </row>
    <row r="58" spans="1:24" ht="12.75" customHeight="1">
      <c r="A58" s="2" t="s">
        <v>402</v>
      </c>
      <c r="B58" s="35"/>
      <c r="C58" s="178">
        <v>0</v>
      </c>
      <c r="D58" s="80">
        <f t="shared" si="20"/>
        <v>0</v>
      </c>
      <c r="E58" s="178">
        <v>0</v>
      </c>
      <c r="F58" s="80">
        <f t="shared" si="21"/>
        <v>0</v>
      </c>
      <c r="G58" s="178">
        <v>0</v>
      </c>
      <c r="H58" s="80">
        <f t="shared" si="22"/>
        <v>0</v>
      </c>
      <c r="I58" s="178">
        <v>0</v>
      </c>
      <c r="J58" s="80">
        <f t="shared" si="23"/>
        <v>0</v>
      </c>
      <c r="K58" s="178">
        <v>0</v>
      </c>
      <c r="L58" s="80">
        <f t="shared" si="24"/>
        <v>0</v>
      </c>
      <c r="M58" s="178">
        <v>0</v>
      </c>
      <c r="N58" s="80">
        <f t="shared" si="25"/>
        <v>0</v>
      </c>
      <c r="O58" s="178">
        <v>0</v>
      </c>
      <c r="P58" s="80">
        <f t="shared" si="26"/>
        <v>0</v>
      </c>
      <c r="Q58" s="178">
        <v>0</v>
      </c>
      <c r="R58" s="80">
        <f t="shared" si="27"/>
        <v>0</v>
      </c>
      <c r="S58" s="178">
        <v>0</v>
      </c>
      <c r="T58" s="80">
        <f t="shared" si="28"/>
        <v>0</v>
      </c>
      <c r="U58" s="178">
        <v>0</v>
      </c>
      <c r="V58" s="80">
        <f t="shared" si="29"/>
        <v>0</v>
      </c>
      <c r="X58" s="192"/>
    </row>
    <row r="59" spans="1:24" ht="12.75" customHeight="1">
      <c r="A59" s="2" t="s">
        <v>403</v>
      </c>
      <c r="B59" s="35"/>
      <c r="C59" s="178"/>
      <c r="D59" s="80">
        <f t="shared" si="20"/>
        <v>0</v>
      </c>
      <c r="E59" s="178"/>
      <c r="F59" s="80">
        <f t="shared" si="21"/>
        <v>0</v>
      </c>
      <c r="G59" s="178"/>
      <c r="H59" s="80">
        <f t="shared" si="22"/>
        <v>0</v>
      </c>
      <c r="I59" s="178"/>
      <c r="J59" s="80">
        <f t="shared" si="23"/>
        <v>0</v>
      </c>
      <c r="K59" s="178"/>
      <c r="L59" s="80">
        <f t="shared" si="24"/>
        <v>0</v>
      </c>
      <c r="M59" s="178"/>
      <c r="N59" s="80">
        <f t="shared" si="25"/>
        <v>0</v>
      </c>
      <c r="O59" s="178"/>
      <c r="P59" s="80">
        <f t="shared" si="26"/>
        <v>0</v>
      </c>
      <c r="Q59" s="178"/>
      <c r="R59" s="80">
        <f t="shared" si="27"/>
        <v>0</v>
      </c>
      <c r="S59" s="178"/>
      <c r="T59" s="80">
        <f t="shared" si="28"/>
        <v>0</v>
      </c>
      <c r="U59" s="178"/>
      <c r="V59" s="80">
        <f t="shared" si="29"/>
        <v>0</v>
      </c>
      <c r="X59" s="192"/>
    </row>
    <row r="60" spans="1:24" ht="12.75" customHeight="1">
      <c r="A60" s="2" t="s">
        <v>404</v>
      </c>
      <c r="B60" s="35"/>
      <c r="C60" s="178">
        <v>0</v>
      </c>
      <c r="D60" s="80">
        <f t="shared" si="20"/>
        <v>0</v>
      </c>
      <c r="E60" s="178">
        <v>0</v>
      </c>
      <c r="F60" s="80">
        <f t="shared" si="21"/>
        <v>0</v>
      </c>
      <c r="G60" s="178">
        <v>0</v>
      </c>
      <c r="H60" s="80">
        <f t="shared" si="22"/>
        <v>0</v>
      </c>
      <c r="I60" s="178">
        <v>0</v>
      </c>
      <c r="J60" s="80">
        <f t="shared" si="23"/>
        <v>0</v>
      </c>
      <c r="K60" s="178">
        <v>0</v>
      </c>
      <c r="L60" s="80">
        <f t="shared" si="24"/>
        <v>0</v>
      </c>
      <c r="M60" s="178">
        <v>0</v>
      </c>
      <c r="N60" s="80">
        <f t="shared" si="25"/>
        <v>0</v>
      </c>
      <c r="O60" s="178">
        <v>0</v>
      </c>
      <c r="P60" s="80">
        <f t="shared" si="26"/>
        <v>0</v>
      </c>
      <c r="Q60" s="178">
        <v>0</v>
      </c>
      <c r="R60" s="80">
        <f t="shared" si="27"/>
        <v>0</v>
      </c>
      <c r="S60" s="178">
        <v>0</v>
      </c>
      <c r="T60" s="80">
        <f t="shared" si="28"/>
        <v>0</v>
      </c>
      <c r="U60" s="178">
        <v>0</v>
      </c>
      <c r="V60" s="80">
        <f t="shared" si="29"/>
        <v>0</v>
      </c>
      <c r="X60" s="192"/>
    </row>
    <row r="61" spans="1:24" ht="12.75" customHeight="1">
      <c r="A61" s="2" t="s">
        <v>405</v>
      </c>
      <c r="B61" s="35"/>
      <c r="C61" s="178">
        <v>0</v>
      </c>
      <c r="D61" s="80">
        <f t="shared" si="20"/>
        <v>0</v>
      </c>
      <c r="E61" s="178">
        <v>0</v>
      </c>
      <c r="F61" s="80">
        <f t="shared" si="21"/>
        <v>0</v>
      </c>
      <c r="G61" s="178">
        <v>0</v>
      </c>
      <c r="H61" s="80">
        <f t="shared" si="22"/>
        <v>0</v>
      </c>
      <c r="I61" s="178">
        <v>0</v>
      </c>
      <c r="J61" s="80">
        <f t="shared" si="23"/>
        <v>0</v>
      </c>
      <c r="K61" s="178">
        <v>0</v>
      </c>
      <c r="L61" s="80">
        <f t="shared" si="24"/>
        <v>0</v>
      </c>
      <c r="M61" s="178">
        <v>0</v>
      </c>
      <c r="N61" s="80">
        <f t="shared" si="25"/>
        <v>0</v>
      </c>
      <c r="O61" s="178">
        <v>0</v>
      </c>
      <c r="P61" s="80">
        <f t="shared" si="26"/>
        <v>0</v>
      </c>
      <c r="Q61" s="178">
        <v>0</v>
      </c>
      <c r="R61" s="80">
        <f t="shared" si="27"/>
        <v>0</v>
      </c>
      <c r="S61" s="178">
        <v>0</v>
      </c>
      <c r="T61" s="80">
        <f t="shared" si="28"/>
        <v>0</v>
      </c>
      <c r="U61" s="178">
        <v>0</v>
      </c>
      <c r="V61" s="80">
        <f t="shared" si="29"/>
        <v>0</v>
      </c>
      <c r="X61" s="192"/>
    </row>
    <row r="62" spans="1:24" ht="12.75" customHeight="1">
      <c r="A62" s="2" t="s">
        <v>406</v>
      </c>
      <c r="B62" s="35"/>
      <c r="C62" s="178">
        <v>0</v>
      </c>
      <c r="D62" s="80">
        <f t="shared" si="20"/>
        <v>0</v>
      </c>
      <c r="E62" s="178">
        <v>0</v>
      </c>
      <c r="F62" s="80">
        <f t="shared" si="21"/>
        <v>0</v>
      </c>
      <c r="G62" s="178">
        <v>0</v>
      </c>
      <c r="H62" s="80">
        <f t="shared" si="22"/>
        <v>0</v>
      </c>
      <c r="I62" s="178">
        <v>0</v>
      </c>
      <c r="J62" s="80">
        <f t="shared" si="23"/>
        <v>0</v>
      </c>
      <c r="K62" s="178">
        <v>0</v>
      </c>
      <c r="L62" s="80">
        <f t="shared" si="24"/>
        <v>0</v>
      </c>
      <c r="M62" s="178">
        <v>0</v>
      </c>
      <c r="N62" s="80">
        <f t="shared" si="25"/>
        <v>0</v>
      </c>
      <c r="O62" s="178">
        <v>0</v>
      </c>
      <c r="P62" s="80">
        <f t="shared" si="26"/>
        <v>0</v>
      </c>
      <c r="Q62" s="178">
        <v>0</v>
      </c>
      <c r="R62" s="80">
        <f t="shared" si="27"/>
        <v>0</v>
      </c>
      <c r="S62" s="178">
        <v>0</v>
      </c>
      <c r="T62" s="80">
        <f t="shared" si="28"/>
        <v>0</v>
      </c>
      <c r="U62" s="178">
        <v>0</v>
      </c>
      <c r="V62" s="80">
        <f t="shared" si="29"/>
        <v>0</v>
      </c>
      <c r="X62" s="192"/>
    </row>
    <row r="63" spans="1:24" ht="12.75" customHeight="1">
      <c r="A63" s="2" t="s">
        <v>407</v>
      </c>
      <c r="B63" s="35"/>
      <c r="C63" s="178">
        <v>4870.602919476526</v>
      </c>
      <c r="D63" s="80">
        <f t="shared" si="20"/>
        <v>1.2165679843630482E-2</v>
      </c>
      <c r="E63" s="178">
        <v>0</v>
      </c>
      <c r="F63" s="80">
        <f t="shared" si="21"/>
        <v>0</v>
      </c>
      <c r="G63" s="178">
        <v>0</v>
      </c>
      <c r="H63" s="80">
        <f t="shared" si="22"/>
        <v>0</v>
      </c>
      <c r="I63" s="178">
        <v>0</v>
      </c>
      <c r="J63" s="80">
        <f t="shared" si="23"/>
        <v>0</v>
      </c>
      <c r="K63" s="178">
        <v>0</v>
      </c>
      <c r="L63" s="80">
        <f t="shared" si="24"/>
        <v>0</v>
      </c>
      <c r="M63" s="178">
        <v>0</v>
      </c>
      <c r="N63" s="80">
        <f t="shared" si="25"/>
        <v>0</v>
      </c>
      <c r="O63" s="178">
        <v>0</v>
      </c>
      <c r="P63" s="80">
        <f t="shared" si="26"/>
        <v>0</v>
      </c>
      <c r="Q63" s="178">
        <v>0</v>
      </c>
      <c r="R63" s="80">
        <f t="shared" si="27"/>
        <v>0</v>
      </c>
      <c r="S63" s="178">
        <v>0</v>
      </c>
      <c r="T63" s="80">
        <f t="shared" si="28"/>
        <v>0</v>
      </c>
      <c r="U63" s="178">
        <v>0</v>
      </c>
      <c r="V63" s="80">
        <f t="shared" si="29"/>
        <v>0</v>
      </c>
      <c r="X63" s="192"/>
    </row>
    <row r="64" spans="1:24" ht="12.75" customHeight="1">
      <c r="A64" s="2" t="s">
        <v>408</v>
      </c>
      <c r="B64" s="35"/>
      <c r="C64" s="178">
        <v>1921.7088000000001</v>
      </c>
      <c r="D64" s="80">
        <f t="shared" si="20"/>
        <v>4.7999999999999996E-3</v>
      </c>
      <c r="E64" s="178">
        <v>0</v>
      </c>
      <c r="F64" s="80">
        <f t="shared" si="21"/>
        <v>0</v>
      </c>
      <c r="G64" s="178">
        <v>0</v>
      </c>
      <c r="H64" s="80">
        <f t="shared" si="22"/>
        <v>0</v>
      </c>
      <c r="I64" s="178">
        <v>0</v>
      </c>
      <c r="J64" s="80">
        <f t="shared" si="23"/>
        <v>0</v>
      </c>
      <c r="K64" s="178">
        <v>0</v>
      </c>
      <c r="L64" s="80">
        <f t="shared" si="24"/>
        <v>0</v>
      </c>
      <c r="M64" s="178">
        <v>0</v>
      </c>
      <c r="N64" s="80">
        <f t="shared" si="25"/>
        <v>0</v>
      </c>
      <c r="O64" s="178">
        <v>0</v>
      </c>
      <c r="P64" s="80">
        <f t="shared" si="26"/>
        <v>0</v>
      </c>
      <c r="Q64" s="178">
        <v>0</v>
      </c>
      <c r="R64" s="80">
        <f t="shared" si="27"/>
        <v>0</v>
      </c>
      <c r="S64" s="178">
        <v>0</v>
      </c>
      <c r="T64" s="80">
        <f t="shared" si="28"/>
        <v>0</v>
      </c>
      <c r="U64" s="178">
        <v>0</v>
      </c>
      <c r="V64" s="80">
        <f t="shared" si="29"/>
        <v>0</v>
      </c>
      <c r="X64" s="192"/>
    </row>
    <row r="65" spans="1:24" ht="12.75" customHeight="1">
      <c r="A65" s="2" t="s">
        <v>409</v>
      </c>
      <c r="B65" s="35"/>
      <c r="C65" s="178">
        <v>200.17800000000003</v>
      </c>
      <c r="D65" s="80">
        <f t="shared" si="20"/>
        <v>5.0000000000000001E-4</v>
      </c>
      <c r="E65" s="178">
        <v>0</v>
      </c>
      <c r="F65" s="80">
        <f t="shared" si="21"/>
        <v>0</v>
      </c>
      <c r="G65" s="178">
        <v>0</v>
      </c>
      <c r="H65" s="80">
        <f t="shared" si="22"/>
        <v>0</v>
      </c>
      <c r="I65" s="178">
        <v>0</v>
      </c>
      <c r="J65" s="80">
        <f t="shared" si="23"/>
        <v>0</v>
      </c>
      <c r="K65" s="178">
        <v>0</v>
      </c>
      <c r="L65" s="80">
        <f t="shared" si="24"/>
        <v>0</v>
      </c>
      <c r="M65" s="178">
        <v>0</v>
      </c>
      <c r="N65" s="80">
        <f t="shared" si="25"/>
        <v>0</v>
      </c>
      <c r="O65" s="178">
        <v>0</v>
      </c>
      <c r="P65" s="80">
        <f t="shared" si="26"/>
        <v>0</v>
      </c>
      <c r="Q65" s="178">
        <v>0</v>
      </c>
      <c r="R65" s="80">
        <f t="shared" si="27"/>
        <v>0</v>
      </c>
      <c r="S65" s="178">
        <v>0</v>
      </c>
      <c r="T65" s="80">
        <f t="shared" si="28"/>
        <v>0</v>
      </c>
      <c r="U65" s="178">
        <v>0</v>
      </c>
      <c r="V65" s="80">
        <f t="shared" si="29"/>
        <v>0</v>
      </c>
      <c r="X65" s="192"/>
    </row>
    <row r="66" spans="1:24" ht="12.75" customHeight="1">
      <c r="A66" s="2" t="s">
        <v>410</v>
      </c>
      <c r="B66" s="35"/>
      <c r="C66" s="178">
        <v>1120.9968000000001</v>
      </c>
      <c r="D66" s="80">
        <f t="shared" si="20"/>
        <v>2.8E-3</v>
      </c>
      <c r="E66" s="178">
        <v>0</v>
      </c>
      <c r="F66" s="80">
        <f t="shared" si="21"/>
        <v>0</v>
      </c>
      <c r="G66" s="178">
        <v>0</v>
      </c>
      <c r="H66" s="80">
        <f t="shared" si="22"/>
        <v>0</v>
      </c>
      <c r="I66" s="178">
        <v>0</v>
      </c>
      <c r="J66" s="80">
        <f t="shared" si="23"/>
        <v>0</v>
      </c>
      <c r="K66" s="178">
        <v>0</v>
      </c>
      <c r="L66" s="80">
        <f t="shared" si="24"/>
        <v>0</v>
      </c>
      <c r="M66" s="178">
        <v>0</v>
      </c>
      <c r="N66" s="80">
        <f t="shared" si="25"/>
        <v>0</v>
      </c>
      <c r="O66" s="178">
        <v>0</v>
      </c>
      <c r="P66" s="80">
        <f t="shared" si="26"/>
        <v>0</v>
      </c>
      <c r="Q66" s="178">
        <v>0</v>
      </c>
      <c r="R66" s="80">
        <f t="shared" si="27"/>
        <v>0</v>
      </c>
      <c r="S66" s="178">
        <v>0</v>
      </c>
      <c r="T66" s="80">
        <f t="shared" si="28"/>
        <v>0</v>
      </c>
      <c r="U66" s="178">
        <v>0</v>
      </c>
      <c r="V66" s="80">
        <f t="shared" si="29"/>
        <v>0</v>
      </c>
      <c r="X66" s="192"/>
    </row>
    <row r="67" spans="1:24" ht="12.75" customHeight="1">
      <c r="A67" s="2" t="s">
        <v>411</v>
      </c>
      <c r="B67" s="35"/>
      <c r="C67" s="178">
        <v>6005.34</v>
      </c>
      <c r="D67" s="80">
        <f t="shared" si="20"/>
        <v>1.4999999999999998E-2</v>
      </c>
      <c r="E67" s="178">
        <v>0</v>
      </c>
      <c r="F67" s="80">
        <f t="shared" si="21"/>
        <v>0</v>
      </c>
      <c r="G67" s="178">
        <v>0</v>
      </c>
      <c r="H67" s="80">
        <f t="shared" si="22"/>
        <v>0</v>
      </c>
      <c r="I67" s="178">
        <v>0</v>
      </c>
      <c r="J67" s="80">
        <f t="shared" si="23"/>
        <v>0</v>
      </c>
      <c r="K67" s="178">
        <v>0</v>
      </c>
      <c r="L67" s="80">
        <f t="shared" si="24"/>
        <v>0</v>
      </c>
      <c r="M67" s="178">
        <v>0</v>
      </c>
      <c r="N67" s="80">
        <f t="shared" si="25"/>
        <v>0</v>
      </c>
      <c r="O67" s="178">
        <v>0</v>
      </c>
      <c r="P67" s="80">
        <f t="shared" si="26"/>
        <v>0</v>
      </c>
      <c r="Q67" s="178">
        <v>0</v>
      </c>
      <c r="R67" s="80">
        <f t="shared" si="27"/>
        <v>0</v>
      </c>
      <c r="S67" s="178">
        <v>0</v>
      </c>
      <c r="T67" s="80">
        <f t="shared" si="28"/>
        <v>0</v>
      </c>
      <c r="U67" s="178">
        <v>0</v>
      </c>
      <c r="V67" s="80">
        <f t="shared" si="29"/>
        <v>0</v>
      </c>
      <c r="X67" s="192"/>
    </row>
    <row r="68" spans="1:24" ht="12.75" customHeight="1">
      <c r="A68" s="2" t="s">
        <v>412</v>
      </c>
      <c r="B68" s="35"/>
      <c r="C68" s="178">
        <v>680.60519999999997</v>
      </c>
      <c r="D68" s="80">
        <f t="shared" si="20"/>
        <v>1.6999999999999997E-3</v>
      </c>
      <c r="E68" s="178">
        <v>0</v>
      </c>
      <c r="F68" s="80">
        <f t="shared" si="21"/>
        <v>0</v>
      </c>
      <c r="G68" s="178">
        <v>0</v>
      </c>
      <c r="H68" s="80">
        <f t="shared" si="22"/>
        <v>0</v>
      </c>
      <c r="I68" s="178">
        <v>0</v>
      </c>
      <c r="J68" s="80">
        <f t="shared" si="23"/>
        <v>0</v>
      </c>
      <c r="K68" s="178">
        <v>0</v>
      </c>
      <c r="L68" s="80">
        <f t="shared" si="24"/>
        <v>0</v>
      </c>
      <c r="M68" s="178">
        <v>0</v>
      </c>
      <c r="N68" s="80">
        <f t="shared" si="25"/>
        <v>0</v>
      </c>
      <c r="O68" s="178">
        <v>0</v>
      </c>
      <c r="P68" s="80">
        <f t="shared" si="26"/>
        <v>0</v>
      </c>
      <c r="Q68" s="178">
        <v>0</v>
      </c>
      <c r="R68" s="80">
        <f t="shared" si="27"/>
        <v>0</v>
      </c>
      <c r="S68" s="178">
        <v>0</v>
      </c>
      <c r="T68" s="80">
        <f t="shared" si="28"/>
        <v>0</v>
      </c>
      <c r="U68" s="178">
        <v>0</v>
      </c>
      <c r="V68" s="80">
        <f t="shared" si="29"/>
        <v>0</v>
      </c>
      <c r="X68" s="192"/>
    </row>
    <row r="69" spans="1:24" ht="12.75" customHeight="1">
      <c r="A69" s="2" t="s">
        <v>413</v>
      </c>
      <c r="B69" s="35"/>
      <c r="C69" s="178">
        <v>0</v>
      </c>
      <c r="D69" s="80">
        <f t="shared" si="20"/>
        <v>0</v>
      </c>
      <c r="E69" s="178">
        <v>0</v>
      </c>
      <c r="F69" s="80">
        <f t="shared" si="21"/>
        <v>0</v>
      </c>
      <c r="G69" s="178">
        <v>0</v>
      </c>
      <c r="H69" s="80">
        <f t="shared" si="22"/>
        <v>0</v>
      </c>
      <c r="I69" s="178">
        <v>0</v>
      </c>
      <c r="J69" s="80">
        <f t="shared" si="23"/>
        <v>0</v>
      </c>
      <c r="K69" s="178">
        <v>0</v>
      </c>
      <c r="L69" s="80">
        <f t="shared" si="24"/>
        <v>0</v>
      </c>
      <c r="M69" s="178">
        <v>0</v>
      </c>
      <c r="N69" s="80">
        <f t="shared" si="25"/>
        <v>0</v>
      </c>
      <c r="O69" s="178">
        <v>0</v>
      </c>
      <c r="P69" s="80">
        <f t="shared" si="26"/>
        <v>0</v>
      </c>
      <c r="Q69" s="178">
        <v>0</v>
      </c>
      <c r="R69" s="80">
        <f t="shared" si="27"/>
        <v>0</v>
      </c>
      <c r="S69" s="178">
        <v>0</v>
      </c>
      <c r="T69" s="80">
        <f t="shared" si="28"/>
        <v>0</v>
      </c>
      <c r="U69" s="178">
        <v>0</v>
      </c>
      <c r="V69" s="80">
        <f t="shared" si="29"/>
        <v>0</v>
      </c>
      <c r="X69" s="192"/>
    </row>
    <row r="70" spans="1:24" ht="12.75" customHeight="1">
      <c r="A70" s="2" t="s">
        <v>414</v>
      </c>
      <c r="B70" s="35"/>
      <c r="C70" s="178">
        <v>40.035600000000009</v>
      </c>
      <c r="D70" s="80">
        <f t="shared" si="20"/>
        <v>1E-4</v>
      </c>
      <c r="E70" s="178">
        <v>0</v>
      </c>
      <c r="F70" s="80">
        <f t="shared" si="21"/>
        <v>0</v>
      </c>
      <c r="G70" s="178">
        <v>0</v>
      </c>
      <c r="H70" s="80">
        <f t="shared" si="22"/>
        <v>0</v>
      </c>
      <c r="I70" s="178">
        <v>0</v>
      </c>
      <c r="J70" s="80">
        <f t="shared" si="23"/>
        <v>0</v>
      </c>
      <c r="K70" s="178">
        <v>0</v>
      </c>
      <c r="L70" s="80">
        <f t="shared" si="24"/>
        <v>0</v>
      </c>
      <c r="M70" s="178">
        <v>0</v>
      </c>
      <c r="N70" s="80">
        <f t="shared" si="25"/>
        <v>0</v>
      </c>
      <c r="O70" s="178">
        <v>0</v>
      </c>
      <c r="P70" s="80">
        <f t="shared" si="26"/>
        <v>0</v>
      </c>
      <c r="Q70" s="178">
        <v>0</v>
      </c>
      <c r="R70" s="80">
        <f t="shared" si="27"/>
        <v>0</v>
      </c>
      <c r="S70" s="178">
        <v>0</v>
      </c>
      <c r="T70" s="80">
        <f t="shared" si="28"/>
        <v>0</v>
      </c>
      <c r="U70" s="178">
        <v>0</v>
      </c>
      <c r="V70" s="80">
        <f t="shared" si="29"/>
        <v>0</v>
      </c>
      <c r="X70" s="192"/>
    </row>
    <row r="71" spans="1:24" ht="12.75" customHeight="1">
      <c r="A71" s="2" t="s">
        <v>415</v>
      </c>
      <c r="B71" s="35"/>
      <c r="C71" s="178">
        <v>0</v>
      </c>
      <c r="D71" s="80">
        <f t="shared" si="20"/>
        <v>0</v>
      </c>
      <c r="E71" s="178">
        <v>0</v>
      </c>
      <c r="F71" s="80">
        <f t="shared" si="21"/>
        <v>0</v>
      </c>
      <c r="G71" s="178">
        <v>0</v>
      </c>
      <c r="H71" s="80">
        <f t="shared" si="22"/>
        <v>0</v>
      </c>
      <c r="I71" s="178">
        <v>0</v>
      </c>
      <c r="J71" s="80">
        <f t="shared" si="23"/>
        <v>0</v>
      </c>
      <c r="K71" s="178">
        <v>0</v>
      </c>
      <c r="L71" s="80">
        <f t="shared" si="24"/>
        <v>0</v>
      </c>
      <c r="M71" s="178">
        <v>0</v>
      </c>
      <c r="N71" s="80">
        <f t="shared" si="25"/>
        <v>0</v>
      </c>
      <c r="O71" s="178">
        <v>0</v>
      </c>
      <c r="P71" s="80">
        <f t="shared" si="26"/>
        <v>0</v>
      </c>
      <c r="Q71" s="178">
        <v>0</v>
      </c>
      <c r="R71" s="80">
        <f t="shared" si="27"/>
        <v>0</v>
      </c>
      <c r="S71" s="178">
        <v>0</v>
      </c>
      <c r="T71" s="80">
        <f t="shared" si="28"/>
        <v>0</v>
      </c>
      <c r="U71" s="178">
        <v>0</v>
      </c>
      <c r="V71" s="80">
        <f t="shared" si="29"/>
        <v>0</v>
      </c>
      <c r="X71" s="192"/>
    </row>
    <row r="72" spans="1:24" ht="12.75" customHeight="1">
      <c r="A72" s="2" t="s">
        <v>416</v>
      </c>
      <c r="B72" s="35"/>
      <c r="C72" s="178">
        <v>0</v>
      </c>
      <c r="D72" s="80">
        <f t="shared" si="20"/>
        <v>0</v>
      </c>
      <c r="E72" s="178">
        <v>0</v>
      </c>
      <c r="F72" s="80">
        <f t="shared" si="21"/>
        <v>0</v>
      </c>
      <c r="G72" s="178">
        <v>0</v>
      </c>
      <c r="H72" s="80">
        <f t="shared" si="22"/>
        <v>0</v>
      </c>
      <c r="I72" s="178">
        <v>0</v>
      </c>
      <c r="J72" s="80">
        <f t="shared" si="23"/>
        <v>0</v>
      </c>
      <c r="K72" s="178">
        <v>0</v>
      </c>
      <c r="L72" s="80">
        <f t="shared" si="24"/>
        <v>0</v>
      </c>
      <c r="M72" s="178">
        <v>0</v>
      </c>
      <c r="N72" s="80">
        <f t="shared" si="25"/>
        <v>0</v>
      </c>
      <c r="O72" s="178">
        <v>0</v>
      </c>
      <c r="P72" s="80">
        <f t="shared" si="26"/>
        <v>0</v>
      </c>
      <c r="Q72" s="178">
        <v>0</v>
      </c>
      <c r="R72" s="80">
        <f t="shared" si="27"/>
        <v>0</v>
      </c>
      <c r="S72" s="178">
        <v>0</v>
      </c>
      <c r="T72" s="80">
        <f t="shared" si="28"/>
        <v>0</v>
      </c>
      <c r="U72" s="178">
        <v>0</v>
      </c>
      <c r="V72" s="80">
        <f t="shared" si="29"/>
        <v>0</v>
      </c>
      <c r="X72" s="192"/>
    </row>
    <row r="73" spans="1:24" ht="12.75" customHeight="1">
      <c r="A73" s="2" t="s">
        <v>417</v>
      </c>
      <c r="B73" s="35"/>
      <c r="C73" s="178">
        <v>0</v>
      </c>
      <c r="D73" s="80">
        <f t="shared" si="20"/>
        <v>0</v>
      </c>
      <c r="E73" s="178">
        <v>0</v>
      </c>
      <c r="F73" s="80">
        <f t="shared" si="21"/>
        <v>0</v>
      </c>
      <c r="G73" s="178">
        <v>0</v>
      </c>
      <c r="H73" s="80">
        <f t="shared" si="22"/>
        <v>0</v>
      </c>
      <c r="I73" s="178">
        <v>0</v>
      </c>
      <c r="J73" s="80">
        <f t="shared" si="23"/>
        <v>0</v>
      </c>
      <c r="K73" s="178">
        <v>0</v>
      </c>
      <c r="L73" s="80">
        <f t="shared" si="24"/>
        <v>0</v>
      </c>
      <c r="M73" s="178">
        <v>0</v>
      </c>
      <c r="N73" s="80">
        <f t="shared" si="25"/>
        <v>0</v>
      </c>
      <c r="O73" s="178">
        <v>0</v>
      </c>
      <c r="P73" s="80">
        <f t="shared" si="26"/>
        <v>0</v>
      </c>
      <c r="Q73" s="178">
        <v>0</v>
      </c>
      <c r="R73" s="80">
        <f t="shared" si="27"/>
        <v>0</v>
      </c>
      <c r="S73" s="178">
        <v>0</v>
      </c>
      <c r="T73" s="80">
        <f t="shared" si="28"/>
        <v>0</v>
      </c>
      <c r="U73" s="178">
        <v>0</v>
      </c>
      <c r="V73" s="80">
        <f t="shared" si="29"/>
        <v>0</v>
      </c>
      <c r="X73" s="192"/>
    </row>
    <row r="74" spans="1:24" ht="12.75" customHeight="1">
      <c r="A74" s="2" t="s">
        <v>418</v>
      </c>
      <c r="B74" s="35"/>
      <c r="C74" s="178">
        <v>0</v>
      </c>
      <c r="D74" s="80">
        <f t="shared" si="20"/>
        <v>0</v>
      </c>
      <c r="E74" s="178">
        <v>0</v>
      </c>
      <c r="F74" s="80">
        <f t="shared" si="21"/>
        <v>0</v>
      </c>
      <c r="G74" s="178">
        <v>0</v>
      </c>
      <c r="H74" s="80">
        <f t="shared" si="22"/>
        <v>0</v>
      </c>
      <c r="I74" s="178">
        <v>0</v>
      </c>
      <c r="J74" s="80">
        <f t="shared" si="23"/>
        <v>0</v>
      </c>
      <c r="K74" s="178">
        <v>0</v>
      </c>
      <c r="L74" s="80">
        <f t="shared" si="24"/>
        <v>0</v>
      </c>
      <c r="M74" s="178">
        <v>0</v>
      </c>
      <c r="N74" s="80">
        <f t="shared" si="25"/>
        <v>0</v>
      </c>
      <c r="O74" s="178">
        <v>0</v>
      </c>
      <c r="P74" s="80">
        <f t="shared" si="26"/>
        <v>0</v>
      </c>
      <c r="Q74" s="178">
        <v>0</v>
      </c>
      <c r="R74" s="80">
        <f t="shared" si="27"/>
        <v>0</v>
      </c>
      <c r="S74" s="178">
        <v>0</v>
      </c>
      <c r="T74" s="80">
        <f t="shared" si="28"/>
        <v>0</v>
      </c>
      <c r="U74" s="178">
        <v>0</v>
      </c>
      <c r="V74" s="80">
        <f t="shared" si="29"/>
        <v>0</v>
      </c>
      <c r="X74" s="192"/>
    </row>
    <row r="75" spans="1:24" ht="12.75" customHeight="1">
      <c r="A75" s="2" t="s">
        <v>419</v>
      </c>
      <c r="B75" s="35"/>
      <c r="C75" s="178">
        <v>1801.6020000000001</v>
      </c>
      <c r="D75" s="80">
        <f t="shared" si="20"/>
        <v>4.4999999999999997E-3</v>
      </c>
      <c r="E75" s="178">
        <v>0</v>
      </c>
      <c r="F75" s="80">
        <f t="shared" si="21"/>
        <v>0</v>
      </c>
      <c r="G75" s="178">
        <v>0</v>
      </c>
      <c r="H75" s="80">
        <f t="shared" si="22"/>
        <v>0</v>
      </c>
      <c r="I75" s="178">
        <v>0</v>
      </c>
      <c r="J75" s="80">
        <f t="shared" si="23"/>
        <v>0</v>
      </c>
      <c r="K75" s="178">
        <v>0</v>
      </c>
      <c r="L75" s="80">
        <f t="shared" si="24"/>
        <v>0</v>
      </c>
      <c r="M75" s="178">
        <v>0</v>
      </c>
      <c r="N75" s="80">
        <f t="shared" si="25"/>
        <v>0</v>
      </c>
      <c r="O75" s="178">
        <v>0</v>
      </c>
      <c r="P75" s="80">
        <f t="shared" si="26"/>
        <v>0</v>
      </c>
      <c r="Q75" s="178">
        <v>0</v>
      </c>
      <c r="R75" s="80">
        <f t="shared" si="27"/>
        <v>0</v>
      </c>
      <c r="S75" s="178">
        <v>0</v>
      </c>
      <c r="T75" s="80">
        <f t="shared" si="28"/>
        <v>0</v>
      </c>
      <c r="U75" s="178">
        <v>0</v>
      </c>
      <c r="V75" s="80">
        <f t="shared" si="29"/>
        <v>0</v>
      </c>
      <c r="X75" s="192"/>
    </row>
    <row r="76" spans="1:24" ht="12.75" customHeight="1">
      <c r="A76" s="2" t="s">
        <v>420</v>
      </c>
      <c r="B76" s="35"/>
      <c r="C76" s="178">
        <v>160.14240000000004</v>
      </c>
      <c r="D76" s="80">
        <f t="shared" si="20"/>
        <v>4.0000000000000002E-4</v>
      </c>
      <c r="E76" s="178">
        <v>0</v>
      </c>
      <c r="F76" s="80">
        <f t="shared" si="21"/>
        <v>0</v>
      </c>
      <c r="G76" s="178">
        <v>0</v>
      </c>
      <c r="H76" s="80">
        <f t="shared" si="22"/>
        <v>0</v>
      </c>
      <c r="I76" s="178">
        <v>0</v>
      </c>
      <c r="J76" s="80">
        <f t="shared" si="23"/>
        <v>0</v>
      </c>
      <c r="K76" s="178">
        <v>0</v>
      </c>
      <c r="L76" s="80">
        <f t="shared" si="24"/>
        <v>0</v>
      </c>
      <c r="M76" s="178">
        <v>0</v>
      </c>
      <c r="N76" s="80">
        <f t="shared" si="25"/>
        <v>0</v>
      </c>
      <c r="O76" s="178">
        <v>0</v>
      </c>
      <c r="P76" s="80">
        <f t="shared" si="26"/>
        <v>0</v>
      </c>
      <c r="Q76" s="178">
        <v>0</v>
      </c>
      <c r="R76" s="80">
        <f t="shared" si="27"/>
        <v>0</v>
      </c>
      <c r="S76" s="178">
        <v>0</v>
      </c>
      <c r="T76" s="80">
        <f t="shared" si="28"/>
        <v>0</v>
      </c>
      <c r="U76" s="178">
        <v>0</v>
      </c>
      <c r="V76" s="80">
        <f t="shared" si="29"/>
        <v>0</v>
      </c>
      <c r="X76" s="192"/>
    </row>
    <row r="77" spans="1:24" ht="12.75" customHeight="1">
      <c r="A77" s="2" t="s">
        <v>421</v>
      </c>
      <c r="B77" s="35"/>
      <c r="C77" s="178">
        <v>520.46280000000013</v>
      </c>
      <c r="D77" s="80">
        <f t="shared" si="20"/>
        <v>1.3000000000000002E-3</v>
      </c>
      <c r="E77" s="178">
        <v>0</v>
      </c>
      <c r="F77" s="80">
        <f t="shared" si="21"/>
        <v>0</v>
      </c>
      <c r="G77" s="178">
        <v>0</v>
      </c>
      <c r="H77" s="80">
        <f t="shared" si="22"/>
        <v>0</v>
      </c>
      <c r="I77" s="178">
        <v>0</v>
      </c>
      <c r="J77" s="80">
        <f t="shared" si="23"/>
        <v>0</v>
      </c>
      <c r="K77" s="178">
        <v>0</v>
      </c>
      <c r="L77" s="80">
        <f t="shared" si="24"/>
        <v>0</v>
      </c>
      <c r="M77" s="178">
        <v>0</v>
      </c>
      <c r="N77" s="80">
        <f t="shared" si="25"/>
        <v>0</v>
      </c>
      <c r="O77" s="178">
        <v>0</v>
      </c>
      <c r="P77" s="80">
        <f t="shared" si="26"/>
        <v>0</v>
      </c>
      <c r="Q77" s="178">
        <v>0</v>
      </c>
      <c r="R77" s="80">
        <f t="shared" si="27"/>
        <v>0</v>
      </c>
      <c r="S77" s="178">
        <v>0</v>
      </c>
      <c r="T77" s="80">
        <f t="shared" si="28"/>
        <v>0</v>
      </c>
      <c r="U77" s="178">
        <v>0</v>
      </c>
      <c r="V77" s="80">
        <f t="shared" si="29"/>
        <v>0</v>
      </c>
      <c r="X77" s="192"/>
    </row>
    <row r="78" spans="1:24" ht="12.75" customHeight="1">
      <c r="A78" s="2" t="s">
        <v>422</v>
      </c>
      <c r="B78" s="35"/>
      <c r="C78" s="178">
        <v>8807.8320000000003</v>
      </c>
      <c r="D78" s="80">
        <f t="shared" si="20"/>
        <v>2.1999999999999999E-2</v>
      </c>
      <c r="E78" s="178">
        <v>0</v>
      </c>
      <c r="F78" s="80">
        <f t="shared" si="21"/>
        <v>0</v>
      </c>
      <c r="G78" s="178">
        <v>0</v>
      </c>
      <c r="H78" s="80">
        <f t="shared" si="22"/>
        <v>0</v>
      </c>
      <c r="I78" s="178">
        <v>0</v>
      </c>
      <c r="J78" s="80">
        <f t="shared" si="23"/>
        <v>0</v>
      </c>
      <c r="K78" s="178">
        <v>0</v>
      </c>
      <c r="L78" s="80">
        <f t="shared" si="24"/>
        <v>0</v>
      </c>
      <c r="M78" s="178">
        <v>0</v>
      </c>
      <c r="N78" s="80">
        <f t="shared" si="25"/>
        <v>0</v>
      </c>
      <c r="O78" s="178">
        <v>0</v>
      </c>
      <c r="P78" s="80">
        <f t="shared" si="26"/>
        <v>0</v>
      </c>
      <c r="Q78" s="178">
        <v>0</v>
      </c>
      <c r="R78" s="80">
        <f t="shared" si="27"/>
        <v>0</v>
      </c>
      <c r="S78" s="178">
        <v>0</v>
      </c>
      <c r="T78" s="80">
        <f t="shared" si="28"/>
        <v>0</v>
      </c>
      <c r="U78" s="178">
        <v>0</v>
      </c>
      <c r="V78" s="80">
        <f t="shared" si="29"/>
        <v>0</v>
      </c>
      <c r="X78" s="192"/>
    </row>
    <row r="79" spans="1:24" ht="12.75" customHeight="1">
      <c r="A79" s="2" t="s">
        <v>423</v>
      </c>
      <c r="B79" s="35"/>
      <c r="C79" s="178">
        <v>0</v>
      </c>
      <c r="D79" s="80">
        <f t="shared" si="20"/>
        <v>0</v>
      </c>
      <c r="E79" s="178">
        <v>0</v>
      </c>
      <c r="F79" s="80">
        <f t="shared" si="21"/>
        <v>0</v>
      </c>
      <c r="G79" s="178">
        <v>0</v>
      </c>
      <c r="H79" s="80">
        <f t="shared" si="22"/>
        <v>0</v>
      </c>
      <c r="I79" s="178">
        <v>0</v>
      </c>
      <c r="J79" s="80">
        <f t="shared" si="23"/>
        <v>0</v>
      </c>
      <c r="K79" s="178">
        <v>0</v>
      </c>
      <c r="L79" s="80">
        <f t="shared" si="24"/>
        <v>0</v>
      </c>
      <c r="M79" s="178">
        <v>0</v>
      </c>
      <c r="N79" s="80">
        <f t="shared" si="25"/>
        <v>0</v>
      </c>
      <c r="O79" s="178">
        <v>0</v>
      </c>
      <c r="P79" s="80">
        <f t="shared" si="26"/>
        <v>0</v>
      </c>
      <c r="Q79" s="178">
        <v>0</v>
      </c>
      <c r="R79" s="80">
        <f t="shared" si="27"/>
        <v>0</v>
      </c>
      <c r="S79" s="178">
        <v>0</v>
      </c>
      <c r="T79" s="80">
        <f t="shared" si="28"/>
        <v>0</v>
      </c>
      <c r="U79" s="178">
        <v>0</v>
      </c>
      <c r="V79" s="80">
        <f t="shared" si="29"/>
        <v>0</v>
      </c>
      <c r="X79" s="192"/>
    </row>
    <row r="80" spans="1:24" ht="12.75" customHeight="1">
      <c r="A80" s="2" t="s">
        <v>424</v>
      </c>
      <c r="B80" s="35"/>
      <c r="C80" s="178">
        <v>0</v>
      </c>
      <c r="D80" s="80">
        <f t="shared" si="20"/>
        <v>0</v>
      </c>
      <c r="E80" s="178">
        <v>0</v>
      </c>
      <c r="F80" s="80">
        <f t="shared" si="21"/>
        <v>0</v>
      </c>
      <c r="G80" s="178">
        <v>0</v>
      </c>
      <c r="H80" s="80">
        <f t="shared" si="22"/>
        <v>0</v>
      </c>
      <c r="I80" s="178">
        <v>0</v>
      </c>
      <c r="J80" s="80">
        <f t="shared" si="23"/>
        <v>0</v>
      </c>
      <c r="K80" s="178">
        <v>0</v>
      </c>
      <c r="L80" s="80">
        <f t="shared" si="24"/>
        <v>0</v>
      </c>
      <c r="M80" s="178">
        <v>0</v>
      </c>
      <c r="N80" s="80">
        <f t="shared" si="25"/>
        <v>0</v>
      </c>
      <c r="O80" s="178">
        <v>0</v>
      </c>
      <c r="P80" s="80">
        <f t="shared" si="26"/>
        <v>0</v>
      </c>
      <c r="Q80" s="178">
        <v>0</v>
      </c>
      <c r="R80" s="80">
        <f t="shared" si="27"/>
        <v>0</v>
      </c>
      <c r="S80" s="178">
        <v>0</v>
      </c>
      <c r="T80" s="80">
        <f t="shared" si="28"/>
        <v>0</v>
      </c>
      <c r="U80" s="178">
        <v>0</v>
      </c>
      <c r="V80" s="80">
        <f t="shared" si="29"/>
        <v>0</v>
      </c>
      <c r="X80" s="192"/>
    </row>
    <row r="81" spans="1:24" ht="12.75" customHeight="1">
      <c r="A81" s="2" t="s">
        <v>425</v>
      </c>
      <c r="B81" s="35"/>
      <c r="C81" s="178">
        <v>0</v>
      </c>
      <c r="D81" s="80">
        <f t="shared" si="20"/>
        <v>0</v>
      </c>
      <c r="E81" s="178">
        <v>0</v>
      </c>
      <c r="F81" s="80">
        <f t="shared" si="21"/>
        <v>0</v>
      </c>
      <c r="G81" s="178">
        <v>0</v>
      </c>
      <c r="H81" s="80">
        <f t="shared" si="22"/>
        <v>0</v>
      </c>
      <c r="I81" s="178">
        <v>0</v>
      </c>
      <c r="J81" s="80">
        <f t="shared" si="23"/>
        <v>0</v>
      </c>
      <c r="K81" s="178">
        <v>0</v>
      </c>
      <c r="L81" s="80">
        <f t="shared" si="24"/>
        <v>0</v>
      </c>
      <c r="M81" s="178">
        <v>0</v>
      </c>
      <c r="N81" s="80">
        <f t="shared" si="25"/>
        <v>0</v>
      </c>
      <c r="O81" s="178">
        <v>0</v>
      </c>
      <c r="P81" s="80">
        <f t="shared" si="26"/>
        <v>0</v>
      </c>
      <c r="Q81" s="178">
        <v>0</v>
      </c>
      <c r="R81" s="80">
        <f t="shared" si="27"/>
        <v>0</v>
      </c>
      <c r="S81" s="178">
        <v>0</v>
      </c>
      <c r="T81" s="80">
        <f t="shared" si="28"/>
        <v>0</v>
      </c>
      <c r="U81" s="178">
        <v>0</v>
      </c>
      <c r="V81" s="80">
        <f t="shared" si="29"/>
        <v>0</v>
      </c>
      <c r="X81" s="192"/>
    </row>
    <row r="82" spans="1:24" ht="12.75" customHeight="1">
      <c r="A82" s="2" t="s">
        <v>426</v>
      </c>
      <c r="B82" s="35"/>
      <c r="C82" s="178">
        <v>0</v>
      </c>
      <c r="D82" s="80">
        <f t="shared" si="20"/>
        <v>0</v>
      </c>
      <c r="E82" s="178">
        <v>0</v>
      </c>
      <c r="F82" s="80">
        <f t="shared" si="21"/>
        <v>0</v>
      </c>
      <c r="G82" s="178">
        <v>0</v>
      </c>
      <c r="H82" s="80">
        <f t="shared" si="22"/>
        <v>0</v>
      </c>
      <c r="I82" s="178">
        <v>0</v>
      </c>
      <c r="J82" s="80">
        <f t="shared" si="23"/>
        <v>0</v>
      </c>
      <c r="K82" s="178">
        <v>0</v>
      </c>
      <c r="L82" s="80">
        <f t="shared" si="24"/>
        <v>0</v>
      </c>
      <c r="M82" s="178">
        <v>0</v>
      </c>
      <c r="N82" s="80">
        <f t="shared" si="25"/>
        <v>0</v>
      </c>
      <c r="O82" s="178">
        <v>0</v>
      </c>
      <c r="P82" s="80">
        <f t="shared" si="26"/>
        <v>0</v>
      </c>
      <c r="Q82" s="178">
        <v>0</v>
      </c>
      <c r="R82" s="80">
        <f t="shared" si="27"/>
        <v>0</v>
      </c>
      <c r="S82" s="178">
        <v>0</v>
      </c>
      <c r="T82" s="80">
        <f t="shared" si="28"/>
        <v>0</v>
      </c>
      <c r="U82" s="178">
        <v>0</v>
      </c>
      <c r="V82" s="80">
        <f t="shared" si="29"/>
        <v>0</v>
      </c>
      <c r="X82" s="192"/>
    </row>
    <row r="83" spans="1:24" ht="12.75" customHeight="1">
      <c r="A83" s="2" t="s">
        <v>427</v>
      </c>
      <c r="B83" s="35"/>
      <c r="C83" s="178">
        <v>0</v>
      </c>
      <c r="D83" s="80">
        <f t="shared" si="20"/>
        <v>0</v>
      </c>
      <c r="E83" s="178">
        <v>0</v>
      </c>
      <c r="F83" s="80">
        <f t="shared" si="21"/>
        <v>0</v>
      </c>
      <c r="G83" s="178">
        <v>0</v>
      </c>
      <c r="H83" s="80">
        <f t="shared" si="22"/>
        <v>0</v>
      </c>
      <c r="I83" s="178">
        <v>0</v>
      </c>
      <c r="J83" s="80">
        <f t="shared" si="23"/>
        <v>0</v>
      </c>
      <c r="K83" s="178">
        <v>0</v>
      </c>
      <c r="L83" s="80">
        <f t="shared" si="24"/>
        <v>0</v>
      </c>
      <c r="M83" s="178">
        <v>0</v>
      </c>
      <c r="N83" s="80">
        <f t="shared" si="25"/>
        <v>0</v>
      </c>
      <c r="O83" s="178">
        <v>0</v>
      </c>
      <c r="P83" s="80">
        <f t="shared" si="26"/>
        <v>0</v>
      </c>
      <c r="Q83" s="178">
        <v>0</v>
      </c>
      <c r="R83" s="80">
        <f t="shared" si="27"/>
        <v>0</v>
      </c>
      <c r="S83" s="178">
        <v>0</v>
      </c>
      <c r="T83" s="80">
        <f t="shared" si="28"/>
        <v>0</v>
      </c>
      <c r="U83" s="178">
        <v>0</v>
      </c>
      <c r="V83" s="80">
        <f t="shared" si="29"/>
        <v>0</v>
      </c>
      <c r="X83" s="192"/>
    </row>
    <row r="84" spans="1:24" ht="12.75" customHeight="1">
      <c r="A84" s="2" t="s">
        <v>428</v>
      </c>
      <c r="B84" s="35"/>
      <c r="C84" s="178">
        <v>0</v>
      </c>
      <c r="D84" s="80">
        <f t="shared" ref="D84:D105" si="30">IFERROR(C84/C$28,0)</f>
        <v>0</v>
      </c>
      <c r="E84" s="178">
        <v>0</v>
      </c>
      <c r="F84" s="80">
        <f t="shared" si="21"/>
        <v>0</v>
      </c>
      <c r="G84" s="178">
        <v>0</v>
      </c>
      <c r="H84" s="80">
        <f t="shared" si="22"/>
        <v>0</v>
      </c>
      <c r="I84" s="178">
        <v>0</v>
      </c>
      <c r="J84" s="80">
        <f t="shared" si="23"/>
        <v>0</v>
      </c>
      <c r="K84" s="178">
        <v>0</v>
      </c>
      <c r="L84" s="80">
        <f t="shared" si="24"/>
        <v>0</v>
      </c>
      <c r="M84" s="178">
        <v>0</v>
      </c>
      <c r="N84" s="80">
        <f t="shared" si="25"/>
        <v>0</v>
      </c>
      <c r="O84" s="178">
        <v>0</v>
      </c>
      <c r="P84" s="80">
        <f t="shared" si="26"/>
        <v>0</v>
      </c>
      <c r="Q84" s="178">
        <v>0</v>
      </c>
      <c r="R84" s="80">
        <f t="shared" si="27"/>
        <v>0</v>
      </c>
      <c r="S84" s="178">
        <v>0</v>
      </c>
      <c r="T84" s="80">
        <f t="shared" si="28"/>
        <v>0</v>
      </c>
      <c r="U84" s="178">
        <v>0</v>
      </c>
      <c r="V84" s="80">
        <f t="shared" si="29"/>
        <v>0</v>
      </c>
      <c r="X84" s="192"/>
    </row>
    <row r="85" spans="1:24" ht="12.75" customHeight="1">
      <c r="A85" s="2" t="s">
        <v>429</v>
      </c>
      <c r="B85" s="35"/>
      <c r="C85" s="178">
        <v>0</v>
      </c>
      <c r="D85" s="80">
        <f t="shared" si="30"/>
        <v>0</v>
      </c>
      <c r="E85" s="178">
        <v>0</v>
      </c>
      <c r="F85" s="80">
        <f t="shared" si="21"/>
        <v>0</v>
      </c>
      <c r="G85" s="178">
        <v>0</v>
      </c>
      <c r="H85" s="80">
        <f t="shared" si="22"/>
        <v>0</v>
      </c>
      <c r="I85" s="178">
        <v>0</v>
      </c>
      <c r="J85" s="80">
        <f t="shared" si="23"/>
        <v>0</v>
      </c>
      <c r="K85" s="178">
        <v>0</v>
      </c>
      <c r="L85" s="80">
        <f t="shared" si="24"/>
        <v>0</v>
      </c>
      <c r="M85" s="178">
        <v>0</v>
      </c>
      <c r="N85" s="80">
        <f t="shared" si="25"/>
        <v>0</v>
      </c>
      <c r="O85" s="178">
        <v>0</v>
      </c>
      <c r="P85" s="80">
        <f t="shared" si="26"/>
        <v>0</v>
      </c>
      <c r="Q85" s="178">
        <v>0</v>
      </c>
      <c r="R85" s="80">
        <f t="shared" si="27"/>
        <v>0</v>
      </c>
      <c r="S85" s="178">
        <v>0</v>
      </c>
      <c r="T85" s="80">
        <f t="shared" si="28"/>
        <v>0</v>
      </c>
      <c r="U85" s="178">
        <v>0</v>
      </c>
      <c r="V85" s="80">
        <f t="shared" si="29"/>
        <v>0</v>
      </c>
      <c r="X85" s="192"/>
    </row>
    <row r="86" spans="1:24" ht="12.75" customHeight="1">
      <c r="A86" s="2" t="s">
        <v>430</v>
      </c>
      <c r="B86" s="35"/>
      <c r="C86" s="178">
        <v>1601.4240000000002</v>
      </c>
      <c r="D86" s="80">
        <f t="shared" si="30"/>
        <v>4.0000000000000001E-3</v>
      </c>
      <c r="E86" s="178">
        <v>0</v>
      </c>
      <c r="F86" s="80">
        <f t="shared" si="21"/>
        <v>0</v>
      </c>
      <c r="G86" s="178">
        <v>0</v>
      </c>
      <c r="H86" s="80">
        <f t="shared" si="22"/>
        <v>0</v>
      </c>
      <c r="I86" s="178">
        <v>0</v>
      </c>
      <c r="J86" s="80">
        <f t="shared" si="23"/>
        <v>0</v>
      </c>
      <c r="K86" s="178">
        <v>0</v>
      </c>
      <c r="L86" s="80">
        <f t="shared" si="24"/>
        <v>0</v>
      </c>
      <c r="M86" s="178">
        <v>0</v>
      </c>
      <c r="N86" s="80">
        <f t="shared" si="25"/>
        <v>0</v>
      </c>
      <c r="O86" s="178">
        <v>0</v>
      </c>
      <c r="P86" s="80">
        <f t="shared" si="26"/>
        <v>0</v>
      </c>
      <c r="Q86" s="178">
        <v>0</v>
      </c>
      <c r="R86" s="80">
        <f t="shared" si="27"/>
        <v>0</v>
      </c>
      <c r="S86" s="178">
        <v>0</v>
      </c>
      <c r="T86" s="80">
        <f t="shared" si="28"/>
        <v>0</v>
      </c>
      <c r="U86" s="178">
        <v>0</v>
      </c>
      <c r="V86" s="80">
        <f t="shared" si="29"/>
        <v>0</v>
      </c>
      <c r="X86" s="192"/>
    </row>
    <row r="87" spans="1:24" ht="12.75" customHeight="1">
      <c r="A87" s="2" t="s">
        <v>431</v>
      </c>
      <c r="B87" s="35"/>
      <c r="C87" s="178">
        <v>0</v>
      </c>
      <c r="D87" s="80">
        <f t="shared" si="30"/>
        <v>0</v>
      </c>
      <c r="E87" s="178">
        <v>0</v>
      </c>
      <c r="F87" s="80">
        <f t="shared" si="21"/>
        <v>0</v>
      </c>
      <c r="G87" s="178">
        <v>0</v>
      </c>
      <c r="H87" s="80">
        <f t="shared" si="22"/>
        <v>0</v>
      </c>
      <c r="I87" s="178">
        <v>0</v>
      </c>
      <c r="J87" s="80">
        <f t="shared" si="23"/>
        <v>0</v>
      </c>
      <c r="K87" s="178">
        <v>0</v>
      </c>
      <c r="L87" s="80">
        <f t="shared" si="24"/>
        <v>0</v>
      </c>
      <c r="M87" s="178">
        <v>0</v>
      </c>
      <c r="N87" s="80">
        <f t="shared" si="25"/>
        <v>0</v>
      </c>
      <c r="O87" s="178">
        <v>0</v>
      </c>
      <c r="P87" s="80">
        <f t="shared" si="26"/>
        <v>0</v>
      </c>
      <c r="Q87" s="178">
        <v>0</v>
      </c>
      <c r="R87" s="80">
        <f t="shared" si="27"/>
        <v>0</v>
      </c>
      <c r="S87" s="178">
        <v>0</v>
      </c>
      <c r="T87" s="80">
        <f t="shared" si="28"/>
        <v>0</v>
      </c>
      <c r="U87" s="178">
        <v>0</v>
      </c>
      <c r="V87" s="80">
        <f t="shared" si="29"/>
        <v>0</v>
      </c>
      <c r="X87" s="192"/>
    </row>
    <row r="88" spans="1:24" ht="12.75" customHeight="1">
      <c r="A88" s="2" t="s">
        <v>432</v>
      </c>
      <c r="B88" s="35"/>
      <c r="C88" s="178">
        <v>2041.8156000000004</v>
      </c>
      <c r="D88" s="80">
        <f t="shared" si="30"/>
        <v>5.1000000000000004E-3</v>
      </c>
      <c r="E88" s="178">
        <v>0</v>
      </c>
      <c r="F88" s="80">
        <f t="shared" si="21"/>
        <v>0</v>
      </c>
      <c r="G88" s="178">
        <v>0</v>
      </c>
      <c r="H88" s="80">
        <f t="shared" si="22"/>
        <v>0</v>
      </c>
      <c r="I88" s="178">
        <v>0</v>
      </c>
      <c r="J88" s="80">
        <f t="shared" si="23"/>
        <v>0</v>
      </c>
      <c r="K88" s="178">
        <v>0</v>
      </c>
      <c r="L88" s="80">
        <f t="shared" si="24"/>
        <v>0</v>
      </c>
      <c r="M88" s="178">
        <v>0</v>
      </c>
      <c r="N88" s="80">
        <f t="shared" si="25"/>
        <v>0</v>
      </c>
      <c r="O88" s="178">
        <v>0</v>
      </c>
      <c r="P88" s="80">
        <f t="shared" si="26"/>
        <v>0</v>
      </c>
      <c r="Q88" s="178">
        <v>0</v>
      </c>
      <c r="R88" s="80">
        <f t="shared" si="27"/>
        <v>0</v>
      </c>
      <c r="S88" s="178">
        <v>0</v>
      </c>
      <c r="T88" s="80">
        <f t="shared" si="28"/>
        <v>0</v>
      </c>
      <c r="U88" s="178">
        <v>0</v>
      </c>
      <c r="V88" s="80">
        <f t="shared" si="29"/>
        <v>0</v>
      </c>
      <c r="X88" s="192"/>
    </row>
    <row r="89" spans="1:24" ht="12.75" customHeight="1">
      <c r="A89" s="2" t="s">
        <v>433</v>
      </c>
      <c r="B89" s="35"/>
      <c r="C89" s="178">
        <v>0</v>
      </c>
      <c r="D89" s="80">
        <f t="shared" si="30"/>
        <v>0</v>
      </c>
      <c r="E89" s="178">
        <v>0</v>
      </c>
      <c r="F89" s="80">
        <f t="shared" si="21"/>
        <v>0</v>
      </c>
      <c r="G89" s="178">
        <v>0</v>
      </c>
      <c r="H89" s="80">
        <f t="shared" si="22"/>
        <v>0</v>
      </c>
      <c r="I89" s="178">
        <v>0</v>
      </c>
      <c r="J89" s="80">
        <f t="shared" si="23"/>
        <v>0</v>
      </c>
      <c r="K89" s="178">
        <v>0</v>
      </c>
      <c r="L89" s="80">
        <f t="shared" si="24"/>
        <v>0</v>
      </c>
      <c r="M89" s="178">
        <v>0</v>
      </c>
      <c r="N89" s="80">
        <f t="shared" si="25"/>
        <v>0</v>
      </c>
      <c r="O89" s="178">
        <v>0</v>
      </c>
      <c r="P89" s="80">
        <f t="shared" si="26"/>
        <v>0</v>
      </c>
      <c r="Q89" s="178">
        <v>0</v>
      </c>
      <c r="R89" s="80">
        <f t="shared" si="27"/>
        <v>0</v>
      </c>
      <c r="S89" s="178">
        <v>0</v>
      </c>
      <c r="T89" s="80">
        <f t="shared" si="28"/>
        <v>0</v>
      </c>
      <c r="U89" s="178">
        <v>0</v>
      </c>
      <c r="V89" s="80">
        <f t="shared" si="29"/>
        <v>0</v>
      </c>
      <c r="X89" s="192"/>
    </row>
    <row r="90" spans="1:24" ht="12.75" customHeight="1">
      <c r="A90" s="2" t="s">
        <v>434</v>
      </c>
      <c r="B90" s="35"/>
      <c r="C90" s="178">
        <v>80.071200000000019</v>
      </c>
      <c r="D90" s="80">
        <f t="shared" si="30"/>
        <v>2.0000000000000001E-4</v>
      </c>
      <c r="E90" s="178">
        <v>0</v>
      </c>
      <c r="F90" s="80">
        <f t="shared" si="21"/>
        <v>0</v>
      </c>
      <c r="G90" s="178">
        <v>0</v>
      </c>
      <c r="H90" s="80">
        <f t="shared" si="22"/>
        <v>0</v>
      </c>
      <c r="I90" s="178">
        <v>0</v>
      </c>
      <c r="J90" s="80">
        <f t="shared" si="23"/>
        <v>0</v>
      </c>
      <c r="K90" s="178">
        <v>0</v>
      </c>
      <c r="L90" s="80">
        <f t="shared" si="24"/>
        <v>0</v>
      </c>
      <c r="M90" s="178">
        <v>0</v>
      </c>
      <c r="N90" s="80">
        <f t="shared" si="25"/>
        <v>0</v>
      </c>
      <c r="O90" s="178">
        <v>0</v>
      </c>
      <c r="P90" s="80">
        <f t="shared" si="26"/>
        <v>0</v>
      </c>
      <c r="Q90" s="178">
        <v>0</v>
      </c>
      <c r="R90" s="80">
        <f t="shared" si="27"/>
        <v>0</v>
      </c>
      <c r="S90" s="178">
        <v>0</v>
      </c>
      <c r="T90" s="80">
        <f t="shared" si="28"/>
        <v>0</v>
      </c>
      <c r="U90" s="178">
        <v>0</v>
      </c>
      <c r="V90" s="80">
        <f t="shared" si="29"/>
        <v>0</v>
      </c>
      <c r="X90" s="192"/>
    </row>
    <row r="91" spans="1:24" ht="12.75" customHeight="1">
      <c r="A91" s="2" t="s">
        <v>435</v>
      </c>
      <c r="C91" s="178">
        <v>0</v>
      </c>
      <c r="D91" s="80">
        <f t="shared" si="30"/>
        <v>0</v>
      </c>
      <c r="E91" s="178">
        <v>0</v>
      </c>
      <c r="F91" s="80">
        <f t="shared" si="21"/>
        <v>0</v>
      </c>
      <c r="G91" s="178">
        <v>0</v>
      </c>
      <c r="H91" s="80">
        <f t="shared" si="22"/>
        <v>0</v>
      </c>
      <c r="I91" s="178">
        <v>0</v>
      </c>
      <c r="J91" s="80">
        <f t="shared" si="23"/>
        <v>0</v>
      </c>
      <c r="K91" s="178">
        <v>0</v>
      </c>
      <c r="L91" s="80">
        <f t="shared" si="24"/>
        <v>0</v>
      </c>
      <c r="M91" s="178">
        <v>0</v>
      </c>
      <c r="N91" s="80">
        <f t="shared" si="25"/>
        <v>0</v>
      </c>
      <c r="O91" s="178">
        <v>0</v>
      </c>
      <c r="P91" s="80">
        <f t="shared" si="26"/>
        <v>0</v>
      </c>
      <c r="Q91" s="178">
        <v>0</v>
      </c>
      <c r="R91" s="80">
        <f t="shared" si="27"/>
        <v>0</v>
      </c>
      <c r="S91" s="178">
        <v>0</v>
      </c>
      <c r="T91" s="80">
        <f t="shared" si="28"/>
        <v>0</v>
      </c>
      <c r="U91" s="178">
        <v>0</v>
      </c>
      <c r="V91" s="80">
        <f t="shared" si="29"/>
        <v>0</v>
      </c>
      <c r="X91" s="192"/>
    </row>
    <row r="92" spans="1:24" ht="12.75" customHeight="1">
      <c r="A92" s="2" t="s">
        <v>436</v>
      </c>
      <c r="B92" s="35"/>
      <c r="C92" s="178">
        <v>2081.8512000000005</v>
      </c>
      <c r="D92" s="80">
        <f t="shared" si="30"/>
        <v>5.2000000000000006E-3</v>
      </c>
      <c r="E92" s="178">
        <v>0</v>
      </c>
      <c r="F92" s="80">
        <f t="shared" si="21"/>
        <v>0</v>
      </c>
      <c r="G92" s="178">
        <v>0</v>
      </c>
      <c r="H92" s="80">
        <f t="shared" si="22"/>
        <v>0</v>
      </c>
      <c r="I92" s="178">
        <v>0</v>
      </c>
      <c r="J92" s="80">
        <f t="shared" si="23"/>
        <v>0</v>
      </c>
      <c r="K92" s="178">
        <v>0</v>
      </c>
      <c r="L92" s="80">
        <f t="shared" si="24"/>
        <v>0</v>
      </c>
      <c r="M92" s="178">
        <v>0</v>
      </c>
      <c r="N92" s="80">
        <f t="shared" si="25"/>
        <v>0</v>
      </c>
      <c r="O92" s="178">
        <v>0</v>
      </c>
      <c r="P92" s="80">
        <f t="shared" si="26"/>
        <v>0</v>
      </c>
      <c r="Q92" s="178">
        <v>0</v>
      </c>
      <c r="R92" s="80">
        <f t="shared" si="27"/>
        <v>0</v>
      </c>
      <c r="S92" s="178">
        <v>0</v>
      </c>
      <c r="T92" s="80">
        <f t="shared" si="28"/>
        <v>0</v>
      </c>
      <c r="U92" s="178">
        <v>0</v>
      </c>
      <c r="V92" s="80">
        <f t="shared" si="29"/>
        <v>0</v>
      </c>
      <c r="X92" s="192"/>
    </row>
    <row r="93" spans="1:24" ht="12.75" customHeight="1">
      <c r="A93" s="2" t="s">
        <v>437</v>
      </c>
      <c r="B93" s="35"/>
      <c r="C93" s="178">
        <v>0</v>
      </c>
      <c r="D93" s="80">
        <f t="shared" si="30"/>
        <v>0</v>
      </c>
      <c r="E93" s="178">
        <v>0</v>
      </c>
      <c r="F93" s="80">
        <f t="shared" si="21"/>
        <v>0</v>
      </c>
      <c r="G93" s="178">
        <v>0</v>
      </c>
      <c r="H93" s="80">
        <f t="shared" si="22"/>
        <v>0</v>
      </c>
      <c r="I93" s="178">
        <v>0</v>
      </c>
      <c r="J93" s="80">
        <f t="shared" si="23"/>
        <v>0</v>
      </c>
      <c r="K93" s="178">
        <v>0</v>
      </c>
      <c r="L93" s="80">
        <f t="shared" si="24"/>
        <v>0</v>
      </c>
      <c r="M93" s="178">
        <v>0</v>
      </c>
      <c r="N93" s="80">
        <f t="shared" si="25"/>
        <v>0</v>
      </c>
      <c r="O93" s="178">
        <v>0</v>
      </c>
      <c r="P93" s="80">
        <f t="shared" si="26"/>
        <v>0</v>
      </c>
      <c r="Q93" s="178">
        <v>0</v>
      </c>
      <c r="R93" s="80">
        <f t="shared" si="27"/>
        <v>0</v>
      </c>
      <c r="S93" s="178">
        <v>0</v>
      </c>
      <c r="T93" s="80">
        <f t="shared" si="28"/>
        <v>0</v>
      </c>
      <c r="U93" s="178">
        <v>0</v>
      </c>
      <c r="V93" s="80">
        <f t="shared" si="29"/>
        <v>0</v>
      </c>
      <c r="X93" s="192"/>
    </row>
    <row r="94" spans="1:24" ht="12.75" customHeight="1">
      <c r="A94" s="2" t="s">
        <v>438</v>
      </c>
      <c r="B94" s="35"/>
      <c r="C94" s="178">
        <v>0</v>
      </c>
      <c r="D94" s="80">
        <f t="shared" si="30"/>
        <v>0</v>
      </c>
      <c r="E94" s="178">
        <v>0</v>
      </c>
      <c r="F94" s="80">
        <f t="shared" si="21"/>
        <v>0</v>
      </c>
      <c r="G94" s="178">
        <v>0</v>
      </c>
      <c r="H94" s="80">
        <f t="shared" si="22"/>
        <v>0</v>
      </c>
      <c r="I94" s="178">
        <v>0</v>
      </c>
      <c r="J94" s="80">
        <f t="shared" si="23"/>
        <v>0</v>
      </c>
      <c r="K94" s="178">
        <v>0</v>
      </c>
      <c r="L94" s="80">
        <f t="shared" si="24"/>
        <v>0</v>
      </c>
      <c r="M94" s="178">
        <v>0</v>
      </c>
      <c r="N94" s="80">
        <f t="shared" si="25"/>
        <v>0</v>
      </c>
      <c r="O94" s="178">
        <v>0</v>
      </c>
      <c r="P94" s="80">
        <f t="shared" si="26"/>
        <v>0</v>
      </c>
      <c r="Q94" s="178">
        <v>0</v>
      </c>
      <c r="R94" s="80">
        <f t="shared" si="27"/>
        <v>0</v>
      </c>
      <c r="S94" s="178">
        <v>0</v>
      </c>
      <c r="T94" s="80">
        <f t="shared" si="28"/>
        <v>0</v>
      </c>
      <c r="U94" s="178">
        <v>0</v>
      </c>
      <c r="V94" s="80">
        <f t="shared" si="29"/>
        <v>0</v>
      </c>
      <c r="X94" s="192"/>
    </row>
    <row r="95" spans="1:24" ht="12.75" customHeight="1">
      <c r="A95" s="2" t="s">
        <v>439</v>
      </c>
      <c r="B95" s="35"/>
      <c r="C95" s="178">
        <v>0</v>
      </c>
      <c r="D95" s="80">
        <f t="shared" si="30"/>
        <v>0</v>
      </c>
      <c r="E95" s="178">
        <v>0</v>
      </c>
      <c r="F95" s="80">
        <f t="shared" si="21"/>
        <v>0</v>
      </c>
      <c r="G95" s="178">
        <v>0</v>
      </c>
      <c r="H95" s="80">
        <f t="shared" si="22"/>
        <v>0</v>
      </c>
      <c r="I95" s="178">
        <v>0</v>
      </c>
      <c r="J95" s="80">
        <f t="shared" si="23"/>
        <v>0</v>
      </c>
      <c r="K95" s="178">
        <v>0</v>
      </c>
      <c r="L95" s="80">
        <f t="shared" si="24"/>
        <v>0</v>
      </c>
      <c r="M95" s="178">
        <v>0</v>
      </c>
      <c r="N95" s="80">
        <f t="shared" si="25"/>
        <v>0</v>
      </c>
      <c r="O95" s="178">
        <v>0</v>
      </c>
      <c r="P95" s="80">
        <f t="shared" si="26"/>
        <v>0</v>
      </c>
      <c r="Q95" s="178">
        <v>0</v>
      </c>
      <c r="R95" s="80">
        <f t="shared" si="27"/>
        <v>0</v>
      </c>
      <c r="S95" s="178">
        <v>0</v>
      </c>
      <c r="T95" s="80">
        <f t="shared" si="28"/>
        <v>0</v>
      </c>
      <c r="U95" s="178">
        <v>0</v>
      </c>
      <c r="V95" s="80">
        <f t="shared" si="29"/>
        <v>0</v>
      </c>
      <c r="X95" s="192"/>
    </row>
    <row r="96" spans="1:24" ht="12.75" customHeight="1">
      <c r="A96" s="2" t="s">
        <v>440</v>
      </c>
      <c r="B96" s="35"/>
      <c r="C96" s="178">
        <v>0</v>
      </c>
      <c r="D96" s="80">
        <f t="shared" si="30"/>
        <v>0</v>
      </c>
      <c r="E96" s="178">
        <v>0</v>
      </c>
      <c r="F96" s="80">
        <f t="shared" si="21"/>
        <v>0</v>
      </c>
      <c r="G96" s="178">
        <v>0</v>
      </c>
      <c r="H96" s="80">
        <f t="shared" si="22"/>
        <v>0</v>
      </c>
      <c r="I96" s="178">
        <v>0</v>
      </c>
      <c r="J96" s="80">
        <f t="shared" si="23"/>
        <v>0</v>
      </c>
      <c r="K96" s="178">
        <v>0</v>
      </c>
      <c r="L96" s="80">
        <f t="shared" si="24"/>
        <v>0</v>
      </c>
      <c r="M96" s="178">
        <v>0</v>
      </c>
      <c r="N96" s="80">
        <f t="shared" si="25"/>
        <v>0</v>
      </c>
      <c r="O96" s="178">
        <v>0</v>
      </c>
      <c r="P96" s="80">
        <f t="shared" si="26"/>
        <v>0</v>
      </c>
      <c r="Q96" s="178">
        <v>0</v>
      </c>
      <c r="R96" s="80">
        <f t="shared" si="27"/>
        <v>0</v>
      </c>
      <c r="S96" s="178">
        <v>0</v>
      </c>
      <c r="T96" s="80">
        <f t="shared" si="28"/>
        <v>0</v>
      </c>
      <c r="U96" s="178">
        <v>0</v>
      </c>
      <c r="V96" s="80">
        <f t="shared" si="29"/>
        <v>0</v>
      </c>
      <c r="X96" s="192"/>
    </row>
    <row r="97" spans="1:24" ht="12.75" customHeight="1">
      <c r="A97" s="2" t="s">
        <v>441</v>
      </c>
      <c r="B97" s="35"/>
      <c r="C97" s="178">
        <v>6107.9953999999998</v>
      </c>
      <c r="D97" s="80">
        <f t="shared" si="30"/>
        <v>1.5256410294837592E-2</v>
      </c>
      <c r="E97" s="178">
        <v>0</v>
      </c>
      <c r="F97" s="80">
        <f t="shared" si="21"/>
        <v>0</v>
      </c>
      <c r="G97" s="178">
        <v>0</v>
      </c>
      <c r="H97" s="80">
        <f t="shared" si="22"/>
        <v>0</v>
      </c>
      <c r="I97" s="178">
        <v>0</v>
      </c>
      <c r="J97" s="80">
        <f t="shared" si="23"/>
        <v>0</v>
      </c>
      <c r="K97" s="178">
        <v>0</v>
      </c>
      <c r="L97" s="80">
        <f t="shared" si="24"/>
        <v>0</v>
      </c>
      <c r="M97" s="178">
        <v>0</v>
      </c>
      <c r="N97" s="80">
        <f t="shared" si="25"/>
        <v>0</v>
      </c>
      <c r="O97" s="178">
        <v>0</v>
      </c>
      <c r="P97" s="80">
        <f t="shared" si="26"/>
        <v>0</v>
      </c>
      <c r="Q97" s="178">
        <v>0</v>
      </c>
      <c r="R97" s="80">
        <f t="shared" si="27"/>
        <v>0</v>
      </c>
      <c r="S97" s="178">
        <v>0</v>
      </c>
      <c r="T97" s="80">
        <f t="shared" si="28"/>
        <v>0</v>
      </c>
      <c r="U97" s="178">
        <v>0</v>
      </c>
      <c r="V97" s="80">
        <f t="shared" si="29"/>
        <v>0</v>
      </c>
      <c r="X97" s="192"/>
    </row>
    <row r="98" spans="1:24" ht="12.75" customHeight="1">
      <c r="A98" s="117" t="s">
        <v>444</v>
      </c>
      <c r="B98" s="35"/>
      <c r="C98" s="178">
        <v>480.42720000000003</v>
      </c>
      <c r="D98" s="80">
        <f t="shared" si="30"/>
        <v>1.1999999999999999E-3</v>
      </c>
      <c r="E98" s="178">
        <v>0</v>
      </c>
      <c r="F98" s="80">
        <f t="shared" si="21"/>
        <v>0</v>
      </c>
      <c r="G98" s="178">
        <v>0</v>
      </c>
      <c r="H98" s="80">
        <f t="shared" si="22"/>
        <v>0</v>
      </c>
      <c r="I98" s="178">
        <v>0</v>
      </c>
      <c r="J98" s="80">
        <f t="shared" si="23"/>
        <v>0</v>
      </c>
      <c r="K98" s="178">
        <v>0</v>
      </c>
      <c r="L98" s="80">
        <f t="shared" si="24"/>
        <v>0</v>
      </c>
      <c r="M98" s="178">
        <v>0</v>
      </c>
      <c r="N98" s="80">
        <f t="shared" si="25"/>
        <v>0</v>
      </c>
      <c r="O98" s="178">
        <v>0</v>
      </c>
      <c r="P98" s="80">
        <f t="shared" si="26"/>
        <v>0</v>
      </c>
      <c r="Q98" s="178">
        <v>0</v>
      </c>
      <c r="R98" s="80">
        <f t="shared" si="27"/>
        <v>0</v>
      </c>
      <c r="S98" s="178">
        <v>0</v>
      </c>
      <c r="T98" s="80">
        <f t="shared" si="28"/>
        <v>0</v>
      </c>
      <c r="U98" s="178">
        <v>0</v>
      </c>
      <c r="V98" s="80">
        <f t="shared" si="29"/>
        <v>0</v>
      </c>
      <c r="X98" s="192"/>
    </row>
    <row r="99" spans="1:24" ht="12.75" customHeight="1">
      <c r="A99" s="117" t="s">
        <v>444</v>
      </c>
      <c r="B99" s="35"/>
      <c r="C99" s="178">
        <v>0</v>
      </c>
      <c r="D99" s="80">
        <f t="shared" si="30"/>
        <v>0</v>
      </c>
      <c r="E99" s="178">
        <v>0</v>
      </c>
      <c r="F99" s="80">
        <f t="shared" si="21"/>
        <v>0</v>
      </c>
      <c r="G99" s="178">
        <v>0</v>
      </c>
      <c r="H99" s="80">
        <f t="shared" si="22"/>
        <v>0</v>
      </c>
      <c r="I99" s="178">
        <v>0</v>
      </c>
      <c r="J99" s="80">
        <f t="shared" si="23"/>
        <v>0</v>
      </c>
      <c r="K99" s="178">
        <v>0</v>
      </c>
      <c r="L99" s="80">
        <f t="shared" si="24"/>
        <v>0</v>
      </c>
      <c r="M99" s="178">
        <v>0</v>
      </c>
      <c r="N99" s="80">
        <f t="shared" si="25"/>
        <v>0</v>
      </c>
      <c r="O99" s="178">
        <v>0</v>
      </c>
      <c r="P99" s="80">
        <f t="shared" si="26"/>
        <v>0</v>
      </c>
      <c r="Q99" s="178">
        <v>0</v>
      </c>
      <c r="R99" s="80">
        <f t="shared" si="27"/>
        <v>0</v>
      </c>
      <c r="S99" s="178">
        <v>0</v>
      </c>
      <c r="T99" s="80">
        <f t="shared" si="28"/>
        <v>0</v>
      </c>
      <c r="U99" s="178">
        <v>0</v>
      </c>
      <c r="V99" s="80">
        <f t="shared" si="29"/>
        <v>0</v>
      </c>
      <c r="X99" s="192"/>
    </row>
    <row r="100" spans="1:24" ht="12.75" customHeight="1">
      <c r="A100" s="117" t="s">
        <v>444</v>
      </c>
      <c r="B100" s="35"/>
      <c r="C100" s="178">
        <v>0</v>
      </c>
      <c r="D100" s="80">
        <f t="shared" si="30"/>
        <v>0</v>
      </c>
      <c r="E100" s="178">
        <v>0</v>
      </c>
      <c r="F100" s="80">
        <f t="shared" si="21"/>
        <v>0</v>
      </c>
      <c r="G100" s="178">
        <v>0</v>
      </c>
      <c r="H100" s="80">
        <f t="shared" si="22"/>
        <v>0</v>
      </c>
      <c r="I100" s="178">
        <v>0</v>
      </c>
      <c r="J100" s="80">
        <f t="shared" si="23"/>
        <v>0</v>
      </c>
      <c r="K100" s="178">
        <v>0</v>
      </c>
      <c r="L100" s="80">
        <f t="shared" si="24"/>
        <v>0</v>
      </c>
      <c r="M100" s="178">
        <v>0</v>
      </c>
      <c r="N100" s="80">
        <f t="shared" si="25"/>
        <v>0</v>
      </c>
      <c r="O100" s="178">
        <v>0</v>
      </c>
      <c r="P100" s="80">
        <f t="shared" si="26"/>
        <v>0</v>
      </c>
      <c r="Q100" s="178">
        <v>0</v>
      </c>
      <c r="R100" s="80">
        <f t="shared" si="27"/>
        <v>0</v>
      </c>
      <c r="S100" s="178">
        <v>0</v>
      </c>
      <c r="T100" s="80">
        <f t="shared" si="28"/>
        <v>0</v>
      </c>
      <c r="U100" s="178">
        <v>0</v>
      </c>
      <c r="V100" s="80">
        <f t="shared" si="29"/>
        <v>0</v>
      </c>
      <c r="X100" s="192"/>
    </row>
    <row r="101" spans="1:24" ht="12.75" customHeight="1">
      <c r="A101" s="2" t="s">
        <v>445</v>
      </c>
      <c r="B101" s="35"/>
      <c r="C101" s="178"/>
      <c r="D101" s="80">
        <f t="shared" si="30"/>
        <v>0</v>
      </c>
      <c r="E101" s="178"/>
      <c r="F101" s="80">
        <f t="shared" si="21"/>
        <v>0</v>
      </c>
      <c r="G101" s="178"/>
      <c r="H101" s="80">
        <f t="shared" si="22"/>
        <v>0</v>
      </c>
      <c r="I101" s="178">
        <v>0</v>
      </c>
      <c r="J101" s="80">
        <f t="shared" si="23"/>
        <v>0</v>
      </c>
      <c r="K101" s="178">
        <v>0</v>
      </c>
      <c r="L101" s="80">
        <f t="shared" si="24"/>
        <v>0</v>
      </c>
      <c r="M101" s="178">
        <v>0</v>
      </c>
      <c r="N101" s="80">
        <f t="shared" si="25"/>
        <v>0</v>
      </c>
      <c r="O101" s="178">
        <v>0</v>
      </c>
      <c r="P101" s="80">
        <f t="shared" si="26"/>
        <v>0</v>
      </c>
      <c r="Q101" s="178">
        <v>0</v>
      </c>
      <c r="R101" s="80">
        <f t="shared" si="27"/>
        <v>0</v>
      </c>
      <c r="S101" s="178">
        <v>0</v>
      </c>
      <c r="T101" s="80">
        <f t="shared" si="28"/>
        <v>0</v>
      </c>
      <c r="U101" s="178">
        <v>0</v>
      </c>
      <c r="V101" s="80">
        <f t="shared" si="29"/>
        <v>0</v>
      </c>
      <c r="X101" s="192"/>
    </row>
    <row r="102" spans="1:24" ht="12.75" customHeight="1">
      <c r="A102" s="117" t="s">
        <v>446</v>
      </c>
      <c r="B102" s="35"/>
      <c r="C102" s="178">
        <v>4003.5600000000004</v>
      </c>
      <c r="D102" s="80">
        <f t="shared" si="30"/>
        <v>0.01</v>
      </c>
      <c r="E102" s="178">
        <v>0</v>
      </c>
      <c r="F102" s="80">
        <f t="shared" si="21"/>
        <v>0</v>
      </c>
      <c r="G102" s="178">
        <v>0</v>
      </c>
      <c r="H102" s="80">
        <f t="shared" si="22"/>
        <v>0</v>
      </c>
      <c r="I102" s="178">
        <v>0</v>
      </c>
      <c r="J102" s="80">
        <f t="shared" si="23"/>
        <v>0</v>
      </c>
      <c r="K102" s="178">
        <v>0</v>
      </c>
      <c r="L102" s="80">
        <f t="shared" si="24"/>
        <v>0</v>
      </c>
      <c r="M102" s="178">
        <v>0</v>
      </c>
      <c r="N102" s="80">
        <f t="shared" si="25"/>
        <v>0</v>
      </c>
      <c r="O102" s="178">
        <v>0</v>
      </c>
      <c r="P102" s="80">
        <f t="shared" si="26"/>
        <v>0</v>
      </c>
      <c r="Q102" s="178">
        <v>0</v>
      </c>
      <c r="R102" s="80">
        <f t="shared" si="27"/>
        <v>0</v>
      </c>
      <c r="S102" s="178">
        <v>0</v>
      </c>
      <c r="T102" s="80">
        <f t="shared" si="28"/>
        <v>0</v>
      </c>
      <c r="U102" s="178">
        <v>0</v>
      </c>
      <c r="V102" s="80">
        <f t="shared" si="29"/>
        <v>0</v>
      </c>
      <c r="X102" s="192"/>
    </row>
    <row r="103" spans="1:24" ht="12.75" customHeight="1">
      <c r="A103" s="117" t="s">
        <v>446</v>
      </c>
      <c r="B103" s="35"/>
      <c r="C103" s="178">
        <v>0</v>
      </c>
      <c r="D103" s="80">
        <f t="shared" si="30"/>
        <v>0</v>
      </c>
      <c r="E103" s="178">
        <v>0</v>
      </c>
      <c r="F103" s="80">
        <f t="shared" si="21"/>
        <v>0</v>
      </c>
      <c r="G103" s="178">
        <v>0</v>
      </c>
      <c r="H103" s="80">
        <f t="shared" si="22"/>
        <v>0</v>
      </c>
      <c r="I103" s="178">
        <v>0</v>
      </c>
      <c r="J103" s="80">
        <f t="shared" si="23"/>
        <v>0</v>
      </c>
      <c r="K103" s="178">
        <v>0</v>
      </c>
      <c r="L103" s="80">
        <f t="shared" si="24"/>
        <v>0</v>
      </c>
      <c r="M103" s="178">
        <v>0</v>
      </c>
      <c r="N103" s="80">
        <f t="shared" si="25"/>
        <v>0</v>
      </c>
      <c r="O103" s="178">
        <v>0</v>
      </c>
      <c r="P103" s="80">
        <f t="shared" si="26"/>
        <v>0</v>
      </c>
      <c r="Q103" s="178">
        <v>0</v>
      </c>
      <c r="R103" s="80">
        <f t="shared" si="27"/>
        <v>0</v>
      </c>
      <c r="S103" s="178">
        <v>0</v>
      </c>
      <c r="T103" s="80">
        <f t="shared" si="28"/>
        <v>0</v>
      </c>
      <c r="U103" s="178">
        <v>0</v>
      </c>
      <c r="V103" s="80">
        <f t="shared" si="29"/>
        <v>0</v>
      </c>
      <c r="X103" s="192"/>
    </row>
    <row r="104" spans="1:24" ht="12.75" customHeight="1">
      <c r="A104" s="117" t="s">
        <v>446</v>
      </c>
      <c r="B104" s="1"/>
      <c r="C104" s="178">
        <v>0</v>
      </c>
      <c r="D104" s="80">
        <f t="shared" si="30"/>
        <v>0</v>
      </c>
      <c r="E104" s="178">
        <v>0</v>
      </c>
      <c r="F104" s="80">
        <f t="shared" si="21"/>
        <v>0</v>
      </c>
      <c r="G104" s="178">
        <v>0</v>
      </c>
      <c r="H104" s="80">
        <f t="shared" si="22"/>
        <v>0</v>
      </c>
      <c r="I104" s="178">
        <v>0</v>
      </c>
      <c r="J104" s="80">
        <f t="shared" si="23"/>
        <v>0</v>
      </c>
      <c r="K104" s="178">
        <v>0</v>
      </c>
      <c r="L104" s="80">
        <f t="shared" si="24"/>
        <v>0</v>
      </c>
      <c r="M104" s="178">
        <v>0</v>
      </c>
      <c r="N104" s="80">
        <f t="shared" si="25"/>
        <v>0</v>
      </c>
      <c r="O104" s="178">
        <v>0</v>
      </c>
      <c r="P104" s="80">
        <f t="shared" si="26"/>
        <v>0</v>
      </c>
      <c r="Q104" s="178">
        <v>0</v>
      </c>
      <c r="R104" s="80">
        <f t="shared" si="27"/>
        <v>0</v>
      </c>
      <c r="S104" s="178">
        <v>0</v>
      </c>
      <c r="T104" s="80">
        <f t="shared" si="28"/>
        <v>0</v>
      </c>
      <c r="U104" s="178">
        <v>0</v>
      </c>
      <c r="V104" s="80">
        <f t="shared" si="29"/>
        <v>0</v>
      </c>
      <c r="X104" s="192"/>
    </row>
    <row r="105" spans="1:24" ht="12.75" customHeight="1">
      <c r="A105" s="1" t="s">
        <v>447</v>
      </c>
      <c r="B105" s="53"/>
      <c r="C105" s="82">
        <f>SUM(C52:C104)</f>
        <v>77041.341879476546</v>
      </c>
      <c r="D105" s="83">
        <f t="shared" si="30"/>
        <v>0.1924320901384681</v>
      </c>
      <c r="E105" s="82">
        <f>SUM(E52:E104)</f>
        <v>0</v>
      </c>
      <c r="F105" s="83">
        <f t="shared" si="21"/>
        <v>0</v>
      </c>
      <c r="G105" s="82">
        <f>SUM(G52:G104)</f>
        <v>0</v>
      </c>
      <c r="H105" s="83">
        <f t="shared" si="22"/>
        <v>0</v>
      </c>
      <c r="I105" s="82">
        <f>SUM(I52:I104)</f>
        <v>0</v>
      </c>
      <c r="J105" s="83">
        <f t="shared" si="23"/>
        <v>0</v>
      </c>
      <c r="K105" s="82">
        <f>SUM(K52:K104)</f>
        <v>0</v>
      </c>
      <c r="L105" s="83">
        <f t="shared" si="24"/>
        <v>0</v>
      </c>
      <c r="M105" s="82">
        <f>SUM(M52:M104)</f>
        <v>0</v>
      </c>
      <c r="N105" s="83">
        <f t="shared" si="25"/>
        <v>0</v>
      </c>
      <c r="O105" s="82">
        <f>SUM(O52:O104)</f>
        <v>0</v>
      </c>
      <c r="P105" s="83">
        <f t="shared" si="26"/>
        <v>0</v>
      </c>
      <c r="Q105" s="82">
        <f>SUM(Q52:Q104)</f>
        <v>0</v>
      </c>
      <c r="R105" s="83">
        <f t="shared" si="27"/>
        <v>0</v>
      </c>
      <c r="S105" s="82">
        <f>SUM(S52:S104)</f>
        <v>0</v>
      </c>
      <c r="T105" s="83">
        <f t="shared" si="28"/>
        <v>0</v>
      </c>
      <c r="U105" s="82">
        <f>SUM(U52:U104)</f>
        <v>0</v>
      </c>
      <c r="V105" s="83">
        <f t="shared" si="29"/>
        <v>0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448</v>
      </c>
      <c r="B107" s="53"/>
      <c r="C107" s="82">
        <f>C28-C33-C46-C105</f>
        <v>40306.522920523465</v>
      </c>
      <c r="D107" s="83">
        <f>IFERROR(C107/C$28,0)</f>
        <v>0.10067670503382854</v>
      </c>
      <c r="E107" s="82">
        <f>E28-E33-E46-E105</f>
        <v>0</v>
      </c>
      <c r="F107" s="83">
        <f>IFERROR(E107/E$28,0)</f>
        <v>0</v>
      </c>
      <c r="G107" s="82">
        <f>G28-G33-G46-G105</f>
        <v>0</v>
      </c>
      <c r="H107" s="83">
        <f>IFERROR(G107/G$28,0)</f>
        <v>0</v>
      </c>
      <c r="I107" s="82">
        <f>I28-I33-I46-I105</f>
        <v>0</v>
      </c>
      <c r="J107" s="83">
        <f>IFERROR(I107/I$28,0)</f>
        <v>0</v>
      </c>
      <c r="K107" s="82">
        <f>K28-K33-K46-K105</f>
        <v>0</v>
      </c>
      <c r="L107" s="83">
        <f>IFERROR(K107/K$28,0)</f>
        <v>0</v>
      </c>
      <c r="M107" s="82">
        <f>M28-M33-M46-M105</f>
        <v>0</v>
      </c>
      <c r="N107" s="83">
        <f>IFERROR(M107/M$28,0)</f>
        <v>0</v>
      </c>
      <c r="O107" s="82">
        <f>O28-O33-O46-O105</f>
        <v>0</v>
      </c>
      <c r="P107" s="83">
        <f>IFERROR(O107/O$28,0)</f>
        <v>0</v>
      </c>
      <c r="Q107" s="82">
        <f>Q28-Q33-Q46-Q105</f>
        <v>0</v>
      </c>
      <c r="R107" s="83">
        <f>IFERROR(Q107/Q$28,0)</f>
        <v>0</v>
      </c>
      <c r="S107" s="82">
        <f>S28-S33-S46-S105</f>
        <v>0</v>
      </c>
      <c r="T107" s="83">
        <f>IFERROR(S107/S$28,0)</f>
        <v>0</v>
      </c>
      <c r="U107" s="82">
        <f>U28-U33-U46-U105</f>
        <v>0</v>
      </c>
      <c r="V107" s="83">
        <f>IFERROR(U107/U$28,0)</f>
        <v>0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449</v>
      </c>
      <c r="B110" s="40"/>
      <c r="C110" s="86" t="str">
        <f>C50</f>
        <v>FY 2018-19</v>
      </c>
      <c r="D110" s="86" t="s">
        <v>366</v>
      </c>
      <c r="E110" s="86" t="str">
        <f>E50</f>
        <v>FY 2019-20</v>
      </c>
      <c r="F110" s="86" t="s">
        <v>366</v>
      </c>
      <c r="G110" s="86" t="str">
        <f>G50</f>
        <v>FY 2020-21</v>
      </c>
      <c r="H110" s="86" t="s">
        <v>366</v>
      </c>
      <c r="I110" s="86" t="str">
        <f>I50</f>
        <v>FY 2021-22</v>
      </c>
      <c r="J110" s="86" t="s">
        <v>366</v>
      </c>
      <c r="K110" s="86" t="str">
        <f>K50</f>
        <v>FY 2022-23</v>
      </c>
      <c r="L110" s="86" t="s">
        <v>366</v>
      </c>
      <c r="M110" s="86" t="str">
        <f>M50</f>
        <v>FY 2023-24</v>
      </c>
      <c r="N110" s="86" t="s">
        <v>366</v>
      </c>
      <c r="O110" s="86" t="str">
        <f>O50</f>
        <v>FY 2024-25</v>
      </c>
      <c r="P110" s="86" t="s">
        <v>366</v>
      </c>
      <c r="Q110" s="86" t="str">
        <f>Q50</f>
        <v>FY 2025-26</v>
      </c>
      <c r="R110" s="86" t="s">
        <v>366</v>
      </c>
      <c r="S110" s="86" t="str">
        <f>S50</f>
        <v>FY 2026-27</v>
      </c>
      <c r="T110" s="86" t="s">
        <v>366</v>
      </c>
      <c r="U110" s="86" t="str">
        <f>U50</f>
        <v>FY 2027-28</v>
      </c>
      <c r="V110" s="86" t="s">
        <v>366</v>
      </c>
    </row>
    <row r="111" spans="1:24" ht="12.75" customHeight="1">
      <c r="A111" s="2" t="s">
        <v>403</v>
      </c>
      <c r="B111" s="35"/>
      <c r="C111" s="79">
        <f>C59</f>
        <v>0</v>
      </c>
      <c r="D111" s="80">
        <f t="shared" ref="D111:D116" si="31">IFERROR(C111/C$28,0)</f>
        <v>0</v>
      </c>
      <c r="E111" s="79">
        <f>E59</f>
        <v>0</v>
      </c>
      <c r="F111" s="80">
        <f t="shared" ref="F111:F116" si="32">IFERROR(E111/E$28,0)</f>
        <v>0</v>
      </c>
      <c r="G111" s="79">
        <f>G59</f>
        <v>0</v>
      </c>
      <c r="H111" s="80">
        <f t="shared" ref="H111:H116" si="33">IFERROR(G111/G$28,0)</f>
        <v>0</v>
      </c>
      <c r="I111" s="79">
        <f>I59</f>
        <v>0</v>
      </c>
      <c r="J111" s="80">
        <f t="shared" ref="J111:J116" si="34">IFERROR(I111/I$28,0)</f>
        <v>0</v>
      </c>
      <c r="K111" s="79">
        <f>K59</f>
        <v>0</v>
      </c>
      <c r="L111" s="80">
        <f t="shared" ref="L111:L116" si="35">IFERROR(K111/K$28,0)</f>
        <v>0</v>
      </c>
      <c r="M111" s="79">
        <f>M59</f>
        <v>0</v>
      </c>
      <c r="N111" s="80">
        <f t="shared" ref="N111:N116" si="36">IFERROR(M111/M$28,0)</f>
        <v>0</v>
      </c>
      <c r="O111" s="79">
        <f>O59</f>
        <v>0</v>
      </c>
      <c r="P111" s="80">
        <f t="shared" ref="P111:P116" si="37">IFERROR(O111/O$28,0)</f>
        <v>0</v>
      </c>
      <c r="Q111" s="79">
        <f>Q59</f>
        <v>0</v>
      </c>
      <c r="R111" s="80">
        <f t="shared" ref="R111:R116" si="38">IFERROR(Q111/Q$28,0)</f>
        <v>0</v>
      </c>
      <c r="S111" s="79">
        <f>S59</f>
        <v>0</v>
      </c>
      <c r="T111" s="80">
        <f t="shared" ref="T111:T116" si="39">IFERROR(S111/S$28,0)</f>
        <v>0</v>
      </c>
      <c r="U111" s="79">
        <f>U59</f>
        <v>0</v>
      </c>
      <c r="V111" s="80">
        <f t="shared" ref="V111:V116" si="40">IFERROR(U111/U$28,0)</f>
        <v>0</v>
      </c>
    </row>
    <row r="112" spans="1:24" ht="12.75" customHeight="1">
      <c r="A112" s="2" t="s">
        <v>450</v>
      </c>
      <c r="B112" s="35"/>
      <c r="C112" s="79">
        <f>C62</f>
        <v>0</v>
      </c>
      <c r="D112" s="80">
        <f t="shared" si="31"/>
        <v>0</v>
      </c>
      <c r="E112" s="79">
        <f>E62</f>
        <v>0</v>
      </c>
      <c r="F112" s="80">
        <f t="shared" si="32"/>
        <v>0</v>
      </c>
      <c r="G112" s="79">
        <f>G62</f>
        <v>0</v>
      </c>
      <c r="H112" s="80">
        <f t="shared" si="33"/>
        <v>0</v>
      </c>
      <c r="I112" s="79">
        <f>I62</f>
        <v>0</v>
      </c>
      <c r="J112" s="80">
        <f t="shared" si="34"/>
        <v>0</v>
      </c>
      <c r="K112" s="79">
        <f>K62</f>
        <v>0</v>
      </c>
      <c r="L112" s="80">
        <f t="shared" si="35"/>
        <v>0</v>
      </c>
      <c r="M112" s="79">
        <f>M62</f>
        <v>0</v>
      </c>
      <c r="N112" s="80">
        <f t="shared" si="36"/>
        <v>0</v>
      </c>
      <c r="O112" s="79">
        <f>O62</f>
        <v>0</v>
      </c>
      <c r="P112" s="80">
        <f t="shared" si="37"/>
        <v>0</v>
      </c>
      <c r="Q112" s="79">
        <f>Q62</f>
        <v>0</v>
      </c>
      <c r="R112" s="80">
        <f t="shared" si="38"/>
        <v>0</v>
      </c>
      <c r="S112" s="79">
        <f>S62</f>
        <v>0</v>
      </c>
      <c r="T112" s="80">
        <f t="shared" si="39"/>
        <v>0</v>
      </c>
      <c r="U112" s="79">
        <f>U62</f>
        <v>0</v>
      </c>
      <c r="V112" s="80">
        <f t="shared" si="40"/>
        <v>0</v>
      </c>
    </row>
    <row r="113" spans="1:22" ht="12.75" customHeight="1">
      <c r="A113" s="117" t="s">
        <v>446</v>
      </c>
      <c r="B113" s="41"/>
      <c r="C113" s="111">
        <v>0</v>
      </c>
      <c r="D113" s="80">
        <f t="shared" si="31"/>
        <v>0</v>
      </c>
      <c r="E113" s="111">
        <v>0</v>
      </c>
      <c r="F113" s="80">
        <f t="shared" si="32"/>
        <v>0</v>
      </c>
      <c r="G113" s="111">
        <v>0</v>
      </c>
      <c r="H113" s="80">
        <f t="shared" si="33"/>
        <v>0</v>
      </c>
      <c r="I113" s="111">
        <v>0</v>
      </c>
      <c r="J113" s="80">
        <f t="shared" si="34"/>
        <v>0</v>
      </c>
      <c r="K113" s="111">
        <v>0</v>
      </c>
      <c r="L113" s="80">
        <f t="shared" si="35"/>
        <v>0</v>
      </c>
      <c r="M113" s="111">
        <v>0</v>
      </c>
      <c r="N113" s="80">
        <f t="shared" si="36"/>
        <v>0</v>
      </c>
      <c r="O113" s="111">
        <v>0</v>
      </c>
      <c r="P113" s="80">
        <f t="shared" si="37"/>
        <v>0</v>
      </c>
      <c r="Q113" s="111">
        <v>0</v>
      </c>
      <c r="R113" s="80">
        <f t="shared" si="38"/>
        <v>0</v>
      </c>
      <c r="S113" s="111">
        <v>0</v>
      </c>
      <c r="T113" s="80">
        <f t="shared" si="39"/>
        <v>0</v>
      </c>
      <c r="U113" s="111">
        <v>0</v>
      </c>
      <c r="V113" s="80">
        <f t="shared" si="40"/>
        <v>0</v>
      </c>
    </row>
    <row r="114" spans="1:22" ht="12.75" customHeight="1">
      <c r="A114" s="117" t="s">
        <v>446</v>
      </c>
      <c r="B114" s="41"/>
      <c r="C114" s="111">
        <v>0</v>
      </c>
      <c r="D114" s="80">
        <f t="shared" si="31"/>
        <v>0</v>
      </c>
      <c r="E114" s="111">
        <v>0</v>
      </c>
      <c r="F114" s="80">
        <f t="shared" si="32"/>
        <v>0</v>
      </c>
      <c r="G114" s="111">
        <v>0</v>
      </c>
      <c r="H114" s="80">
        <f t="shared" si="33"/>
        <v>0</v>
      </c>
      <c r="I114" s="111">
        <v>0</v>
      </c>
      <c r="J114" s="80">
        <f t="shared" si="34"/>
        <v>0</v>
      </c>
      <c r="K114" s="111">
        <v>0</v>
      </c>
      <c r="L114" s="80">
        <f t="shared" si="35"/>
        <v>0</v>
      </c>
      <c r="M114" s="111">
        <v>0</v>
      </c>
      <c r="N114" s="80">
        <f t="shared" si="36"/>
        <v>0</v>
      </c>
      <c r="O114" s="111">
        <v>0</v>
      </c>
      <c r="P114" s="80">
        <f t="shared" si="37"/>
        <v>0</v>
      </c>
      <c r="Q114" s="111">
        <v>0</v>
      </c>
      <c r="R114" s="80">
        <f t="shared" si="38"/>
        <v>0</v>
      </c>
      <c r="S114" s="111">
        <v>0</v>
      </c>
      <c r="T114" s="80">
        <f t="shared" si="39"/>
        <v>0</v>
      </c>
      <c r="U114" s="111">
        <v>0</v>
      </c>
      <c r="V114" s="80">
        <f t="shared" si="40"/>
        <v>0</v>
      </c>
    </row>
    <row r="115" spans="1:22" ht="12.75" customHeight="1">
      <c r="A115" s="117" t="s">
        <v>446</v>
      </c>
      <c r="B115" s="41"/>
      <c r="C115" s="112">
        <v>0</v>
      </c>
      <c r="D115" s="80">
        <f t="shared" si="31"/>
        <v>0</v>
      </c>
      <c r="E115" s="112">
        <v>0</v>
      </c>
      <c r="F115" s="80">
        <f t="shared" si="32"/>
        <v>0</v>
      </c>
      <c r="G115" s="112">
        <v>0</v>
      </c>
      <c r="H115" s="80">
        <f t="shared" si="33"/>
        <v>0</v>
      </c>
      <c r="I115" s="112">
        <v>0</v>
      </c>
      <c r="J115" s="80">
        <f t="shared" si="34"/>
        <v>0</v>
      </c>
      <c r="K115" s="112">
        <v>0</v>
      </c>
      <c r="L115" s="80">
        <f t="shared" si="35"/>
        <v>0</v>
      </c>
      <c r="M115" s="112">
        <v>0</v>
      </c>
      <c r="N115" s="80">
        <f t="shared" si="36"/>
        <v>0</v>
      </c>
      <c r="O115" s="112">
        <v>0</v>
      </c>
      <c r="P115" s="80">
        <f t="shared" si="37"/>
        <v>0</v>
      </c>
      <c r="Q115" s="112">
        <v>0</v>
      </c>
      <c r="R115" s="80">
        <f t="shared" si="38"/>
        <v>0</v>
      </c>
      <c r="S115" s="112">
        <v>0</v>
      </c>
      <c r="T115" s="80">
        <f t="shared" si="39"/>
        <v>0</v>
      </c>
      <c r="U115" s="112">
        <v>0</v>
      </c>
      <c r="V115" s="80">
        <f t="shared" si="40"/>
        <v>0</v>
      </c>
    </row>
    <row r="116" spans="1:22" ht="12.75" customHeight="1">
      <c r="A116" s="40" t="s">
        <v>451</v>
      </c>
      <c r="B116" s="42"/>
      <c r="C116" s="85">
        <f>SUM(C111:C115)</f>
        <v>0</v>
      </c>
      <c r="D116" s="83">
        <f t="shared" si="31"/>
        <v>0</v>
      </c>
      <c r="E116" s="85">
        <f>SUM(E111:E115)</f>
        <v>0</v>
      </c>
      <c r="F116" s="83">
        <f t="shared" si="32"/>
        <v>0</v>
      </c>
      <c r="G116" s="85">
        <f>SUM(G111:G115)</f>
        <v>0</v>
      </c>
      <c r="H116" s="83">
        <f t="shared" si="33"/>
        <v>0</v>
      </c>
      <c r="I116" s="85">
        <f>SUM(I111:I115)</f>
        <v>0</v>
      </c>
      <c r="J116" s="83">
        <f t="shared" si="34"/>
        <v>0</v>
      </c>
      <c r="K116" s="85">
        <f>SUM(K111:K115)</f>
        <v>0</v>
      </c>
      <c r="L116" s="83">
        <f t="shared" si="35"/>
        <v>0</v>
      </c>
      <c r="M116" s="85">
        <f>SUM(M111:M115)</f>
        <v>0</v>
      </c>
      <c r="N116" s="83">
        <f t="shared" si="36"/>
        <v>0</v>
      </c>
      <c r="O116" s="85">
        <f>SUM(O111:O115)</f>
        <v>0</v>
      </c>
      <c r="P116" s="83">
        <f t="shared" si="37"/>
        <v>0</v>
      </c>
      <c r="Q116" s="85">
        <f>SUM(Q111:Q115)</f>
        <v>0</v>
      </c>
      <c r="R116" s="83">
        <f t="shared" si="38"/>
        <v>0</v>
      </c>
      <c r="S116" s="85">
        <f>SUM(S111:S115)</f>
        <v>0</v>
      </c>
      <c r="T116" s="83">
        <f t="shared" si="39"/>
        <v>0</v>
      </c>
      <c r="U116" s="85">
        <f>SUM(U111:U115)</f>
        <v>0</v>
      </c>
      <c r="V116" s="83">
        <f t="shared" si="40"/>
        <v>0</v>
      </c>
    </row>
    <row r="118" spans="1:22" ht="12.75" customHeight="1">
      <c r="A118" s="43" t="s">
        <v>452</v>
      </c>
      <c r="B118" s="43"/>
    </row>
    <row r="119" spans="1:22" ht="12.75" customHeight="1">
      <c r="A119" s="47" t="s">
        <v>453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7" tint="0.59999389629810485"/>
  </sheetPr>
  <dimension ref="A1:X119"/>
  <sheetViews>
    <sheetView topLeftCell="A9" zoomScale="70" zoomScaleNormal="70" workbookViewId="0" xr3:uid="{CF366857-BBDD-5199-9BC9-FF52903B0715}">
      <selection activeCell="W59" sqref="W59"/>
    </sheetView>
  </sheetViews>
  <sheetFormatPr defaultColWidth="9.140625" defaultRowHeight="12.75" customHeight="1"/>
  <cols>
    <col min="1" max="1" width="9.5703125" style="2" customWidth="1"/>
    <col min="2" max="2" width="38.5703125" style="2" customWidth="1"/>
    <col min="3" max="3" width="14.85546875" style="2" customWidth="1"/>
    <col min="4" max="4" width="8.7109375" style="2" customWidth="1"/>
    <col min="5" max="5" width="13.28515625" style="2" bestFit="1" customWidth="1"/>
    <col min="6" max="6" width="8.7109375" style="2" customWidth="1"/>
    <col min="7" max="7" width="16.710937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355</v>
      </c>
      <c r="G2" s="33" t="s">
        <v>40</v>
      </c>
      <c r="H2" s="34"/>
      <c r="I2" s="34"/>
      <c r="V2" s="32"/>
    </row>
    <row r="3" spans="1:22" ht="12.75" customHeight="1">
      <c r="A3" s="1" t="s">
        <v>357</v>
      </c>
      <c r="D3" s="118" t="s">
        <v>358</v>
      </c>
      <c r="G3" s="115" t="str">
        <f>+G2</f>
        <v>Café Bustelo (Graham Center)</v>
      </c>
      <c r="H3" s="116"/>
      <c r="I3" s="116"/>
      <c r="V3" s="32"/>
    </row>
    <row r="4" spans="1:22" ht="12.75" customHeight="1">
      <c r="A4" s="1" t="s">
        <v>359</v>
      </c>
      <c r="B4" s="109" t="s">
        <v>221</v>
      </c>
      <c r="D4" s="118" t="s">
        <v>360</v>
      </c>
      <c r="G4" s="115" t="s">
        <v>65</v>
      </c>
      <c r="H4" s="116"/>
      <c r="I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361</v>
      </c>
      <c r="B7" s="1"/>
    </row>
    <row r="8" spans="1:22" ht="12.75" customHeight="1">
      <c r="A8" s="2" t="s">
        <v>362</v>
      </c>
      <c r="C8" s="109">
        <v>190</v>
      </c>
      <c r="E8" s="109">
        <f>+C8</f>
        <v>190</v>
      </c>
      <c r="G8" s="109">
        <f>+E8</f>
        <v>190</v>
      </c>
      <c r="I8" s="109">
        <f>+G8</f>
        <v>190</v>
      </c>
      <c r="K8" s="109">
        <f>+I8</f>
        <v>190</v>
      </c>
      <c r="M8" s="109">
        <f>+K8</f>
        <v>190</v>
      </c>
      <c r="O8" s="109">
        <f>+M8</f>
        <v>190</v>
      </c>
      <c r="Q8" s="109">
        <f>+O8</f>
        <v>190</v>
      </c>
      <c r="S8" s="109">
        <f>+Q8</f>
        <v>190</v>
      </c>
      <c r="U8" s="109">
        <f>+S8</f>
        <v>190</v>
      </c>
    </row>
    <row r="10" spans="1:22" ht="12.75" customHeight="1">
      <c r="A10" s="2" t="s">
        <v>462</v>
      </c>
      <c r="C10" s="201">
        <f>+C14/C8/C12</f>
        <v>658.8</v>
      </c>
      <c r="D10" s="202"/>
      <c r="E10" s="201">
        <f>+E14/E8/E12</f>
        <v>682.51273344651952</v>
      </c>
      <c r="F10" s="202"/>
      <c r="G10" s="201">
        <f>+G14/G8/G12</f>
        <v>583.86854616732012</v>
      </c>
      <c r="H10" s="202"/>
      <c r="I10" s="201">
        <f>+I14/I8/I12</f>
        <v>602.33918128654977</v>
      </c>
      <c r="J10" s="202"/>
      <c r="K10" s="201">
        <f>+K14/K8/K12</f>
        <v>619.42614062890993</v>
      </c>
      <c r="L10" s="202"/>
      <c r="M10" s="201">
        <f>+M14/M8/M12</f>
        <v>638.00892484777717</v>
      </c>
      <c r="N10" s="202"/>
      <c r="O10" s="201">
        <f>+O14/O8/O12</f>
        <v>647.90803207236843</v>
      </c>
      <c r="P10" s="202"/>
      <c r="Q10" s="201">
        <f>+Q14/Q8/Q12</f>
        <v>667.34527303453945</v>
      </c>
      <c r="R10" s="202"/>
      <c r="S10" s="201">
        <f>+S14/S8/S12</f>
        <v>680.98143031635982</v>
      </c>
      <c r="T10" s="202"/>
      <c r="U10" s="201">
        <f>+U14/U8/U12</f>
        <v>688.61918556823639</v>
      </c>
      <c r="V10" s="202"/>
    </row>
    <row r="12" spans="1:22" ht="12.75" customHeight="1">
      <c r="A12" s="2" t="s">
        <v>463</v>
      </c>
      <c r="C12" s="110">
        <v>6.02</v>
      </c>
      <c r="E12" s="110">
        <v>6.2</v>
      </c>
      <c r="G12" s="110">
        <v>6.31</v>
      </c>
      <c r="I12" s="110">
        <v>6.3</v>
      </c>
      <c r="K12" s="110">
        <v>6.31</v>
      </c>
      <c r="M12" s="110">
        <v>6.31</v>
      </c>
      <c r="O12" s="110">
        <v>6.4</v>
      </c>
      <c r="Q12" s="110">
        <v>6.4</v>
      </c>
      <c r="S12" s="110">
        <v>6.46</v>
      </c>
      <c r="U12" s="110">
        <v>6.58</v>
      </c>
    </row>
    <row r="14" spans="1:22" ht="12.75" customHeight="1">
      <c r="A14" s="2" t="s">
        <v>464</v>
      </c>
      <c r="C14" s="121">
        <v>753535.44</v>
      </c>
      <c r="E14" s="121">
        <v>804000</v>
      </c>
      <c r="G14" s="121">
        <v>700000</v>
      </c>
      <c r="I14" s="121">
        <f>+G14*1.03</f>
        <v>721000</v>
      </c>
      <c r="K14" s="121">
        <f>+I14*1.03</f>
        <v>742630</v>
      </c>
      <c r="M14" s="121">
        <f>+K14*1.03</f>
        <v>764908.9</v>
      </c>
      <c r="O14" s="121">
        <f>+M14*1.03</f>
        <v>787856.16700000002</v>
      </c>
      <c r="Q14" s="121">
        <f>+O14*1.03</f>
        <v>811491.85201000003</v>
      </c>
      <c r="S14" s="121">
        <f>+Q14*1.03</f>
        <v>835836.60757030011</v>
      </c>
      <c r="U14" s="121">
        <f>+S14*1.03</f>
        <v>860911.70579740917</v>
      </c>
    </row>
    <row r="15" spans="1:22" ht="12.75" customHeight="1">
      <c r="A15" s="39">
        <v>0.05</v>
      </c>
    </row>
    <row r="16" spans="1:22" ht="12.75" customHeight="1">
      <c r="B16" s="35"/>
      <c r="C16" s="86" t="str">
        <f>C6</f>
        <v>FY 2018-19</v>
      </c>
      <c r="D16" s="86" t="s">
        <v>366</v>
      </c>
      <c r="E16" s="86" t="str">
        <f>E6</f>
        <v>FY 2019-20</v>
      </c>
      <c r="F16" s="86" t="s">
        <v>366</v>
      </c>
      <c r="G16" s="86" t="str">
        <f>G6</f>
        <v>FY 2020-21</v>
      </c>
      <c r="H16" s="86" t="s">
        <v>366</v>
      </c>
      <c r="I16" s="86" t="str">
        <f>I6</f>
        <v>FY 2021-22</v>
      </c>
      <c r="J16" s="86" t="s">
        <v>366</v>
      </c>
      <c r="K16" s="86" t="str">
        <f>K6</f>
        <v>FY 2022-23</v>
      </c>
      <c r="L16" s="86" t="s">
        <v>366</v>
      </c>
      <c r="M16" s="86" t="str">
        <f>M6</f>
        <v>FY 2023-24</v>
      </c>
      <c r="N16" s="86" t="s">
        <v>366</v>
      </c>
      <c r="O16" s="86" t="str">
        <f>O6</f>
        <v>FY 2024-25</v>
      </c>
      <c r="P16" s="86" t="s">
        <v>366</v>
      </c>
      <c r="Q16" s="86" t="str">
        <f>Q6</f>
        <v>FY 2025-26</v>
      </c>
      <c r="R16" s="86" t="s">
        <v>366</v>
      </c>
      <c r="S16" s="86" t="str">
        <f>S6</f>
        <v>FY 2026-27</v>
      </c>
      <c r="T16" s="86" t="s">
        <v>366</v>
      </c>
      <c r="U16" s="86" t="str">
        <f>U6</f>
        <v>FY 2027-28</v>
      </c>
      <c r="V16" s="86" t="s">
        <v>366</v>
      </c>
    </row>
    <row r="17" spans="1:24" ht="12.75" customHeight="1">
      <c r="A17" s="1" t="s">
        <v>367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368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369</v>
      </c>
      <c r="B19" s="35"/>
      <c r="C19" s="200">
        <f>+C14-C20</f>
        <v>660247.75252799992</v>
      </c>
      <c r="D19" s="80">
        <f>IFERROR(C19/C$28,0)</f>
        <v>0.87619999999999998</v>
      </c>
      <c r="E19" s="200">
        <f>+E14-E20</f>
        <v>675360</v>
      </c>
      <c r="F19" s="80">
        <f>IFERROR(E19/E$28,0)</f>
        <v>0.84</v>
      </c>
      <c r="G19" s="111">
        <f>+G14-G20</f>
        <v>588000</v>
      </c>
      <c r="H19" s="80">
        <f>IFERROR(G19/G$28,0)</f>
        <v>0.84</v>
      </c>
      <c r="I19" s="111">
        <f>+I14-I20</f>
        <v>605640</v>
      </c>
      <c r="J19" s="80">
        <f>IFERROR(I19/I$28,0)</f>
        <v>0.84</v>
      </c>
      <c r="K19" s="111">
        <f>+K14-K20</f>
        <v>623809.19999999995</v>
      </c>
      <c r="L19" s="80">
        <f>IFERROR(K19/K$28,0)</f>
        <v>0.84</v>
      </c>
      <c r="M19" s="111">
        <f>+M14-M20</f>
        <v>642523.47600000002</v>
      </c>
      <c r="N19" s="80">
        <f>IFERROR(M19/M$28,0)</f>
        <v>0.84</v>
      </c>
      <c r="O19" s="111">
        <f>+O14-O20</f>
        <v>661799.18027999997</v>
      </c>
      <c r="P19" s="80">
        <f>IFERROR(O19/O$28,0)</f>
        <v>0.84</v>
      </c>
      <c r="Q19" s="111">
        <f>+Q14-Q20</f>
        <v>681653.15568840003</v>
      </c>
      <c r="R19" s="80">
        <f>IFERROR(Q19/Q$28,0)</f>
        <v>0.84</v>
      </c>
      <c r="S19" s="111">
        <f>+S14-S20</f>
        <v>702102.75035905209</v>
      </c>
      <c r="T19" s="80">
        <f>IFERROR(S19/S$28,0)</f>
        <v>0.84</v>
      </c>
      <c r="U19" s="111">
        <f>+U14-U20</f>
        <v>723165.83286982367</v>
      </c>
      <c r="V19" s="80">
        <f>IFERROR(U19/U$28,0)</f>
        <v>0.84</v>
      </c>
    </row>
    <row r="20" spans="1:24" ht="12.75" customHeight="1">
      <c r="A20" s="2" t="s">
        <v>370</v>
      </c>
      <c r="B20" s="35"/>
      <c r="C20" s="111">
        <f>+C14*12.38%</f>
        <v>93287.687472000005</v>
      </c>
      <c r="D20" s="80">
        <f>IFERROR(C20/C$28,0)</f>
        <v>0.12380000000000002</v>
      </c>
      <c r="E20" s="111">
        <f>+E14*16%</f>
        <v>128640</v>
      </c>
      <c r="F20" s="80">
        <f>IFERROR(E20/E$28,0)</f>
        <v>0.16</v>
      </c>
      <c r="G20" s="111">
        <f>+G14*16%</f>
        <v>112000</v>
      </c>
      <c r="H20" s="80">
        <f>IFERROR(G20/G$28,0)</f>
        <v>0.16</v>
      </c>
      <c r="I20" s="111">
        <f>+I14*16%</f>
        <v>115360</v>
      </c>
      <c r="J20" s="80">
        <f>IFERROR(I20/I$28,0)</f>
        <v>0.16</v>
      </c>
      <c r="K20" s="111">
        <f>+K14*16%</f>
        <v>118820.8</v>
      </c>
      <c r="L20" s="80">
        <f>IFERROR(K20/K$28,0)</f>
        <v>0.16</v>
      </c>
      <c r="M20" s="111">
        <f>+M14*16%</f>
        <v>122385.424</v>
      </c>
      <c r="N20" s="80">
        <f>IFERROR(M20/M$28,0)</f>
        <v>0.16</v>
      </c>
      <c r="O20" s="111">
        <f>+O14*16%</f>
        <v>126056.98672</v>
      </c>
      <c r="P20" s="80">
        <f>IFERROR(O20/O$28,0)</f>
        <v>0.16</v>
      </c>
      <c r="Q20" s="111">
        <f>+Q14*16%</f>
        <v>129838.69632160001</v>
      </c>
      <c r="R20" s="80">
        <f>IFERROR(Q20/Q$28,0)</f>
        <v>0.16</v>
      </c>
      <c r="S20" s="111">
        <f>+S14*16%</f>
        <v>133733.85721124802</v>
      </c>
      <c r="T20" s="80">
        <f>IFERROR(S20/S$28,0)</f>
        <v>0.16</v>
      </c>
      <c r="U20" s="111">
        <f>+U14*16%</f>
        <v>137745.87292758547</v>
      </c>
      <c r="V20" s="80">
        <f>IFERROR(U20/U$28,0)</f>
        <v>0.16</v>
      </c>
    </row>
    <row r="21" spans="1:24" ht="12.75" customHeight="1">
      <c r="A21" s="2" t="s">
        <v>371</v>
      </c>
      <c r="B21" s="35"/>
      <c r="C21" s="111"/>
      <c r="D21" s="80">
        <f>IFERROR(C21/C$28,0)</f>
        <v>0</v>
      </c>
      <c r="E21" s="111">
        <v>0</v>
      </c>
      <c r="F21" s="80">
        <f>IFERROR(E21/E$28,0)</f>
        <v>0</v>
      </c>
      <c r="G21" s="111">
        <f t="shared" ref="G21:U21" si="0">E21*1.02</f>
        <v>0</v>
      </c>
      <c r="H21" s="80">
        <f>IFERROR(G21/G$28,0)</f>
        <v>0</v>
      </c>
      <c r="I21" s="111">
        <f t="shared" si="0"/>
        <v>0</v>
      </c>
      <c r="J21" s="80">
        <f>IFERROR(I21/I$28,0)</f>
        <v>0</v>
      </c>
      <c r="K21" s="111">
        <f t="shared" si="0"/>
        <v>0</v>
      </c>
      <c r="L21" s="80">
        <f>IFERROR(K21/K$28,0)</f>
        <v>0</v>
      </c>
      <c r="M21" s="111">
        <f t="shared" si="0"/>
        <v>0</v>
      </c>
      <c r="N21" s="80">
        <f>IFERROR(M21/M$28,0)</f>
        <v>0</v>
      </c>
      <c r="O21" s="111">
        <f t="shared" si="0"/>
        <v>0</v>
      </c>
      <c r="P21" s="80">
        <f>IFERROR(O21/O$28,0)</f>
        <v>0</v>
      </c>
      <c r="Q21" s="111">
        <f t="shared" si="0"/>
        <v>0</v>
      </c>
      <c r="R21" s="80">
        <f>IFERROR(Q21/Q$28,0)</f>
        <v>0</v>
      </c>
      <c r="S21" s="111">
        <f t="shared" si="0"/>
        <v>0</v>
      </c>
      <c r="T21" s="80">
        <f>IFERROR(S21/S$28,0)</f>
        <v>0</v>
      </c>
      <c r="U21" s="111">
        <f t="shared" si="0"/>
        <v>0</v>
      </c>
      <c r="V21" s="80">
        <f>IFERROR(U21/U$28,0)</f>
        <v>0</v>
      </c>
    </row>
    <row r="22" spans="1:24" ht="12.75" customHeight="1">
      <c r="A22" s="2" t="s">
        <v>372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373</v>
      </c>
      <c r="B23" s="123"/>
      <c r="C23" s="79"/>
      <c r="D23" s="80">
        <f t="shared" ref="D23:D28" si="1">IFERROR(C23/C$28,0)</f>
        <v>0</v>
      </c>
      <c r="E23" s="79"/>
      <c r="F23" s="80">
        <f t="shared" ref="F23:F28" si="2">IFERROR(E23/E$28,0)</f>
        <v>0</v>
      </c>
      <c r="G23" s="79"/>
      <c r="H23" s="80">
        <f t="shared" ref="H23:H28" si="3">IFERROR(G23/G$28,0)</f>
        <v>0</v>
      </c>
      <c r="I23" s="79"/>
      <c r="J23" s="80">
        <f t="shared" ref="J23:J28" si="4">IFERROR(I23/I$28,0)</f>
        <v>0</v>
      </c>
      <c r="K23" s="79"/>
      <c r="L23" s="80">
        <f t="shared" ref="L23:L28" si="5">IFERROR(K23/K$28,0)</f>
        <v>0</v>
      </c>
      <c r="M23" s="79"/>
      <c r="N23" s="80">
        <f t="shared" ref="N23:N28" si="6">IFERROR(M23/M$28,0)</f>
        <v>0</v>
      </c>
      <c r="O23" s="79"/>
      <c r="P23" s="80">
        <f t="shared" ref="P23:P28" si="7">IFERROR(O23/O$28,0)</f>
        <v>0</v>
      </c>
      <c r="Q23" s="79"/>
      <c r="R23" s="80">
        <f t="shared" ref="R23:R28" si="8">IFERROR(Q23/Q$28,0)</f>
        <v>0</v>
      </c>
      <c r="S23" s="79"/>
      <c r="T23" s="80">
        <f t="shared" ref="T23:T28" si="9">IFERROR(S23/S$28,0)</f>
        <v>0</v>
      </c>
      <c r="U23" s="79"/>
      <c r="V23" s="80">
        <f t="shared" ref="V23:V28" si="10">IFERROR(U23/U$28,0)</f>
        <v>0</v>
      </c>
    </row>
    <row r="24" spans="1:24" ht="12.75" customHeight="1">
      <c r="A24" s="122" t="s">
        <v>374</v>
      </c>
      <c r="B24" s="123"/>
      <c r="C24" s="79"/>
      <c r="D24" s="80">
        <f t="shared" si="1"/>
        <v>0</v>
      </c>
      <c r="E24" s="79"/>
      <c r="F24" s="80">
        <f t="shared" si="2"/>
        <v>0</v>
      </c>
      <c r="G24" s="79"/>
      <c r="H24" s="80">
        <f t="shared" si="3"/>
        <v>0</v>
      </c>
      <c r="I24" s="79"/>
      <c r="J24" s="80">
        <f t="shared" si="4"/>
        <v>0</v>
      </c>
      <c r="K24" s="79"/>
      <c r="L24" s="80">
        <f t="shared" si="5"/>
        <v>0</v>
      </c>
      <c r="M24" s="79"/>
      <c r="N24" s="80">
        <f t="shared" si="6"/>
        <v>0</v>
      </c>
      <c r="O24" s="79"/>
      <c r="P24" s="80">
        <f t="shared" si="7"/>
        <v>0</v>
      </c>
      <c r="Q24" s="79"/>
      <c r="R24" s="80">
        <f t="shared" si="8"/>
        <v>0</v>
      </c>
      <c r="S24" s="79"/>
      <c r="T24" s="80">
        <f t="shared" si="9"/>
        <v>0</v>
      </c>
      <c r="U24" s="79"/>
      <c r="V24" s="80">
        <f t="shared" si="10"/>
        <v>0</v>
      </c>
      <c r="X24" s="79"/>
    </row>
    <row r="25" spans="1:24" ht="12.75" customHeight="1">
      <c r="A25" s="2" t="s">
        <v>375</v>
      </c>
      <c r="B25" s="35"/>
      <c r="C25" s="111"/>
      <c r="D25" s="80">
        <f t="shared" si="1"/>
        <v>0</v>
      </c>
      <c r="E25" s="111"/>
      <c r="F25" s="80">
        <f t="shared" si="2"/>
        <v>0</v>
      </c>
      <c r="G25" s="111"/>
      <c r="H25" s="80">
        <f t="shared" si="3"/>
        <v>0</v>
      </c>
      <c r="I25" s="111"/>
      <c r="J25" s="80">
        <f t="shared" si="4"/>
        <v>0</v>
      </c>
      <c r="K25" s="111"/>
      <c r="L25" s="80">
        <f t="shared" si="5"/>
        <v>0</v>
      </c>
      <c r="M25" s="111"/>
      <c r="N25" s="80">
        <f t="shared" si="6"/>
        <v>0</v>
      </c>
      <c r="O25" s="111"/>
      <c r="P25" s="80">
        <f t="shared" si="7"/>
        <v>0</v>
      </c>
      <c r="Q25" s="111"/>
      <c r="R25" s="80">
        <f t="shared" si="8"/>
        <v>0</v>
      </c>
      <c r="S25" s="111"/>
      <c r="T25" s="80">
        <f t="shared" si="9"/>
        <v>0</v>
      </c>
      <c r="U25" s="111"/>
      <c r="V25" s="80">
        <f t="shared" si="10"/>
        <v>0</v>
      </c>
      <c r="X25" s="79"/>
    </row>
    <row r="26" spans="1:24" ht="12.75" customHeight="1">
      <c r="A26" s="122" t="s">
        <v>376</v>
      </c>
      <c r="B26" s="35"/>
      <c r="C26" s="79"/>
      <c r="D26" s="80">
        <f t="shared" si="1"/>
        <v>0</v>
      </c>
      <c r="E26" s="79"/>
      <c r="F26" s="80">
        <f t="shared" si="2"/>
        <v>0</v>
      </c>
      <c r="G26" s="79"/>
      <c r="H26" s="80">
        <f t="shared" si="3"/>
        <v>0</v>
      </c>
      <c r="I26" s="79"/>
      <c r="J26" s="80">
        <f t="shared" si="4"/>
        <v>0</v>
      </c>
      <c r="K26" s="79"/>
      <c r="L26" s="80">
        <f t="shared" si="5"/>
        <v>0</v>
      </c>
      <c r="M26" s="79"/>
      <c r="N26" s="80">
        <f t="shared" si="6"/>
        <v>0</v>
      </c>
      <c r="O26" s="79"/>
      <c r="P26" s="80">
        <f t="shared" si="7"/>
        <v>0</v>
      </c>
      <c r="Q26" s="79"/>
      <c r="R26" s="80">
        <f t="shared" si="8"/>
        <v>0</v>
      </c>
      <c r="S26" s="79"/>
      <c r="T26" s="80">
        <f t="shared" si="9"/>
        <v>0</v>
      </c>
      <c r="U26" s="79"/>
      <c r="V26" s="80">
        <f t="shared" si="10"/>
        <v>0</v>
      </c>
    </row>
    <row r="27" spans="1:24" ht="12.75" customHeight="1">
      <c r="A27" s="2" t="s">
        <v>377</v>
      </c>
      <c r="B27" s="35"/>
      <c r="C27" s="112"/>
      <c r="D27" s="80">
        <f t="shared" si="1"/>
        <v>0</v>
      </c>
      <c r="E27" s="112"/>
      <c r="F27" s="80">
        <f t="shared" si="2"/>
        <v>0</v>
      </c>
      <c r="G27" s="112"/>
      <c r="H27" s="80">
        <f t="shared" si="3"/>
        <v>0</v>
      </c>
      <c r="I27" s="112"/>
      <c r="J27" s="80">
        <f t="shared" si="4"/>
        <v>0</v>
      </c>
      <c r="K27" s="112"/>
      <c r="L27" s="80">
        <f t="shared" si="5"/>
        <v>0</v>
      </c>
      <c r="M27" s="112"/>
      <c r="N27" s="80">
        <f t="shared" si="6"/>
        <v>0</v>
      </c>
      <c r="O27" s="112"/>
      <c r="P27" s="80">
        <f t="shared" si="7"/>
        <v>0</v>
      </c>
      <c r="Q27" s="112"/>
      <c r="R27" s="80">
        <f t="shared" si="8"/>
        <v>0</v>
      </c>
      <c r="S27" s="112"/>
      <c r="T27" s="80">
        <f t="shared" si="9"/>
        <v>0</v>
      </c>
      <c r="U27" s="112"/>
      <c r="V27" s="80">
        <f t="shared" si="10"/>
        <v>0</v>
      </c>
    </row>
    <row r="28" spans="1:24" ht="12.75" customHeight="1">
      <c r="A28" s="1" t="s">
        <v>378</v>
      </c>
      <c r="B28" s="53"/>
      <c r="C28" s="82">
        <f>SUM(C19:C27)</f>
        <v>753535.44</v>
      </c>
      <c r="D28" s="83">
        <f t="shared" si="1"/>
        <v>1</v>
      </c>
      <c r="E28" s="82">
        <f>SUM(E19:E27)</f>
        <v>804000</v>
      </c>
      <c r="F28" s="83">
        <f t="shared" si="2"/>
        <v>1</v>
      </c>
      <c r="G28" s="82">
        <f>SUM(G19:G27)</f>
        <v>700000</v>
      </c>
      <c r="H28" s="83">
        <f t="shared" si="3"/>
        <v>1</v>
      </c>
      <c r="I28" s="82">
        <f>SUM(I19:I27)</f>
        <v>721000</v>
      </c>
      <c r="J28" s="83">
        <f t="shared" si="4"/>
        <v>1</v>
      </c>
      <c r="K28" s="82">
        <f>SUM(K19:K27)</f>
        <v>742630</v>
      </c>
      <c r="L28" s="83">
        <f t="shared" si="5"/>
        <v>1</v>
      </c>
      <c r="M28" s="82">
        <f>SUM(M19:M27)</f>
        <v>764908.9</v>
      </c>
      <c r="N28" s="83">
        <f t="shared" si="6"/>
        <v>1</v>
      </c>
      <c r="O28" s="82">
        <f>SUM(O19:O27)</f>
        <v>787856.16700000002</v>
      </c>
      <c r="P28" s="83">
        <f t="shared" si="7"/>
        <v>1</v>
      </c>
      <c r="Q28" s="82">
        <f>SUM(Q19:Q27)</f>
        <v>811491.85201000003</v>
      </c>
      <c r="R28" s="83">
        <f t="shared" si="8"/>
        <v>1</v>
      </c>
      <c r="S28" s="82">
        <f>SUM(S19:S27)</f>
        <v>835836.60757030011</v>
      </c>
      <c r="T28" s="83">
        <f t="shared" si="9"/>
        <v>1</v>
      </c>
      <c r="U28" s="82">
        <f>SUM(U19:U27)</f>
        <v>860911.70579740917</v>
      </c>
      <c r="V28" s="83">
        <f t="shared" si="10"/>
        <v>1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379</v>
      </c>
      <c r="B30" s="53"/>
      <c r="C30" s="197">
        <v>0.33500000000000002</v>
      </c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380</v>
      </c>
      <c r="B31" s="35"/>
      <c r="C31" s="178">
        <f>$C$30*C14</f>
        <v>252434.37239999999</v>
      </c>
      <c r="D31" s="80">
        <f>IFERROR(C31/C$28,0)</f>
        <v>0.33500000000000002</v>
      </c>
      <c r="E31" s="178">
        <f>$C$30*E14</f>
        <v>269340</v>
      </c>
      <c r="F31" s="80">
        <f>IFERROR(E31/E$28,0)</f>
        <v>0.33500000000000002</v>
      </c>
      <c r="G31" s="178">
        <f>$C$30*G14</f>
        <v>234500</v>
      </c>
      <c r="H31" s="80">
        <f>IFERROR(G31/G$28,0)</f>
        <v>0.33500000000000002</v>
      </c>
      <c r="I31" s="178">
        <f>$C$30*I14</f>
        <v>241535</v>
      </c>
      <c r="J31" s="80">
        <f>IFERROR(I31/I$28,0)</f>
        <v>0.33500000000000002</v>
      </c>
      <c r="K31" s="178">
        <f>$C$30*K14</f>
        <v>248781.05000000002</v>
      </c>
      <c r="L31" s="80">
        <f>IFERROR(K31/K$28,0)</f>
        <v>0.33500000000000002</v>
      </c>
      <c r="M31" s="178">
        <f>$C$30*M14</f>
        <v>256244.48150000002</v>
      </c>
      <c r="N31" s="80">
        <f>IFERROR(M31/M$28,0)</f>
        <v>0.33500000000000002</v>
      </c>
      <c r="O31" s="178">
        <f>$C$30*O14</f>
        <v>263931.81594500004</v>
      </c>
      <c r="P31" s="80">
        <f>IFERROR(O31/O$28,0)</f>
        <v>0.33500000000000002</v>
      </c>
      <c r="Q31" s="178">
        <f>$C$30*Q14</f>
        <v>271849.77042335004</v>
      </c>
      <c r="R31" s="80">
        <f>IFERROR(Q31/Q$28,0)</f>
        <v>0.33500000000000002</v>
      </c>
      <c r="S31" s="178">
        <f>$C$30*S14</f>
        <v>280005.26353605057</v>
      </c>
      <c r="T31" s="80">
        <f>IFERROR(S31/S$28,0)</f>
        <v>0.33500000000000002</v>
      </c>
      <c r="U31" s="178">
        <f>$C$30*U14</f>
        <v>288405.42144213209</v>
      </c>
      <c r="V31" s="80">
        <f>IFERROR(U31/U$28,0)</f>
        <v>0.33500000000000002</v>
      </c>
    </row>
    <row r="32" spans="1:24" ht="12.75" customHeight="1">
      <c r="A32" s="8" t="s">
        <v>381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382</v>
      </c>
      <c r="B33" s="53"/>
      <c r="C33" s="82">
        <f>SUM(C31:C32)</f>
        <v>252434.37239999999</v>
      </c>
      <c r="D33" s="83">
        <f>IFERROR(C33/C$28,0)</f>
        <v>0.33500000000000002</v>
      </c>
      <c r="E33" s="82">
        <f>SUM(E31:E32)</f>
        <v>269340</v>
      </c>
      <c r="F33" s="83">
        <f>IFERROR(E33/E$28,0)</f>
        <v>0.33500000000000002</v>
      </c>
      <c r="G33" s="82">
        <f>SUM(G31:G32)</f>
        <v>234500</v>
      </c>
      <c r="H33" s="83">
        <f>IFERROR(G33/G$28,0)</f>
        <v>0.33500000000000002</v>
      </c>
      <c r="I33" s="82">
        <f>SUM(I31:I32)</f>
        <v>241535</v>
      </c>
      <c r="J33" s="83">
        <f>IFERROR(I33/I$28,0)</f>
        <v>0.33500000000000002</v>
      </c>
      <c r="K33" s="82">
        <f>SUM(K31:K32)</f>
        <v>248781.05000000002</v>
      </c>
      <c r="L33" s="83">
        <f>IFERROR(K33/K$28,0)</f>
        <v>0.33500000000000002</v>
      </c>
      <c r="M33" s="82">
        <f>SUM(M31:M32)</f>
        <v>256244.48150000002</v>
      </c>
      <c r="N33" s="83">
        <f>IFERROR(M33/M$28,0)</f>
        <v>0.33500000000000002</v>
      </c>
      <c r="O33" s="82">
        <f>SUM(O31:O32)</f>
        <v>263931.81594500004</v>
      </c>
      <c r="P33" s="83">
        <f>IFERROR(O33/O$28,0)</f>
        <v>0.33500000000000002</v>
      </c>
      <c r="Q33" s="82">
        <f>SUM(Q31:Q32)</f>
        <v>271849.77042335004</v>
      </c>
      <c r="R33" s="83">
        <f>IFERROR(Q33/Q$28,0)</f>
        <v>0.33500000000000002</v>
      </c>
      <c r="S33" s="82">
        <f>SUM(S31:S32)</f>
        <v>280005.26353605057</v>
      </c>
      <c r="T33" s="83">
        <f>IFERROR(S33/S$28,0)</f>
        <v>0.33500000000000002</v>
      </c>
      <c r="U33" s="82">
        <f>SUM(U31:U32)</f>
        <v>288405.42144213209</v>
      </c>
      <c r="V33" s="83">
        <f>IFERROR(U33/U$28,0)</f>
        <v>0.33500000000000002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383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384</v>
      </c>
      <c r="B36" s="35"/>
      <c r="C36" s="178">
        <v>0</v>
      </c>
      <c r="D36" s="80">
        <f t="shared" ref="D36:D46" si="11">IFERROR(C36/C$28,0)</f>
        <v>0</v>
      </c>
      <c r="E36" s="178"/>
      <c r="F36" s="80">
        <f t="shared" ref="F36:F46" si="12">IFERROR(E36/E$28,0)</f>
        <v>0</v>
      </c>
      <c r="G36" s="178"/>
      <c r="H36" s="80">
        <f t="shared" ref="H36:H46" si="13">IFERROR(G36/G$28,0)</f>
        <v>0</v>
      </c>
      <c r="I36" s="178"/>
      <c r="J36" s="80">
        <f t="shared" ref="J36:J46" si="14">IFERROR(I36/I$28,0)</f>
        <v>0</v>
      </c>
      <c r="K36" s="178"/>
      <c r="L36" s="80">
        <f t="shared" ref="L36:L46" si="15">IFERROR(K36/K$28,0)</f>
        <v>0</v>
      </c>
      <c r="M36" s="178"/>
      <c r="N36" s="80">
        <f t="shared" ref="N36:N46" si="16">IFERROR(M36/M$28,0)</f>
        <v>0</v>
      </c>
      <c r="O36" s="178"/>
      <c r="P36" s="80">
        <f t="shared" ref="P36:P46" si="17">IFERROR(O36/O$28,0)</f>
        <v>0</v>
      </c>
      <c r="Q36" s="178"/>
      <c r="R36" s="80">
        <f t="shared" ref="R36:R46" si="18">IFERROR(Q36/Q$28,0)</f>
        <v>0</v>
      </c>
      <c r="S36" s="178"/>
      <c r="T36" s="80">
        <f t="shared" ref="T36:T46" si="19">IFERROR(S36/S$28,0)</f>
        <v>0</v>
      </c>
      <c r="U36" s="178"/>
      <c r="V36" s="80">
        <f t="shared" ref="V36:V46" si="20">IFERROR(U36/U$28,0)</f>
        <v>0</v>
      </c>
    </row>
    <row r="37" spans="1:22" ht="12.75" customHeight="1">
      <c r="A37" s="2" t="s">
        <v>385</v>
      </c>
      <c r="B37" s="35"/>
      <c r="C37" s="178">
        <v>176898</v>
      </c>
      <c r="D37" s="80">
        <f t="shared" si="11"/>
        <v>0.23475737252649989</v>
      </c>
      <c r="E37" s="178">
        <f>+C37*1.1</f>
        <v>194587.80000000002</v>
      </c>
      <c r="F37" s="80">
        <f t="shared" si="12"/>
        <v>0.24202462686567167</v>
      </c>
      <c r="G37" s="178">
        <f>+E37*1.035</f>
        <v>201398.37299999999</v>
      </c>
      <c r="H37" s="80">
        <f t="shared" si="13"/>
        <v>0.28771196142857142</v>
      </c>
      <c r="I37" s="178">
        <f>+G37*1.032</f>
        <v>207843.12093599999</v>
      </c>
      <c r="J37" s="80">
        <f t="shared" si="14"/>
        <v>0.28827062543134535</v>
      </c>
      <c r="K37" s="178">
        <f>+I37*1.025</f>
        <v>213039.19895939998</v>
      </c>
      <c r="L37" s="80">
        <f t="shared" si="15"/>
        <v>0.286871253463232</v>
      </c>
      <c r="M37" s="178">
        <f>+K37*1.025</f>
        <v>218365.17893338494</v>
      </c>
      <c r="N37" s="80">
        <f t="shared" si="16"/>
        <v>0.28547867456292497</v>
      </c>
      <c r="O37" s="178">
        <f>+M37*1.025</f>
        <v>223824.30840671956</v>
      </c>
      <c r="P37" s="80">
        <f t="shared" si="17"/>
        <v>0.2840928557543671</v>
      </c>
      <c r="Q37" s="178">
        <f>+O37*1.025</f>
        <v>229419.91611688753</v>
      </c>
      <c r="R37" s="80">
        <f t="shared" si="18"/>
        <v>0.2827137642215789</v>
      </c>
      <c r="S37" s="178">
        <f>+Q37*1.025</f>
        <v>235155.41401980969</v>
      </c>
      <c r="T37" s="80">
        <f t="shared" si="19"/>
        <v>0.28134136730788184</v>
      </c>
      <c r="U37" s="178">
        <f>+S37*1.025</f>
        <v>241034.29937030491</v>
      </c>
      <c r="V37" s="80">
        <f t="shared" si="20"/>
        <v>0.27997563251512508</v>
      </c>
    </row>
    <row r="38" spans="1:22" ht="12.75" customHeight="1">
      <c r="A38" s="2" t="s">
        <v>386</v>
      </c>
      <c r="B38" s="35"/>
      <c r="C38" s="178">
        <v>10413</v>
      </c>
      <c r="D38" s="80">
        <f t="shared" si="11"/>
        <v>1.3818859004163096E-2</v>
      </c>
      <c r="E38" s="178">
        <f t="shared" ref="E38:E39" si="21">+C38*1.112</f>
        <v>11579.256000000001</v>
      </c>
      <c r="F38" s="80">
        <f t="shared" si="12"/>
        <v>1.4402059701492539E-2</v>
      </c>
      <c r="G38" s="178">
        <f>+E38*1.035</f>
        <v>11984.52996</v>
      </c>
      <c r="H38" s="80">
        <f t="shared" si="13"/>
        <v>1.7120757085714287E-2</v>
      </c>
      <c r="I38" s="178">
        <f>+G38*1.032</f>
        <v>12368.034918720001</v>
      </c>
      <c r="J38" s="80">
        <f t="shared" si="14"/>
        <v>1.7154001274230238E-2</v>
      </c>
      <c r="K38" s="178">
        <f>+I38*1.025</f>
        <v>12677.235791687999</v>
      </c>
      <c r="L38" s="80">
        <f t="shared" si="15"/>
        <v>1.7070729423384456E-2</v>
      </c>
      <c r="M38" s="178">
        <f>+K38*1.025</f>
        <v>12994.166686480197</v>
      </c>
      <c r="N38" s="80">
        <f t="shared" si="16"/>
        <v>1.6987861804824336E-2</v>
      </c>
      <c r="O38" s="178">
        <f>+M38*1.025</f>
        <v>13319.020853642201</v>
      </c>
      <c r="P38" s="80">
        <f t="shared" si="17"/>
        <v>1.6905396456257226E-2</v>
      </c>
      <c r="Q38" s="178">
        <f>+O38*1.025</f>
        <v>13651.996374983255</v>
      </c>
      <c r="R38" s="80">
        <f t="shared" si="18"/>
        <v>1.6823331424916169E-2</v>
      </c>
      <c r="S38" s="178">
        <f>+Q38*1.025</f>
        <v>13993.296284357835</v>
      </c>
      <c r="T38" s="80">
        <f t="shared" si="19"/>
        <v>1.674166476751366E-2</v>
      </c>
      <c r="U38" s="178">
        <f>+S38*1.025</f>
        <v>14343.12869146678</v>
      </c>
      <c r="V38" s="80">
        <f t="shared" si="20"/>
        <v>1.6660394550195631E-2</v>
      </c>
    </row>
    <row r="39" spans="1:22" ht="12.75" customHeight="1">
      <c r="A39" s="2" t="s">
        <v>387</v>
      </c>
      <c r="B39" s="35"/>
      <c r="C39" s="178">
        <v>0</v>
      </c>
      <c r="D39" s="80">
        <f t="shared" si="11"/>
        <v>0</v>
      </c>
      <c r="E39" s="178">
        <f t="shared" si="21"/>
        <v>0</v>
      </c>
      <c r="F39" s="80">
        <f t="shared" si="12"/>
        <v>0</v>
      </c>
      <c r="G39" s="178">
        <f>+E39*1.035</f>
        <v>0</v>
      </c>
      <c r="H39" s="80">
        <f t="shared" si="13"/>
        <v>0</v>
      </c>
      <c r="I39" s="178">
        <f>+G39*1.032</f>
        <v>0</v>
      </c>
      <c r="J39" s="80">
        <f t="shared" si="14"/>
        <v>0</v>
      </c>
      <c r="K39" s="178">
        <f>+I39*1.025</f>
        <v>0</v>
      </c>
      <c r="L39" s="80">
        <f t="shared" si="15"/>
        <v>0</v>
      </c>
      <c r="M39" s="178">
        <f>+K39*1.025</f>
        <v>0</v>
      </c>
      <c r="N39" s="80">
        <f t="shared" si="16"/>
        <v>0</v>
      </c>
      <c r="O39" s="178">
        <f>+M39*1.025</f>
        <v>0</v>
      </c>
      <c r="P39" s="80">
        <f t="shared" si="17"/>
        <v>0</v>
      </c>
      <c r="Q39" s="178">
        <f>+O39*1.025</f>
        <v>0</v>
      </c>
      <c r="R39" s="80">
        <f t="shared" si="18"/>
        <v>0</v>
      </c>
      <c r="S39" s="178">
        <f>+Q39*1.025</f>
        <v>0</v>
      </c>
      <c r="T39" s="80">
        <f t="shared" si="19"/>
        <v>0</v>
      </c>
      <c r="U39" s="178">
        <f>+S39*1.025</f>
        <v>0</v>
      </c>
      <c r="V39" s="80">
        <f t="shared" si="20"/>
        <v>0</v>
      </c>
    </row>
    <row r="40" spans="1:22" ht="12.75" customHeight="1">
      <c r="A40" s="2" t="s">
        <v>388</v>
      </c>
      <c r="B40" s="35"/>
      <c r="C40" s="178">
        <f>C36*0.124</f>
        <v>0</v>
      </c>
      <c r="D40" s="80">
        <f t="shared" si="11"/>
        <v>0</v>
      </c>
      <c r="E40" s="178">
        <f>E36*0.124</f>
        <v>0</v>
      </c>
      <c r="F40" s="80">
        <f t="shared" si="12"/>
        <v>0</v>
      </c>
      <c r="G40" s="178">
        <f>G36*0.124</f>
        <v>0</v>
      </c>
      <c r="H40" s="80">
        <f t="shared" si="13"/>
        <v>0</v>
      </c>
      <c r="I40" s="178">
        <f>I36*0.124</f>
        <v>0</v>
      </c>
      <c r="J40" s="80">
        <f t="shared" si="14"/>
        <v>0</v>
      </c>
      <c r="K40" s="178">
        <f>K36*0.124</f>
        <v>0</v>
      </c>
      <c r="L40" s="80">
        <f t="shared" si="15"/>
        <v>0</v>
      </c>
      <c r="M40" s="178">
        <f>M36*0.124</f>
        <v>0</v>
      </c>
      <c r="N40" s="80">
        <f t="shared" si="16"/>
        <v>0</v>
      </c>
      <c r="O40" s="178">
        <f>O36*0.124</f>
        <v>0</v>
      </c>
      <c r="P40" s="80">
        <f t="shared" si="17"/>
        <v>0</v>
      </c>
      <c r="Q40" s="178">
        <f>Q36*0.124</f>
        <v>0</v>
      </c>
      <c r="R40" s="80">
        <f t="shared" si="18"/>
        <v>0</v>
      </c>
      <c r="S40" s="178">
        <f>S36*0.124</f>
        <v>0</v>
      </c>
      <c r="T40" s="80">
        <f t="shared" si="19"/>
        <v>0</v>
      </c>
      <c r="U40" s="178">
        <f>U36*0.124</f>
        <v>0</v>
      </c>
      <c r="V40" s="80">
        <f t="shared" si="20"/>
        <v>0</v>
      </c>
    </row>
    <row r="41" spans="1:22" ht="12.75" customHeight="1">
      <c r="A41" s="2" t="s">
        <v>389</v>
      </c>
      <c r="B41" s="35"/>
      <c r="C41" s="178">
        <f>C37*0.124</f>
        <v>21935.351999999999</v>
      </c>
      <c r="D41" s="80">
        <f t="shared" si="11"/>
        <v>2.9109914193285985E-2</v>
      </c>
      <c r="E41" s="178">
        <f>E37*0.124</f>
        <v>24128.887200000001</v>
      </c>
      <c r="F41" s="80">
        <f t="shared" si="12"/>
        <v>3.0011053731343284E-2</v>
      </c>
      <c r="G41" s="178">
        <f>G37*0.124</f>
        <v>24973.398251999999</v>
      </c>
      <c r="H41" s="80">
        <f t="shared" si="13"/>
        <v>3.5676283217142855E-2</v>
      </c>
      <c r="I41" s="178">
        <f>I37*0.124</f>
        <v>25772.546996064</v>
      </c>
      <c r="J41" s="80">
        <f t="shared" si="14"/>
        <v>3.5745557553486823E-2</v>
      </c>
      <c r="K41" s="178">
        <f>K37*0.124</f>
        <v>26416.860670965598</v>
      </c>
      <c r="L41" s="80">
        <f t="shared" si="15"/>
        <v>3.557203542944077E-2</v>
      </c>
      <c r="M41" s="178">
        <f>M37*0.124</f>
        <v>27077.282187739733</v>
      </c>
      <c r="N41" s="80">
        <f t="shared" si="16"/>
        <v>3.5399355645802696E-2</v>
      </c>
      <c r="O41" s="178">
        <f>O37*0.124</f>
        <v>27754.214242433227</v>
      </c>
      <c r="P41" s="80">
        <f t="shared" si="17"/>
        <v>3.5227514113541525E-2</v>
      </c>
      <c r="Q41" s="178">
        <f>Q37*0.124</f>
        <v>28448.069598494054</v>
      </c>
      <c r="R41" s="80">
        <f t="shared" si="18"/>
        <v>3.5056506763475784E-2</v>
      </c>
      <c r="S41" s="178">
        <f>S37*0.124</f>
        <v>29159.271338456401</v>
      </c>
      <c r="T41" s="80">
        <f t="shared" si="19"/>
        <v>3.4886329546177347E-2</v>
      </c>
      <c r="U41" s="178">
        <f>U37*0.124</f>
        <v>29888.253121917809</v>
      </c>
      <c r="V41" s="80">
        <f t="shared" si="20"/>
        <v>3.471697843187551E-2</v>
      </c>
    </row>
    <row r="42" spans="1:22" ht="12.75" customHeight="1">
      <c r="A42" s="2" t="s">
        <v>390</v>
      </c>
      <c r="B42" s="35"/>
      <c r="C42" s="178"/>
      <c r="D42" s="80">
        <f t="shared" si="11"/>
        <v>0</v>
      </c>
      <c r="E42" s="178"/>
      <c r="F42" s="80">
        <f t="shared" si="12"/>
        <v>0</v>
      </c>
      <c r="G42" s="178"/>
      <c r="H42" s="80">
        <f t="shared" si="13"/>
        <v>0</v>
      </c>
      <c r="I42" s="178"/>
      <c r="J42" s="80">
        <f t="shared" si="14"/>
        <v>0</v>
      </c>
      <c r="K42" s="178"/>
      <c r="L42" s="80">
        <f t="shared" si="15"/>
        <v>0</v>
      </c>
      <c r="M42" s="178"/>
      <c r="N42" s="80">
        <f t="shared" si="16"/>
        <v>0</v>
      </c>
      <c r="O42" s="178"/>
      <c r="P42" s="80">
        <f t="shared" si="17"/>
        <v>0</v>
      </c>
      <c r="Q42" s="178"/>
      <c r="R42" s="80">
        <f t="shared" si="18"/>
        <v>0</v>
      </c>
      <c r="S42" s="178"/>
      <c r="T42" s="80">
        <f t="shared" si="19"/>
        <v>0</v>
      </c>
      <c r="U42" s="178"/>
      <c r="V42" s="80">
        <f t="shared" si="20"/>
        <v>0</v>
      </c>
    </row>
    <row r="43" spans="1:22" ht="12.75" customHeight="1">
      <c r="A43" s="2" t="s">
        <v>391</v>
      </c>
      <c r="B43" s="35"/>
      <c r="C43" s="178"/>
      <c r="D43" s="80">
        <f t="shared" si="11"/>
        <v>0</v>
      </c>
      <c r="E43" s="178"/>
      <c r="F43" s="80">
        <f t="shared" si="12"/>
        <v>0</v>
      </c>
      <c r="G43" s="178"/>
      <c r="H43" s="80">
        <f t="shared" si="13"/>
        <v>0</v>
      </c>
      <c r="I43" s="178"/>
      <c r="J43" s="80">
        <f t="shared" si="14"/>
        <v>0</v>
      </c>
      <c r="K43" s="178"/>
      <c r="L43" s="80">
        <f t="shared" si="15"/>
        <v>0</v>
      </c>
      <c r="M43" s="178"/>
      <c r="N43" s="80">
        <f t="shared" si="16"/>
        <v>0</v>
      </c>
      <c r="O43" s="178"/>
      <c r="P43" s="80">
        <f t="shared" si="17"/>
        <v>0</v>
      </c>
      <c r="Q43" s="178"/>
      <c r="R43" s="80">
        <f t="shared" si="18"/>
        <v>0</v>
      </c>
      <c r="S43" s="178"/>
      <c r="T43" s="80">
        <f t="shared" si="19"/>
        <v>0</v>
      </c>
      <c r="U43" s="178"/>
      <c r="V43" s="80">
        <f t="shared" si="20"/>
        <v>0</v>
      </c>
    </row>
    <row r="44" spans="1:22" ht="12.75" customHeight="1">
      <c r="A44" s="2" t="s">
        <v>392</v>
      </c>
      <c r="B44" s="35"/>
      <c r="C44" s="178"/>
      <c r="D44" s="80">
        <f t="shared" si="11"/>
        <v>0</v>
      </c>
      <c r="E44" s="178"/>
      <c r="F44" s="80">
        <f t="shared" si="12"/>
        <v>0</v>
      </c>
      <c r="G44" s="178"/>
      <c r="H44" s="80">
        <f t="shared" si="13"/>
        <v>0</v>
      </c>
      <c r="I44" s="178"/>
      <c r="J44" s="80">
        <f t="shared" si="14"/>
        <v>0</v>
      </c>
      <c r="K44" s="178"/>
      <c r="L44" s="80">
        <f t="shared" si="15"/>
        <v>0</v>
      </c>
      <c r="M44" s="178"/>
      <c r="N44" s="80">
        <f t="shared" si="16"/>
        <v>0</v>
      </c>
      <c r="O44" s="178"/>
      <c r="P44" s="80">
        <f t="shared" si="17"/>
        <v>0</v>
      </c>
      <c r="Q44" s="178"/>
      <c r="R44" s="80">
        <f t="shared" si="18"/>
        <v>0</v>
      </c>
      <c r="S44" s="178"/>
      <c r="T44" s="80">
        <f t="shared" si="19"/>
        <v>0</v>
      </c>
      <c r="U44" s="178"/>
      <c r="V44" s="80">
        <f t="shared" si="20"/>
        <v>0</v>
      </c>
    </row>
    <row r="45" spans="1:22" ht="12.75" customHeight="1">
      <c r="A45" s="2" t="s">
        <v>393</v>
      </c>
      <c r="B45" s="35"/>
      <c r="C45" s="181">
        <f>SUM(C36:C39)*0.094</f>
        <v>17607.234</v>
      </c>
      <c r="D45" s="80">
        <f t="shared" si="11"/>
        <v>2.3366165763882323E-2</v>
      </c>
      <c r="E45" s="181">
        <f>SUM(E36:E39)*0.094</f>
        <v>19379.703264</v>
      </c>
      <c r="F45" s="80">
        <f t="shared" si="12"/>
        <v>2.4104108537313432E-2</v>
      </c>
      <c r="G45" s="181">
        <f>SUM(G36:G39)*0.094</f>
        <v>20057.992878239998</v>
      </c>
      <c r="H45" s="80">
        <f t="shared" si="13"/>
        <v>2.8654275540342854E-2</v>
      </c>
      <c r="I45" s="181">
        <f>SUM(I36:I39)*0.094</f>
        <v>20699.84865034368</v>
      </c>
      <c r="J45" s="80">
        <f t="shared" si="14"/>
        <v>2.8709914910324104E-2</v>
      </c>
      <c r="K45" s="181">
        <f>SUM(K36:K39)*0.094</f>
        <v>21217.34486660227</v>
      </c>
      <c r="L45" s="80">
        <f t="shared" si="15"/>
        <v>2.8570546391341947E-2</v>
      </c>
      <c r="M45" s="181">
        <f>SUM(M36:M39)*0.094</f>
        <v>21747.778488267322</v>
      </c>
      <c r="N45" s="80">
        <f t="shared" si="16"/>
        <v>2.8431854418568436E-2</v>
      </c>
      <c r="O45" s="181">
        <f>SUM(O36:O39)*0.094</f>
        <v>22291.472950474006</v>
      </c>
      <c r="P45" s="80">
        <f t="shared" si="17"/>
        <v>2.8293835707798688E-2</v>
      </c>
      <c r="Q45" s="181">
        <f>SUM(Q36:Q39)*0.094</f>
        <v>22848.759774235852</v>
      </c>
      <c r="R45" s="80">
        <f t="shared" si="18"/>
        <v>2.8156486990770533E-2</v>
      </c>
      <c r="S45" s="181">
        <f>SUM(S36:S39)*0.094</f>
        <v>23419.978768591747</v>
      </c>
      <c r="T45" s="80">
        <f t="shared" si="19"/>
        <v>2.8019805015087176E-2</v>
      </c>
      <c r="U45" s="181">
        <f>SUM(U36:U39)*0.094</f>
        <v>24005.478237806539</v>
      </c>
      <c r="V45" s="80">
        <f t="shared" si="20"/>
        <v>2.7883786544140147E-2</v>
      </c>
    </row>
    <row r="46" spans="1:22" ht="12.75" customHeight="1">
      <c r="A46" s="1" t="s">
        <v>394</v>
      </c>
      <c r="B46" s="53"/>
      <c r="C46" s="82">
        <f>SUM(C36:C45)</f>
        <v>226853.58600000001</v>
      </c>
      <c r="D46" s="83">
        <f t="shared" si="11"/>
        <v>0.30105231148783129</v>
      </c>
      <c r="E46" s="82">
        <f>SUM(E36:E45)</f>
        <v>249675.64646400002</v>
      </c>
      <c r="F46" s="83">
        <f t="shared" si="12"/>
        <v>0.31054184883582092</v>
      </c>
      <c r="G46" s="82">
        <f>SUM(G36:G45)</f>
        <v>258414.29409023997</v>
      </c>
      <c r="H46" s="83">
        <f t="shared" si="13"/>
        <v>0.3691632772717714</v>
      </c>
      <c r="I46" s="82">
        <f>SUM(I36:I45)</f>
        <v>266683.55150112766</v>
      </c>
      <c r="J46" s="83">
        <f t="shared" si="14"/>
        <v>0.36988009916938647</v>
      </c>
      <c r="K46" s="82">
        <f>SUM(K36:K45)</f>
        <v>273350.64028865582</v>
      </c>
      <c r="L46" s="83">
        <f t="shared" si="15"/>
        <v>0.36808456470739914</v>
      </c>
      <c r="M46" s="82">
        <f>SUM(M36:M45)</f>
        <v>280184.40629587218</v>
      </c>
      <c r="N46" s="83">
        <f t="shared" si="16"/>
        <v>0.36629774643212043</v>
      </c>
      <c r="O46" s="82">
        <f>SUM(O36:O45)</f>
        <v>287189.016453269</v>
      </c>
      <c r="P46" s="83">
        <f t="shared" si="17"/>
        <v>0.36451960203196454</v>
      </c>
      <c r="Q46" s="82">
        <f>SUM(Q36:Q45)</f>
        <v>294368.74186460068</v>
      </c>
      <c r="R46" s="83">
        <f t="shared" si="18"/>
        <v>0.36275008940074138</v>
      </c>
      <c r="S46" s="82">
        <f>SUM(S36:S45)</f>
        <v>301727.96041121572</v>
      </c>
      <c r="T46" s="83">
        <f t="shared" si="19"/>
        <v>0.36098916663666009</v>
      </c>
      <c r="U46" s="82">
        <f>SUM(U36:U45)</f>
        <v>309271.15942149604</v>
      </c>
      <c r="V46" s="83">
        <f t="shared" si="20"/>
        <v>0.35923679204133635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366</v>
      </c>
      <c r="E50" s="86" t="str">
        <f>E6</f>
        <v>FY 2019-20</v>
      </c>
      <c r="F50" s="86" t="s">
        <v>366</v>
      </c>
      <c r="G50" s="86" t="str">
        <f>G6</f>
        <v>FY 2020-21</v>
      </c>
      <c r="H50" s="86" t="s">
        <v>366</v>
      </c>
      <c r="I50" s="86" t="str">
        <f>I6</f>
        <v>FY 2021-22</v>
      </c>
      <c r="J50" s="86" t="s">
        <v>366</v>
      </c>
      <c r="K50" s="86" t="str">
        <f>K6</f>
        <v>FY 2022-23</v>
      </c>
      <c r="L50" s="86" t="s">
        <v>366</v>
      </c>
      <c r="M50" s="86" t="str">
        <f>M6</f>
        <v>FY 2023-24</v>
      </c>
      <c r="N50" s="86" t="s">
        <v>366</v>
      </c>
      <c r="O50" s="86" t="str">
        <f>O6</f>
        <v>FY 2024-25</v>
      </c>
      <c r="P50" s="86" t="s">
        <v>366</v>
      </c>
      <c r="Q50" s="86" t="str">
        <f>Q6</f>
        <v>FY 2025-26</v>
      </c>
      <c r="R50" s="86" t="s">
        <v>366</v>
      </c>
      <c r="S50" s="86" t="str">
        <f>S6</f>
        <v>FY 2026-27</v>
      </c>
      <c r="T50" s="86" t="s">
        <v>366</v>
      </c>
      <c r="U50" s="86" t="str">
        <f>U6</f>
        <v>FY 2027-28</v>
      </c>
      <c r="V50" s="86" t="s">
        <v>366</v>
      </c>
    </row>
    <row r="51" spans="1:24" ht="12.75" customHeight="1">
      <c r="A51" s="1" t="s">
        <v>395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396</v>
      </c>
      <c r="B52" s="35"/>
      <c r="C52" s="178">
        <v>0</v>
      </c>
      <c r="D52" s="80">
        <f t="shared" ref="D52:D104" si="22">IFERROR(C52/C$28,0)</f>
        <v>0</v>
      </c>
      <c r="E52" s="178">
        <v>0</v>
      </c>
      <c r="F52" s="80">
        <f t="shared" ref="F52:F104" si="23">IFERROR(E52/E$28,0)</f>
        <v>0</v>
      </c>
      <c r="G52" s="178">
        <v>0</v>
      </c>
      <c r="H52" s="80">
        <f t="shared" ref="H52:H104" si="24">IFERROR(G52/G$28,0)</f>
        <v>0</v>
      </c>
      <c r="I52" s="178">
        <v>0</v>
      </c>
      <c r="J52" s="80">
        <f t="shared" ref="J52:J104" si="25">IFERROR(I52/I$28,0)</f>
        <v>0</v>
      </c>
      <c r="K52" s="178">
        <v>0</v>
      </c>
      <c r="L52" s="80">
        <f t="shared" ref="L52:L104" si="26">IFERROR(K52/K$28,0)</f>
        <v>0</v>
      </c>
      <c r="M52" s="178">
        <v>0</v>
      </c>
      <c r="N52" s="80">
        <f t="shared" ref="N52:N104" si="27">IFERROR(M52/M$28,0)</f>
        <v>0</v>
      </c>
      <c r="O52" s="178">
        <v>0</v>
      </c>
      <c r="P52" s="80">
        <f t="shared" ref="P52:P104" si="28">IFERROR(O52/O$28,0)</f>
        <v>0</v>
      </c>
      <c r="Q52" s="178">
        <v>0</v>
      </c>
      <c r="R52" s="80">
        <f t="shared" ref="R52:R104" si="29">IFERROR(Q52/Q$28,0)</f>
        <v>0</v>
      </c>
      <c r="S52" s="178">
        <v>0</v>
      </c>
      <c r="T52" s="80">
        <f t="shared" ref="T52:T104" si="30">IFERROR(S52/S$28,0)</f>
        <v>0</v>
      </c>
      <c r="U52" s="178">
        <v>0</v>
      </c>
      <c r="V52" s="80">
        <f t="shared" ref="V52:V105" si="31">IFERROR(U52/U$28,0)</f>
        <v>0</v>
      </c>
      <c r="X52" s="192"/>
    </row>
    <row r="53" spans="1:24" ht="12.75" customHeight="1">
      <c r="A53" s="2" t="s">
        <v>397</v>
      </c>
      <c r="B53" s="35"/>
      <c r="C53" s="178">
        <v>0</v>
      </c>
      <c r="D53" s="80">
        <f t="shared" si="22"/>
        <v>0</v>
      </c>
      <c r="E53" s="178">
        <v>0</v>
      </c>
      <c r="F53" s="80">
        <f t="shared" si="23"/>
        <v>0</v>
      </c>
      <c r="G53" s="178">
        <v>0</v>
      </c>
      <c r="H53" s="80">
        <f t="shared" si="24"/>
        <v>0</v>
      </c>
      <c r="I53" s="178">
        <v>0</v>
      </c>
      <c r="J53" s="80">
        <f t="shared" si="25"/>
        <v>0</v>
      </c>
      <c r="K53" s="178">
        <v>0</v>
      </c>
      <c r="L53" s="80">
        <f t="shared" si="26"/>
        <v>0</v>
      </c>
      <c r="M53" s="178">
        <v>0</v>
      </c>
      <c r="N53" s="80">
        <f t="shared" si="27"/>
        <v>0</v>
      </c>
      <c r="O53" s="178">
        <v>0</v>
      </c>
      <c r="P53" s="80">
        <f t="shared" si="28"/>
        <v>0</v>
      </c>
      <c r="Q53" s="178">
        <v>0</v>
      </c>
      <c r="R53" s="80">
        <f t="shared" si="29"/>
        <v>0</v>
      </c>
      <c r="S53" s="178">
        <v>0</v>
      </c>
      <c r="T53" s="80">
        <f t="shared" si="30"/>
        <v>0</v>
      </c>
      <c r="U53" s="178">
        <v>0</v>
      </c>
      <c r="V53" s="80">
        <f t="shared" si="31"/>
        <v>0</v>
      </c>
      <c r="X53" s="192"/>
    </row>
    <row r="54" spans="1:24" ht="12.75" customHeight="1">
      <c r="A54" s="2" t="s">
        <v>398</v>
      </c>
      <c r="B54" s="35"/>
      <c r="C54" s="178">
        <v>527.47480800000005</v>
      </c>
      <c r="D54" s="80">
        <f t="shared" si="22"/>
        <v>7.000000000000001E-4</v>
      </c>
      <c r="E54" s="178">
        <v>562.79999999999995</v>
      </c>
      <c r="F54" s="80">
        <f t="shared" si="23"/>
        <v>6.9999999999999999E-4</v>
      </c>
      <c r="G54" s="178">
        <v>490.00000000000006</v>
      </c>
      <c r="H54" s="80">
        <f t="shared" si="24"/>
        <v>7.000000000000001E-4</v>
      </c>
      <c r="I54" s="178">
        <v>504.70000000000005</v>
      </c>
      <c r="J54" s="80">
        <f t="shared" si="25"/>
        <v>7.000000000000001E-4</v>
      </c>
      <c r="K54" s="178">
        <v>519.84100000000001</v>
      </c>
      <c r="L54" s="80">
        <f t="shared" si="26"/>
        <v>6.9999999999999999E-4</v>
      </c>
      <c r="M54" s="178">
        <v>535.43623000000014</v>
      </c>
      <c r="N54" s="80">
        <f t="shared" si="27"/>
        <v>7.0000000000000021E-4</v>
      </c>
      <c r="O54" s="178">
        <v>551.49931690000005</v>
      </c>
      <c r="P54" s="80">
        <f t="shared" si="28"/>
        <v>7.000000000000001E-4</v>
      </c>
      <c r="Q54" s="178">
        <v>568.04429640700005</v>
      </c>
      <c r="R54" s="80">
        <f t="shared" si="29"/>
        <v>6.9999999999999999E-4</v>
      </c>
      <c r="S54" s="178">
        <v>585.08562529921005</v>
      </c>
      <c r="T54" s="80">
        <f t="shared" si="30"/>
        <v>6.9999999999999999E-4</v>
      </c>
      <c r="U54" s="178">
        <v>602.6381940581864</v>
      </c>
      <c r="V54" s="80">
        <f t="shared" si="31"/>
        <v>6.9999999999999999E-4</v>
      </c>
      <c r="X54" s="192"/>
    </row>
    <row r="55" spans="1:24" ht="12.75" customHeight="1">
      <c r="A55" s="2" t="s">
        <v>399</v>
      </c>
      <c r="B55" s="35"/>
      <c r="C55" s="178">
        <v>37676.771999999997</v>
      </c>
      <c r="D55" s="80">
        <f t="shared" si="22"/>
        <v>0.05</v>
      </c>
      <c r="E55" s="178">
        <v>40200</v>
      </c>
      <c r="F55" s="80">
        <f t="shared" si="23"/>
        <v>0.05</v>
      </c>
      <c r="G55" s="178">
        <v>35000</v>
      </c>
      <c r="H55" s="80">
        <f t="shared" si="24"/>
        <v>0.05</v>
      </c>
      <c r="I55" s="178">
        <v>36050</v>
      </c>
      <c r="J55" s="80">
        <f t="shared" si="25"/>
        <v>0.05</v>
      </c>
      <c r="K55" s="178">
        <v>37131.5</v>
      </c>
      <c r="L55" s="80">
        <f t="shared" si="26"/>
        <v>0.05</v>
      </c>
      <c r="M55" s="178">
        <v>38245.445</v>
      </c>
      <c r="N55" s="80">
        <f t="shared" si="27"/>
        <v>4.9999999999999996E-2</v>
      </c>
      <c r="O55" s="178">
        <v>39392.808350000007</v>
      </c>
      <c r="P55" s="80">
        <f t="shared" si="28"/>
        <v>5.000000000000001E-2</v>
      </c>
      <c r="Q55" s="178">
        <v>40574.592600500007</v>
      </c>
      <c r="R55" s="80">
        <f t="shared" si="29"/>
        <v>5.000000000000001E-2</v>
      </c>
      <c r="S55" s="178">
        <v>41791.830378515006</v>
      </c>
      <c r="T55" s="80">
        <f t="shared" si="30"/>
        <v>0.05</v>
      </c>
      <c r="U55" s="178">
        <v>43045.585289870462</v>
      </c>
      <c r="V55" s="80">
        <f t="shared" si="31"/>
        <v>0.05</v>
      </c>
      <c r="X55" s="192"/>
    </row>
    <row r="56" spans="1:24" ht="12.75" customHeight="1">
      <c r="A56" s="2" t="s">
        <v>400</v>
      </c>
      <c r="B56" s="35"/>
      <c r="C56" s="178">
        <v>384.30307440000001</v>
      </c>
      <c r="D56" s="80">
        <f t="shared" si="22"/>
        <v>5.1000000000000004E-4</v>
      </c>
      <c r="E56" s="178">
        <v>410.04</v>
      </c>
      <c r="F56" s="80">
        <f t="shared" si="23"/>
        <v>5.1000000000000004E-4</v>
      </c>
      <c r="G56" s="178">
        <v>357.00000000000006</v>
      </c>
      <c r="H56" s="80">
        <f t="shared" si="24"/>
        <v>5.1000000000000004E-4</v>
      </c>
      <c r="I56" s="178">
        <v>367.71000000000004</v>
      </c>
      <c r="J56" s="80">
        <f t="shared" si="25"/>
        <v>5.1000000000000004E-4</v>
      </c>
      <c r="K56" s="178">
        <v>378.74129999999997</v>
      </c>
      <c r="L56" s="80">
        <f t="shared" si="26"/>
        <v>5.0999999999999993E-4</v>
      </c>
      <c r="M56" s="178">
        <v>390.10353900000007</v>
      </c>
      <c r="N56" s="80">
        <f t="shared" si="27"/>
        <v>5.1000000000000004E-4</v>
      </c>
      <c r="O56" s="178">
        <v>401.80664517000002</v>
      </c>
      <c r="P56" s="80">
        <f t="shared" si="28"/>
        <v>5.1000000000000004E-4</v>
      </c>
      <c r="Q56" s="178">
        <v>413.86084452510005</v>
      </c>
      <c r="R56" s="80">
        <f t="shared" si="29"/>
        <v>5.1000000000000004E-4</v>
      </c>
      <c r="S56" s="178">
        <v>426.27666986085308</v>
      </c>
      <c r="T56" s="80">
        <f t="shared" si="30"/>
        <v>5.1000000000000004E-4</v>
      </c>
      <c r="U56" s="178">
        <v>439.06496995667868</v>
      </c>
      <c r="V56" s="80">
        <f t="shared" si="31"/>
        <v>5.1000000000000004E-4</v>
      </c>
      <c r="X56" s="192"/>
    </row>
    <row r="57" spans="1:24" ht="12.75" customHeight="1">
      <c r="A57" s="2" t="s">
        <v>401</v>
      </c>
      <c r="B57" s="35"/>
      <c r="C57" s="178">
        <v>0</v>
      </c>
      <c r="D57" s="80">
        <f t="shared" si="22"/>
        <v>0</v>
      </c>
      <c r="E57" s="178">
        <v>0</v>
      </c>
      <c r="F57" s="80">
        <f t="shared" si="23"/>
        <v>0</v>
      </c>
      <c r="G57" s="178">
        <v>0</v>
      </c>
      <c r="H57" s="80">
        <f t="shared" si="24"/>
        <v>0</v>
      </c>
      <c r="I57" s="178">
        <v>0</v>
      </c>
      <c r="J57" s="80">
        <f t="shared" si="25"/>
        <v>0</v>
      </c>
      <c r="K57" s="178">
        <v>0</v>
      </c>
      <c r="L57" s="80">
        <f t="shared" si="26"/>
        <v>0</v>
      </c>
      <c r="M57" s="178">
        <v>0</v>
      </c>
      <c r="N57" s="80">
        <f t="shared" si="27"/>
        <v>0</v>
      </c>
      <c r="O57" s="178">
        <v>0</v>
      </c>
      <c r="P57" s="80">
        <f t="shared" si="28"/>
        <v>0</v>
      </c>
      <c r="Q57" s="178">
        <v>0</v>
      </c>
      <c r="R57" s="80">
        <f t="shared" si="29"/>
        <v>0</v>
      </c>
      <c r="S57" s="178">
        <v>0</v>
      </c>
      <c r="T57" s="80">
        <f t="shared" si="30"/>
        <v>0</v>
      </c>
      <c r="U57" s="178">
        <v>0</v>
      </c>
      <c r="V57" s="80">
        <f t="shared" si="31"/>
        <v>0</v>
      </c>
      <c r="X57" s="192"/>
    </row>
    <row r="58" spans="1:24" ht="12.75" customHeight="1">
      <c r="A58" s="2" t="s">
        <v>402</v>
      </c>
      <c r="B58" s="35"/>
      <c r="C58" s="178">
        <v>0</v>
      </c>
      <c r="D58" s="80">
        <f t="shared" si="22"/>
        <v>0</v>
      </c>
      <c r="E58" s="178">
        <v>0</v>
      </c>
      <c r="F58" s="80">
        <f t="shared" si="23"/>
        <v>0</v>
      </c>
      <c r="G58" s="178">
        <v>0</v>
      </c>
      <c r="H58" s="80">
        <f t="shared" si="24"/>
        <v>0</v>
      </c>
      <c r="I58" s="178">
        <v>0</v>
      </c>
      <c r="J58" s="80">
        <f t="shared" si="25"/>
        <v>0</v>
      </c>
      <c r="K58" s="178">
        <v>0</v>
      </c>
      <c r="L58" s="80">
        <f t="shared" si="26"/>
        <v>0</v>
      </c>
      <c r="M58" s="178">
        <v>0</v>
      </c>
      <c r="N58" s="80">
        <f t="shared" si="27"/>
        <v>0</v>
      </c>
      <c r="O58" s="178">
        <v>0</v>
      </c>
      <c r="P58" s="80">
        <f t="shared" si="28"/>
        <v>0</v>
      </c>
      <c r="Q58" s="178">
        <v>0</v>
      </c>
      <c r="R58" s="80">
        <f t="shared" si="29"/>
        <v>0</v>
      </c>
      <c r="S58" s="178">
        <v>0</v>
      </c>
      <c r="T58" s="80">
        <f t="shared" si="30"/>
        <v>0</v>
      </c>
      <c r="U58" s="178">
        <v>0</v>
      </c>
      <c r="V58" s="80">
        <f t="shared" si="31"/>
        <v>0</v>
      </c>
      <c r="X58" s="192"/>
    </row>
    <row r="59" spans="1:24" ht="12.75" customHeight="1">
      <c r="A59" s="2" t="s">
        <v>403</v>
      </c>
      <c r="B59" s="35"/>
      <c r="C59" s="178"/>
      <c r="D59" s="80">
        <f t="shared" si="22"/>
        <v>0</v>
      </c>
      <c r="E59" s="178"/>
      <c r="F59" s="80">
        <f t="shared" si="23"/>
        <v>0</v>
      </c>
      <c r="G59" s="178"/>
      <c r="H59" s="80">
        <f t="shared" si="24"/>
        <v>0</v>
      </c>
      <c r="I59" s="178"/>
      <c r="J59" s="80">
        <f t="shared" si="25"/>
        <v>0</v>
      </c>
      <c r="K59" s="178"/>
      <c r="L59" s="80">
        <f t="shared" si="26"/>
        <v>0</v>
      </c>
      <c r="M59" s="178"/>
      <c r="N59" s="80">
        <f t="shared" si="27"/>
        <v>0</v>
      </c>
      <c r="O59" s="178"/>
      <c r="P59" s="80">
        <f t="shared" si="28"/>
        <v>0</v>
      </c>
      <c r="Q59" s="178"/>
      <c r="R59" s="80">
        <f t="shared" si="29"/>
        <v>0</v>
      </c>
      <c r="S59" s="178"/>
      <c r="T59" s="80">
        <f t="shared" si="30"/>
        <v>0</v>
      </c>
      <c r="U59" s="178"/>
      <c r="V59" s="80">
        <f t="shared" si="31"/>
        <v>0</v>
      </c>
      <c r="X59" s="192"/>
    </row>
    <row r="60" spans="1:24" ht="12.75" customHeight="1">
      <c r="A60" s="2" t="s">
        <v>404</v>
      </c>
      <c r="B60" s="35"/>
      <c r="C60" s="178">
        <v>0</v>
      </c>
      <c r="D60" s="80">
        <f t="shared" si="22"/>
        <v>0</v>
      </c>
      <c r="E60" s="178">
        <v>0</v>
      </c>
      <c r="F60" s="80">
        <f t="shared" si="23"/>
        <v>0</v>
      </c>
      <c r="G60" s="178">
        <v>0</v>
      </c>
      <c r="H60" s="80">
        <f t="shared" si="24"/>
        <v>0</v>
      </c>
      <c r="I60" s="178">
        <v>0</v>
      </c>
      <c r="J60" s="80">
        <f t="shared" si="25"/>
        <v>0</v>
      </c>
      <c r="K60" s="178">
        <v>0</v>
      </c>
      <c r="L60" s="80">
        <f t="shared" si="26"/>
        <v>0</v>
      </c>
      <c r="M60" s="178">
        <v>0</v>
      </c>
      <c r="N60" s="80">
        <f t="shared" si="27"/>
        <v>0</v>
      </c>
      <c r="O60" s="178">
        <v>0</v>
      </c>
      <c r="P60" s="80">
        <f t="shared" si="28"/>
        <v>0</v>
      </c>
      <c r="Q60" s="178">
        <v>0</v>
      </c>
      <c r="R60" s="80">
        <f t="shared" si="29"/>
        <v>0</v>
      </c>
      <c r="S60" s="178">
        <v>0</v>
      </c>
      <c r="T60" s="80">
        <f t="shared" si="30"/>
        <v>0</v>
      </c>
      <c r="U60" s="178">
        <v>0</v>
      </c>
      <c r="V60" s="80">
        <f t="shared" si="31"/>
        <v>0</v>
      </c>
      <c r="X60" s="192"/>
    </row>
    <row r="61" spans="1:24" ht="12.75" customHeight="1">
      <c r="A61" s="2" t="s">
        <v>405</v>
      </c>
      <c r="B61" s="35"/>
      <c r="C61" s="178">
        <v>0</v>
      </c>
      <c r="D61" s="80">
        <f t="shared" si="22"/>
        <v>0</v>
      </c>
      <c r="E61" s="178">
        <v>0</v>
      </c>
      <c r="F61" s="80">
        <f t="shared" si="23"/>
        <v>0</v>
      </c>
      <c r="G61" s="178">
        <v>0</v>
      </c>
      <c r="H61" s="80">
        <f t="shared" si="24"/>
        <v>0</v>
      </c>
      <c r="I61" s="178">
        <v>0</v>
      </c>
      <c r="J61" s="80">
        <f t="shared" si="25"/>
        <v>0</v>
      </c>
      <c r="K61" s="178">
        <v>0</v>
      </c>
      <c r="L61" s="80">
        <f t="shared" si="26"/>
        <v>0</v>
      </c>
      <c r="M61" s="178">
        <v>0</v>
      </c>
      <c r="N61" s="80">
        <f t="shared" si="27"/>
        <v>0</v>
      </c>
      <c r="O61" s="178">
        <v>0</v>
      </c>
      <c r="P61" s="80">
        <f t="shared" si="28"/>
        <v>0</v>
      </c>
      <c r="Q61" s="178">
        <v>0</v>
      </c>
      <c r="R61" s="80">
        <f t="shared" si="29"/>
        <v>0</v>
      </c>
      <c r="S61" s="178">
        <v>0</v>
      </c>
      <c r="T61" s="80">
        <f t="shared" si="30"/>
        <v>0</v>
      </c>
      <c r="U61" s="178">
        <v>0</v>
      </c>
      <c r="V61" s="80">
        <f t="shared" si="31"/>
        <v>0</v>
      </c>
      <c r="X61" s="192"/>
    </row>
    <row r="62" spans="1:24" ht="12.75" customHeight="1">
      <c r="A62" s="2" t="s">
        <v>406</v>
      </c>
      <c r="B62" s="35"/>
      <c r="C62" s="178">
        <v>0</v>
      </c>
      <c r="D62" s="80">
        <f t="shared" si="22"/>
        <v>0</v>
      </c>
      <c r="E62" s="178">
        <v>0</v>
      </c>
      <c r="F62" s="80">
        <f t="shared" si="23"/>
        <v>0</v>
      </c>
      <c r="G62" s="178">
        <v>0</v>
      </c>
      <c r="H62" s="80">
        <f t="shared" si="24"/>
        <v>0</v>
      </c>
      <c r="I62" s="178">
        <v>0</v>
      </c>
      <c r="J62" s="80">
        <f t="shared" si="25"/>
        <v>0</v>
      </c>
      <c r="K62" s="178">
        <v>0</v>
      </c>
      <c r="L62" s="80">
        <f t="shared" si="26"/>
        <v>0</v>
      </c>
      <c r="M62" s="178">
        <v>0</v>
      </c>
      <c r="N62" s="80">
        <f t="shared" si="27"/>
        <v>0</v>
      </c>
      <c r="O62" s="178">
        <v>0</v>
      </c>
      <c r="P62" s="80">
        <f t="shared" si="28"/>
        <v>0</v>
      </c>
      <c r="Q62" s="178">
        <v>0</v>
      </c>
      <c r="R62" s="80">
        <f t="shared" si="29"/>
        <v>0</v>
      </c>
      <c r="S62" s="178">
        <v>0</v>
      </c>
      <c r="T62" s="80">
        <f t="shared" si="30"/>
        <v>0</v>
      </c>
      <c r="U62" s="178">
        <v>0</v>
      </c>
      <c r="V62" s="80">
        <f t="shared" si="31"/>
        <v>0</v>
      </c>
      <c r="X62" s="192"/>
    </row>
    <row r="63" spans="1:24" ht="12.75" customHeight="1">
      <c r="A63" s="2" t="s">
        <v>407</v>
      </c>
      <c r="B63" s="35"/>
      <c r="C63" s="178">
        <v>9167.270913869228</v>
      </c>
      <c r="D63" s="80">
        <f t="shared" si="22"/>
        <v>1.2165679843630485E-2</v>
      </c>
      <c r="E63" s="178">
        <v>9925.6139869601375</v>
      </c>
      <c r="F63" s="80">
        <f t="shared" si="23"/>
        <v>1.2345291028557385E-2</v>
      </c>
      <c r="G63" s="178">
        <v>8550.2313826465852</v>
      </c>
      <c r="H63" s="80">
        <f t="shared" si="24"/>
        <v>1.2214616260923693E-2</v>
      </c>
      <c r="I63" s="178">
        <v>8829.3520414534978</v>
      </c>
      <c r="J63" s="80">
        <f t="shared" si="25"/>
        <v>1.224598064001872E-2</v>
      </c>
      <c r="K63" s="178">
        <v>9066.2045110001964</v>
      </c>
      <c r="L63" s="80">
        <f t="shared" si="26"/>
        <v>1.2208238976341107E-2</v>
      </c>
      <c r="M63" s="178">
        <v>9353.9339063792249</v>
      </c>
      <c r="N63" s="80">
        <f t="shared" si="27"/>
        <v>1.2228820852233807E-2</v>
      </c>
      <c r="O63" s="178">
        <v>9654.4145918595696</v>
      </c>
      <c r="P63" s="80">
        <f t="shared" si="28"/>
        <v>1.2254031885822084E-2</v>
      </c>
      <c r="Q63" s="178">
        <v>9973.2509463836013</v>
      </c>
      <c r="R63" s="80">
        <f t="shared" si="29"/>
        <v>1.2290019821740245E-2</v>
      </c>
      <c r="S63" s="178">
        <v>10301.793867901317</v>
      </c>
      <c r="T63" s="80">
        <f t="shared" si="30"/>
        <v>1.2325128828525088E-2</v>
      </c>
      <c r="U63" s="178">
        <v>10643.146450811248</v>
      </c>
      <c r="V63" s="80">
        <f t="shared" si="31"/>
        <v>1.236264576162681E-2</v>
      </c>
      <c r="X63" s="192"/>
    </row>
    <row r="64" spans="1:24" ht="12.75" customHeight="1">
      <c r="A64" s="2" t="s">
        <v>408</v>
      </c>
      <c r="B64" s="35"/>
      <c r="C64" s="178">
        <v>3616.9701119999995</v>
      </c>
      <c r="D64" s="80">
        <f t="shared" si="22"/>
        <v>4.7999999999999996E-3</v>
      </c>
      <c r="E64" s="178">
        <v>3859.2</v>
      </c>
      <c r="F64" s="80">
        <f t="shared" si="23"/>
        <v>4.7999999999999996E-3</v>
      </c>
      <c r="G64" s="178">
        <v>3360</v>
      </c>
      <c r="H64" s="80">
        <f t="shared" si="24"/>
        <v>4.7999999999999996E-3</v>
      </c>
      <c r="I64" s="178">
        <v>3460.7999999999993</v>
      </c>
      <c r="J64" s="80">
        <f t="shared" si="25"/>
        <v>4.7999999999999987E-3</v>
      </c>
      <c r="K64" s="178">
        <v>3564.6239999999998</v>
      </c>
      <c r="L64" s="80">
        <f t="shared" si="26"/>
        <v>4.7999999999999996E-3</v>
      </c>
      <c r="M64" s="178">
        <v>3671.5627199999999</v>
      </c>
      <c r="N64" s="80">
        <f t="shared" si="27"/>
        <v>4.7999999999999996E-3</v>
      </c>
      <c r="O64" s="178">
        <v>3781.7096016</v>
      </c>
      <c r="P64" s="80">
        <f t="shared" si="28"/>
        <v>4.7999999999999996E-3</v>
      </c>
      <c r="Q64" s="178">
        <v>3895.1608896479993</v>
      </c>
      <c r="R64" s="80">
        <f t="shared" si="29"/>
        <v>4.7999999999999987E-3</v>
      </c>
      <c r="S64" s="178">
        <v>4012.0157163374402</v>
      </c>
      <c r="T64" s="80">
        <f t="shared" si="30"/>
        <v>4.7999999999999996E-3</v>
      </c>
      <c r="U64" s="178">
        <v>4132.3761878275636</v>
      </c>
      <c r="V64" s="80">
        <f t="shared" si="31"/>
        <v>4.7999999999999996E-3</v>
      </c>
      <c r="X64" s="192"/>
    </row>
    <row r="65" spans="1:24" ht="12.75" customHeight="1">
      <c r="A65" s="2" t="s">
        <v>409</v>
      </c>
      <c r="B65" s="35"/>
      <c r="C65" s="178">
        <v>376.76772</v>
      </c>
      <c r="D65" s="80">
        <f t="shared" si="22"/>
        <v>5.0000000000000001E-4</v>
      </c>
      <c r="E65" s="178">
        <v>402.00000000000006</v>
      </c>
      <c r="F65" s="80">
        <f t="shared" si="23"/>
        <v>5.0000000000000012E-4</v>
      </c>
      <c r="G65" s="178">
        <v>350.00000000000006</v>
      </c>
      <c r="H65" s="80">
        <f t="shared" si="24"/>
        <v>5.0000000000000012E-4</v>
      </c>
      <c r="I65" s="178">
        <v>360.5</v>
      </c>
      <c r="J65" s="80">
        <f t="shared" si="25"/>
        <v>5.0000000000000001E-4</v>
      </c>
      <c r="K65" s="178">
        <v>371.315</v>
      </c>
      <c r="L65" s="80">
        <f t="shared" si="26"/>
        <v>5.0000000000000001E-4</v>
      </c>
      <c r="M65" s="178">
        <v>382.45445000000001</v>
      </c>
      <c r="N65" s="80">
        <f t="shared" si="27"/>
        <v>5.0000000000000001E-4</v>
      </c>
      <c r="O65" s="178">
        <v>393.92808350000001</v>
      </c>
      <c r="P65" s="80">
        <f t="shared" si="28"/>
        <v>5.0000000000000001E-4</v>
      </c>
      <c r="Q65" s="178">
        <v>405.745926005</v>
      </c>
      <c r="R65" s="80">
        <f t="shared" si="29"/>
        <v>5.0000000000000001E-4</v>
      </c>
      <c r="S65" s="178">
        <v>417.91830378515004</v>
      </c>
      <c r="T65" s="80">
        <f t="shared" si="30"/>
        <v>5.0000000000000001E-4</v>
      </c>
      <c r="U65" s="178">
        <v>430.45585289870456</v>
      </c>
      <c r="V65" s="80">
        <f t="shared" si="31"/>
        <v>5.0000000000000001E-4</v>
      </c>
      <c r="X65" s="192"/>
    </row>
    <row r="66" spans="1:24" ht="12.75" customHeight="1">
      <c r="A66" s="2" t="s">
        <v>410</v>
      </c>
      <c r="B66" s="35"/>
      <c r="C66" s="178">
        <v>2109.8992320000002</v>
      </c>
      <c r="D66" s="80">
        <f t="shared" si="22"/>
        <v>2.8000000000000004E-3</v>
      </c>
      <c r="E66" s="178">
        <v>2251.1999999999998</v>
      </c>
      <c r="F66" s="80">
        <f t="shared" si="23"/>
        <v>2.8E-3</v>
      </c>
      <c r="G66" s="178">
        <v>1960.0000000000002</v>
      </c>
      <c r="H66" s="80">
        <f t="shared" si="24"/>
        <v>2.8000000000000004E-3</v>
      </c>
      <c r="I66" s="178">
        <v>2018.8000000000002</v>
      </c>
      <c r="J66" s="80">
        <f t="shared" si="25"/>
        <v>2.8000000000000004E-3</v>
      </c>
      <c r="K66" s="178">
        <v>2079.364</v>
      </c>
      <c r="L66" s="80">
        <f t="shared" si="26"/>
        <v>2.8E-3</v>
      </c>
      <c r="M66" s="178">
        <v>2141.7449200000005</v>
      </c>
      <c r="N66" s="80">
        <f t="shared" si="27"/>
        <v>2.8000000000000008E-3</v>
      </c>
      <c r="O66" s="178">
        <v>2205.9972676000002</v>
      </c>
      <c r="P66" s="80">
        <f t="shared" si="28"/>
        <v>2.8000000000000004E-3</v>
      </c>
      <c r="Q66" s="178">
        <v>2272.1771856280002</v>
      </c>
      <c r="R66" s="80">
        <f t="shared" si="29"/>
        <v>2.8E-3</v>
      </c>
      <c r="S66" s="178">
        <v>2340.3425011968402</v>
      </c>
      <c r="T66" s="80">
        <f t="shared" si="30"/>
        <v>2.8E-3</v>
      </c>
      <c r="U66" s="178">
        <v>2410.5527762327456</v>
      </c>
      <c r="V66" s="80">
        <f t="shared" si="31"/>
        <v>2.8E-3</v>
      </c>
      <c r="X66" s="192"/>
    </row>
    <row r="67" spans="1:24" ht="12.75" customHeight="1">
      <c r="A67" s="2" t="s">
        <v>411</v>
      </c>
      <c r="B67" s="35"/>
      <c r="C67" s="178">
        <v>11303.031599999998</v>
      </c>
      <c r="D67" s="80">
        <f t="shared" si="22"/>
        <v>1.4999999999999999E-2</v>
      </c>
      <c r="E67" s="178">
        <v>12060</v>
      </c>
      <c r="F67" s="80">
        <f t="shared" si="23"/>
        <v>1.4999999999999999E-2</v>
      </c>
      <c r="G67" s="178">
        <v>10500</v>
      </c>
      <c r="H67" s="80">
        <f t="shared" si="24"/>
        <v>1.4999999999999999E-2</v>
      </c>
      <c r="I67" s="178">
        <v>10815</v>
      </c>
      <c r="J67" s="80">
        <f t="shared" si="25"/>
        <v>1.4999999999999999E-2</v>
      </c>
      <c r="K67" s="178">
        <v>11139.449999999999</v>
      </c>
      <c r="L67" s="80">
        <f t="shared" si="26"/>
        <v>1.4999999999999998E-2</v>
      </c>
      <c r="M67" s="178">
        <v>11473.6335</v>
      </c>
      <c r="N67" s="80">
        <f t="shared" si="27"/>
        <v>1.4999999999999999E-2</v>
      </c>
      <c r="O67" s="178">
        <v>11817.842504999999</v>
      </c>
      <c r="P67" s="80">
        <f t="shared" si="28"/>
        <v>1.4999999999999998E-2</v>
      </c>
      <c r="Q67" s="178">
        <v>12172.377780149998</v>
      </c>
      <c r="R67" s="80">
        <f t="shared" si="29"/>
        <v>1.4999999999999998E-2</v>
      </c>
      <c r="S67" s="178">
        <v>12537.549113554502</v>
      </c>
      <c r="T67" s="80">
        <f t="shared" si="30"/>
        <v>1.4999999999999999E-2</v>
      </c>
      <c r="U67" s="178">
        <v>12913.675586961137</v>
      </c>
      <c r="V67" s="80">
        <f t="shared" si="31"/>
        <v>1.4999999999999999E-2</v>
      </c>
      <c r="X67" s="192"/>
    </row>
    <row r="68" spans="1:24" ht="12.75" customHeight="1">
      <c r="A68" s="2" t="s">
        <v>412</v>
      </c>
      <c r="B68" s="35"/>
      <c r="C68" s="178">
        <v>1281.0102479999998</v>
      </c>
      <c r="D68" s="80">
        <f t="shared" si="22"/>
        <v>1.6999999999999999E-3</v>
      </c>
      <c r="E68" s="178">
        <v>1366.8</v>
      </c>
      <c r="F68" s="80">
        <f t="shared" si="23"/>
        <v>1.6999999999999999E-3</v>
      </c>
      <c r="G68" s="178">
        <v>1190</v>
      </c>
      <c r="H68" s="80">
        <f t="shared" si="24"/>
        <v>1.6999999999999999E-3</v>
      </c>
      <c r="I68" s="178">
        <v>1225.6999999999998</v>
      </c>
      <c r="J68" s="80">
        <f t="shared" si="25"/>
        <v>1.6999999999999997E-3</v>
      </c>
      <c r="K68" s="178">
        <v>1262.4709999999998</v>
      </c>
      <c r="L68" s="80">
        <f t="shared" si="26"/>
        <v>1.6999999999999997E-3</v>
      </c>
      <c r="M68" s="178">
        <v>1300.3451299999999</v>
      </c>
      <c r="N68" s="80">
        <f t="shared" si="27"/>
        <v>1.6999999999999999E-3</v>
      </c>
      <c r="O68" s="178">
        <v>1339.3554838999999</v>
      </c>
      <c r="P68" s="80">
        <f t="shared" si="28"/>
        <v>1.6999999999999997E-3</v>
      </c>
      <c r="Q68" s="178">
        <v>1379.536148417</v>
      </c>
      <c r="R68" s="80">
        <f t="shared" si="29"/>
        <v>1.6999999999999999E-3</v>
      </c>
      <c r="S68" s="178">
        <v>1420.92223286951</v>
      </c>
      <c r="T68" s="80">
        <f t="shared" si="30"/>
        <v>1.6999999999999999E-3</v>
      </c>
      <c r="U68" s="178">
        <v>1463.5498998555954</v>
      </c>
      <c r="V68" s="80">
        <f t="shared" si="31"/>
        <v>1.6999999999999997E-3</v>
      </c>
      <c r="X68" s="192"/>
    </row>
    <row r="69" spans="1:24" ht="12.75" customHeight="1">
      <c r="A69" s="2" t="s">
        <v>413</v>
      </c>
      <c r="B69" s="35"/>
      <c r="C69" s="178">
        <v>0</v>
      </c>
      <c r="D69" s="80">
        <f t="shared" si="22"/>
        <v>0</v>
      </c>
      <c r="E69" s="178">
        <v>0</v>
      </c>
      <c r="F69" s="80">
        <f t="shared" si="23"/>
        <v>0</v>
      </c>
      <c r="G69" s="178">
        <v>0</v>
      </c>
      <c r="H69" s="80">
        <f t="shared" si="24"/>
        <v>0</v>
      </c>
      <c r="I69" s="178">
        <v>0</v>
      </c>
      <c r="J69" s="80">
        <f t="shared" si="25"/>
        <v>0</v>
      </c>
      <c r="K69" s="178">
        <v>0</v>
      </c>
      <c r="L69" s="80">
        <f t="shared" si="26"/>
        <v>0</v>
      </c>
      <c r="M69" s="178">
        <v>0</v>
      </c>
      <c r="N69" s="80">
        <f t="shared" si="27"/>
        <v>0</v>
      </c>
      <c r="O69" s="178">
        <v>0</v>
      </c>
      <c r="P69" s="80">
        <f t="shared" si="28"/>
        <v>0</v>
      </c>
      <c r="Q69" s="178">
        <v>0</v>
      </c>
      <c r="R69" s="80">
        <f t="shared" si="29"/>
        <v>0</v>
      </c>
      <c r="S69" s="178">
        <v>0</v>
      </c>
      <c r="T69" s="80">
        <f t="shared" si="30"/>
        <v>0</v>
      </c>
      <c r="U69" s="178">
        <v>0</v>
      </c>
      <c r="V69" s="80">
        <f t="shared" si="31"/>
        <v>0</v>
      </c>
      <c r="X69" s="192"/>
    </row>
    <row r="70" spans="1:24" ht="12.75" customHeight="1">
      <c r="A70" s="2" t="s">
        <v>414</v>
      </c>
      <c r="B70" s="35"/>
      <c r="C70" s="178">
        <v>75.353544000000014</v>
      </c>
      <c r="D70" s="80">
        <f t="shared" si="22"/>
        <v>1.0000000000000003E-4</v>
      </c>
      <c r="E70" s="178">
        <v>80.400000000000006</v>
      </c>
      <c r="F70" s="80">
        <f t="shared" si="23"/>
        <v>1E-4</v>
      </c>
      <c r="G70" s="178">
        <v>70.000000000000014</v>
      </c>
      <c r="H70" s="80">
        <f t="shared" si="24"/>
        <v>1.0000000000000002E-4</v>
      </c>
      <c r="I70" s="178">
        <v>72.100000000000009</v>
      </c>
      <c r="J70" s="80">
        <f t="shared" si="25"/>
        <v>1.0000000000000002E-4</v>
      </c>
      <c r="K70" s="178">
        <v>74.262999999999991</v>
      </c>
      <c r="L70" s="80">
        <f t="shared" si="26"/>
        <v>9.9999999999999991E-5</v>
      </c>
      <c r="M70" s="178">
        <v>76.490890000000007</v>
      </c>
      <c r="N70" s="80">
        <f t="shared" si="27"/>
        <v>1E-4</v>
      </c>
      <c r="O70" s="178">
        <v>78.785616700000006</v>
      </c>
      <c r="P70" s="80">
        <f t="shared" si="28"/>
        <v>1E-4</v>
      </c>
      <c r="Q70" s="178">
        <v>81.149185201000009</v>
      </c>
      <c r="R70" s="80">
        <f t="shared" si="29"/>
        <v>1E-4</v>
      </c>
      <c r="S70" s="178">
        <v>83.583660757030017</v>
      </c>
      <c r="T70" s="80">
        <f t="shared" si="30"/>
        <v>1E-4</v>
      </c>
      <c r="U70" s="178">
        <v>86.091170579740918</v>
      </c>
      <c r="V70" s="80">
        <f t="shared" si="31"/>
        <v>1E-4</v>
      </c>
      <c r="X70" s="192"/>
    </row>
    <row r="71" spans="1:24" ht="12.75" customHeight="1">
      <c r="A71" s="2" t="s">
        <v>415</v>
      </c>
      <c r="B71" s="35"/>
      <c r="C71" s="178">
        <v>0</v>
      </c>
      <c r="D71" s="80">
        <f t="shared" si="22"/>
        <v>0</v>
      </c>
      <c r="E71" s="178">
        <v>0</v>
      </c>
      <c r="F71" s="80">
        <f t="shared" si="23"/>
        <v>0</v>
      </c>
      <c r="G71" s="178">
        <v>0</v>
      </c>
      <c r="H71" s="80">
        <f t="shared" si="24"/>
        <v>0</v>
      </c>
      <c r="I71" s="178">
        <v>0</v>
      </c>
      <c r="J71" s="80">
        <f t="shared" si="25"/>
        <v>0</v>
      </c>
      <c r="K71" s="178">
        <v>0</v>
      </c>
      <c r="L71" s="80">
        <f t="shared" si="26"/>
        <v>0</v>
      </c>
      <c r="M71" s="178">
        <v>0</v>
      </c>
      <c r="N71" s="80">
        <f t="shared" si="27"/>
        <v>0</v>
      </c>
      <c r="O71" s="178">
        <v>0</v>
      </c>
      <c r="P71" s="80">
        <f t="shared" si="28"/>
        <v>0</v>
      </c>
      <c r="Q71" s="178">
        <v>0</v>
      </c>
      <c r="R71" s="80">
        <f t="shared" si="29"/>
        <v>0</v>
      </c>
      <c r="S71" s="178">
        <v>0</v>
      </c>
      <c r="T71" s="80">
        <f t="shared" si="30"/>
        <v>0</v>
      </c>
      <c r="U71" s="178">
        <v>0</v>
      </c>
      <c r="V71" s="80">
        <f t="shared" si="31"/>
        <v>0</v>
      </c>
      <c r="X71" s="192"/>
    </row>
    <row r="72" spans="1:24" ht="12.75" customHeight="1">
      <c r="A72" s="2" t="s">
        <v>416</v>
      </c>
      <c r="B72" s="35"/>
      <c r="C72" s="178">
        <v>0</v>
      </c>
      <c r="D72" s="80">
        <f t="shared" si="22"/>
        <v>0</v>
      </c>
      <c r="E72" s="178">
        <v>0</v>
      </c>
      <c r="F72" s="80">
        <f t="shared" si="23"/>
        <v>0</v>
      </c>
      <c r="G72" s="178">
        <v>0</v>
      </c>
      <c r="H72" s="80">
        <f t="shared" si="24"/>
        <v>0</v>
      </c>
      <c r="I72" s="178">
        <v>0</v>
      </c>
      <c r="J72" s="80">
        <f t="shared" si="25"/>
        <v>0</v>
      </c>
      <c r="K72" s="178">
        <v>0</v>
      </c>
      <c r="L72" s="80">
        <f t="shared" si="26"/>
        <v>0</v>
      </c>
      <c r="M72" s="178">
        <v>0</v>
      </c>
      <c r="N72" s="80">
        <f t="shared" si="27"/>
        <v>0</v>
      </c>
      <c r="O72" s="178">
        <v>0</v>
      </c>
      <c r="P72" s="80">
        <f t="shared" si="28"/>
        <v>0</v>
      </c>
      <c r="Q72" s="178">
        <v>0</v>
      </c>
      <c r="R72" s="80">
        <f t="shared" si="29"/>
        <v>0</v>
      </c>
      <c r="S72" s="178">
        <v>0</v>
      </c>
      <c r="T72" s="80">
        <f t="shared" si="30"/>
        <v>0</v>
      </c>
      <c r="U72" s="178">
        <v>0</v>
      </c>
      <c r="V72" s="80">
        <f t="shared" si="31"/>
        <v>0</v>
      </c>
      <c r="X72" s="192"/>
    </row>
    <row r="73" spans="1:24" ht="12.75" customHeight="1">
      <c r="A73" s="2" t="s">
        <v>417</v>
      </c>
      <c r="B73" s="35"/>
      <c r="C73" s="178">
        <v>0</v>
      </c>
      <c r="D73" s="80">
        <f t="shared" si="22"/>
        <v>0</v>
      </c>
      <c r="E73" s="178">
        <v>0</v>
      </c>
      <c r="F73" s="80">
        <f t="shared" si="23"/>
        <v>0</v>
      </c>
      <c r="G73" s="178">
        <v>0</v>
      </c>
      <c r="H73" s="80">
        <f t="shared" si="24"/>
        <v>0</v>
      </c>
      <c r="I73" s="178">
        <v>0</v>
      </c>
      <c r="J73" s="80">
        <f t="shared" si="25"/>
        <v>0</v>
      </c>
      <c r="K73" s="178">
        <v>0</v>
      </c>
      <c r="L73" s="80">
        <f t="shared" si="26"/>
        <v>0</v>
      </c>
      <c r="M73" s="178">
        <v>0</v>
      </c>
      <c r="N73" s="80">
        <f t="shared" si="27"/>
        <v>0</v>
      </c>
      <c r="O73" s="178">
        <v>0</v>
      </c>
      <c r="P73" s="80">
        <f t="shared" si="28"/>
        <v>0</v>
      </c>
      <c r="Q73" s="178">
        <v>0</v>
      </c>
      <c r="R73" s="80">
        <f t="shared" si="29"/>
        <v>0</v>
      </c>
      <c r="S73" s="178">
        <v>0</v>
      </c>
      <c r="T73" s="80">
        <f t="shared" si="30"/>
        <v>0</v>
      </c>
      <c r="U73" s="178">
        <v>0</v>
      </c>
      <c r="V73" s="80">
        <f t="shared" si="31"/>
        <v>0</v>
      </c>
      <c r="X73" s="192"/>
    </row>
    <row r="74" spans="1:24" ht="12.75" customHeight="1">
      <c r="A74" s="2" t="s">
        <v>418</v>
      </c>
      <c r="B74" s="35"/>
      <c r="C74" s="178">
        <v>0</v>
      </c>
      <c r="D74" s="80">
        <f t="shared" si="22"/>
        <v>0</v>
      </c>
      <c r="E74" s="178">
        <v>0</v>
      </c>
      <c r="F74" s="80">
        <f t="shared" si="23"/>
        <v>0</v>
      </c>
      <c r="G74" s="178">
        <v>0</v>
      </c>
      <c r="H74" s="80">
        <f t="shared" si="24"/>
        <v>0</v>
      </c>
      <c r="I74" s="178">
        <v>0</v>
      </c>
      <c r="J74" s="80">
        <f t="shared" si="25"/>
        <v>0</v>
      </c>
      <c r="K74" s="178">
        <v>0</v>
      </c>
      <c r="L74" s="80">
        <f t="shared" si="26"/>
        <v>0</v>
      </c>
      <c r="M74" s="178">
        <v>0</v>
      </c>
      <c r="N74" s="80">
        <f t="shared" si="27"/>
        <v>0</v>
      </c>
      <c r="O74" s="178">
        <v>0</v>
      </c>
      <c r="P74" s="80">
        <f t="shared" si="28"/>
        <v>0</v>
      </c>
      <c r="Q74" s="178">
        <v>0</v>
      </c>
      <c r="R74" s="80">
        <f t="shared" si="29"/>
        <v>0</v>
      </c>
      <c r="S74" s="178">
        <v>0</v>
      </c>
      <c r="T74" s="80">
        <f t="shared" si="30"/>
        <v>0</v>
      </c>
      <c r="U74" s="178">
        <v>0</v>
      </c>
      <c r="V74" s="80">
        <f t="shared" si="31"/>
        <v>0</v>
      </c>
      <c r="X74" s="192"/>
    </row>
    <row r="75" spans="1:24" ht="12.75" customHeight="1">
      <c r="A75" s="2" t="s">
        <v>419</v>
      </c>
      <c r="B75" s="35"/>
      <c r="C75" s="178">
        <v>3390.9094799999998</v>
      </c>
      <c r="D75" s="80">
        <f t="shared" si="22"/>
        <v>4.4999999999999997E-3</v>
      </c>
      <c r="E75" s="178">
        <v>3618</v>
      </c>
      <c r="F75" s="80">
        <f t="shared" si="23"/>
        <v>4.4999999999999997E-3</v>
      </c>
      <c r="G75" s="178">
        <v>3150</v>
      </c>
      <c r="H75" s="80">
        <f t="shared" si="24"/>
        <v>4.4999999999999997E-3</v>
      </c>
      <c r="I75" s="178">
        <v>3244.5</v>
      </c>
      <c r="J75" s="80">
        <f t="shared" si="25"/>
        <v>4.4999999999999997E-3</v>
      </c>
      <c r="K75" s="178">
        <v>3341.8349999999996</v>
      </c>
      <c r="L75" s="80">
        <f t="shared" si="26"/>
        <v>4.4999999999999997E-3</v>
      </c>
      <c r="M75" s="178">
        <v>3442.0900500000002</v>
      </c>
      <c r="N75" s="80">
        <f t="shared" si="27"/>
        <v>4.5000000000000005E-3</v>
      </c>
      <c r="O75" s="178">
        <v>3545.3527514999996</v>
      </c>
      <c r="P75" s="80">
        <f t="shared" si="28"/>
        <v>4.4999999999999997E-3</v>
      </c>
      <c r="Q75" s="178">
        <v>3651.713334045</v>
      </c>
      <c r="R75" s="80">
        <f t="shared" si="29"/>
        <v>4.4999999999999997E-3</v>
      </c>
      <c r="S75" s="178">
        <v>3761.2647340663502</v>
      </c>
      <c r="T75" s="80">
        <f t="shared" si="30"/>
        <v>4.4999999999999997E-3</v>
      </c>
      <c r="U75" s="178">
        <v>3874.102676088341</v>
      </c>
      <c r="V75" s="80">
        <f t="shared" si="31"/>
        <v>4.4999999999999997E-3</v>
      </c>
      <c r="X75" s="192"/>
    </row>
    <row r="76" spans="1:24" ht="12.75" customHeight="1">
      <c r="A76" s="2" t="s">
        <v>420</v>
      </c>
      <c r="B76" s="35"/>
      <c r="C76" s="178">
        <v>301.41417600000005</v>
      </c>
      <c r="D76" s="80">
        <f t="shared" si="22"/>
        <v>4.0000000000000013E-4</v>
      </c>
      <c r="E76" s="178">
        <v>321.60000000000002</v>
      </c>
      <c r="F76" s="80">
        <f t="shared" si="23"/>
        <v>4.0000000000000002E-4</v>
      </c>
      <c r="G76" s="178">
        <v>280.00000000000006</v>
      </c>
      <c r="H76" s="80">
        <f t="shared" si="24"/>
        <v>4.0000000000000007E-4</v>
      </c>
      <c r="I76" s="178">
        <v>288.40000000000003</v>
      </c>
      <c r="J76" s="80">
        <f t="shared" si="25"/>
        <v>4.0000000000000007E-4</v>
      </c>
      <c r="K76" s="178">
        <v>297.05199999999996</v>
      </c>
      <c r="L76" s="80">
        <f t="shared" si="26"/>
        <v>3.9999999999999996E-4</v>
      </c>
      <c r="M76" s="178">
        <v>305.96356000000003</v>
      </c>
      <c r="N76" s="80">
        <f t="shared" si="27"/>
        <v>4.0000000000000002E-4</v>
      </c>
      <c r="O76" s="178">
        <v>315.14246680000002</v>
      </c>
      <c r="P76" s="80">
        <f t="shared" si="28"/>
        <v>4.0000000000000002E-4</v>
      </c>
      <c r="Q76" s="178">
        <v>324.59674080400004</v>
      </c>
      <c r="R76" s="80">
        <f t="shared" si="29"/>
        <v>4.0000000000000002E-4</v>
      </c>
      <c r="S76" s="178">
        <v>334.33464302812007</v>
      </c>
      <c r="T76" s="80">
        <f t="shared" si="30"/>
        <v>4.0000000000000002E-4</v>
      </c>
      <c r="U76" s="178">
        <v>344.36468231896367</v>
      </c>
      <c r="V76" s="80">
        <f t="shared" si="31"/>
        <v>4.0000000000000002E-4</v>
      </c>
      <c r="X76" s="192"/>
    </row>
    <row r="77" spans="1:24" ht="12.75" customHeight="1">
      <c r="A77" s="2" t="s">
        <v>421</v>
      </c>
      <c r="B77" s="35"/>
      <c r="C77" s="178">
        <v>979.59607200000005</v>
      </c>
      <c r="D77" s="80">
        <f t="shared" si="22"/>
        <v>1.3000000000000002E-3</v>
      </c>
      <c r="E77" s="178">
        <v>1045.2</v>
      </c>
      <c r="F77" s="80">
        <f t="shared" si="23"/>
        <v>1.3000000000000002E-3</v>
      </c>
      <c r="G77" s="178">
        <v>910</v>
      </c>
      <c r="H77" s="80">
        <f t="shared" si="24"/>
        <v>1.2999999999999999E-3</v>
      </c>
      <c r="I77" s="178">
        <v>937.30000000000007</v>
      </c>
      <c r="J77" s="80">
        <f t="shared" si="25"/>
        <v>1.3000000000000002E-3</v>
      </c>
      <c r="K77" s="178">
        <v>965.41899999999987</v>
      </c>
      <c r="L77" s="80">
        <f t="shared" si="26"/>
        <v>1.2999999999999997E-3</v>
      </c>
      <c r="M77" s="178">
        <v>994.38157000000012</v>
      </c>
      <c r="N77" s="80">
        <f t="shared" si="27"/>
        <v>1.3000000000000002E-3</v>
      </c>
      <c r="O77" s="178">
        <v>1024.2130170999999</v>
      </c>
      <c r="P77" s="80">
        <f t="shared" si="28"/>
        <v>1.2999999999999999E-3</v>
      </c>
      <c r="Q77" s="178">
        <v>1054.939407613</v>
      </c>
      <c r="R77" s="80">
        <f t="shared" si="29"/>
        <v>1.2999999999999999E-3</v>
      </c>
      <c r="S77" s="178">
        <v>1086.5875898413901</v>
      </c>
      <c r="T77" s="80">
        <f t="shared" si="30"/>
        <v>1.2999999999999999E-3</v>
      </c>
      <c r="U77" s="178">
        <v>1119.1852175366319</v>
      </c>
      <c r="V77" s="80">
        <f t="shared" si="31"/>
        <v>1.2999999999999999E-3</v>
      </c>
      <c r="X77" s="192"/>
    </row>
    <row r="78" spans="1:24" ht="12.75" customHeight="1">
      <c r="A78" s="2" t="s">
        <v>422</v>
      </c>
      <c r="B78" s="35"/>
      <c r="C78" s="178">
        <v>16577.77968</v>
      </c>
      <c r="D78" s="80">
        <f t="shared" si="22"/>
        <v>2.2000000000000002E-2</v>
      </c>
      <c r="E78" s="178">
        <v>17688</v>
      </c>
      <c r="F78" s="80">
        <f t="shared" si="23"/>
        <v>2.1999999999999999E-2</v>
      </c>
      <c r="G78" s="178">
        <v>15400</v>
      </c>
      <c r="H78" s="80">
        <f t="shared" si="24"/>
        <v>2.1999999999999999E-2</v>
      </c>
      <c r="I78" s="178">
        <v>15861.999999999998</v>
      </c>
      <c r="J78" s="80">
        <f t="shared" si="25"/>
        <v>2.1999999999999999E-2</v>
      </c>
      <c r="K78" s="178">
        <v>16337.859999999999</v>
      </c>
      <c r="L78" s="80">
        <f t="shared" si="26"/>
        <v>2.1999999999999999E-2</v>
      </c>
      <c r="M78" s="178">
        <v>16827.995800000001</v>
      </c>
      <c r="N78" s="80">
        <f t="shared" si="27"/>
        <v>2.1999999999999999E-2</v>
      </c>
      <c r="O78" s="178">
        <v>17332.835673999998</v>
      </c>
      <c r="P78" s="80">
        <f t="shared" si="28"/>
        <v>2.1999999999999999E-2</v>
      </c>
      <c r="Q78" s="178">
        <v>17852.82074422</v>
      </c>
      <c r="R78" s="80">
        <f t="shared" si="29"/>
        <v>2.1999999999999999E-2</v>
      </c>
      <c r="S78" s="178">
        <v>18388.405366546602</v>
      </c>
      <c r="T78" s="80">
        <f t="shared" si="30"/>
        <v>2.1999999999999999E-2</v>
      </c>
      <c r="U78" s="178">
        <v>18940.057527542998</v>
      </c>
      <c r="V78" s="80">
        <f t="shared" si="31"/>
        <v>2.1999999999999995E-2</v>
      </c>
      <c r="X78" s="192"/>
    </row>
    <row r="79" spans="1:24" ht="12.75" customHeight="1">
      <c r="A79" s="2" t="s">
        <v>423</v>
      </c>
      <c r="B79" s="35"/>
      <c r="C79" s="178">
        <v>0</v>
      </c>
      <c r="D79" s="80">
        <f t="shared" si="22"/>
        <v>0</v>
      </c>
      <c r="E79" s="178">
        <v>0</v>
      </c>
      <c r="F79" s="80">
        <f t="shared" si="23"/>
        <v>0</v>
      </c>
      <c r="G79" s="178">
        <v>0</v>
      </c>
      <c r="H79" s="80">
        <f t="shared" si="24"/>
        <v>0</v>
      </c>
      <c r="I79" s="178">
        <v>0</v>
      </c>
      <c r="J79" s="80">
        <f t="shared" si="25"/>
        <v>0</v>
      </c>
      <c r="K79" s="178">
        <v>0</v>
      </c>
      <c r="L79" s="80">
        <f t="shared" si="26"/>
        <v>0</v>
      </c>
      <c r="M79" s="178">
        <v>0</v>
      </c>
      <c r="N79" s="80">
        <f t="shared" si="27"/>
        <v>0</v>
      </c>
      <c r="O79" s="178">
        <v>0</v>
      </c>
      <c r="P79" s="80">
        <f t="shared" si="28"/>
        <v>0</v>
      </c>
      <c r="Q79" s="178">
        <v>0</v>
      </c>
      <c r="R79" s="80">
        <f t="shared" si="29"/>
        <v>0</v>
      </c>
      <c r="S79" s="178">
        <v>0</v>
      </c>
      <c r="T79" s="80">
        <f t="shared" si="30"/>
        <v>0</v>
      </c>
      <c r="U79" s="178">
        <v>0</v>
      </c>
      <c r="V79" s="80">
        <f t="shared" si="31"/>
        <v>0</v>
      </c>
      <c r="X79" s="192"/>
    </row>
    <row r="80" spans="1:24" ht="12.75" customHeight="1">
      <c r="A80" s="2" t="s">
        <v>424</v>
      </c>
      <c r="B80" s="35"/>
      <c r="C80" s="178">
        <v>0</v>
      </c>
      <c r="D80" s="80">
        <f t="shared" si="22"/>
        <v>0</v>
      </c>
      <c r="E80" s="178">
        <v>0</v>
      </c>
      <c r="F80" s="80">
        <f t="shared" si="23"/>
        <v>0</v>
      </c>
      <c r="G80" s="178">
        <v>0</v>
      </c>
      <c r="H80" s="80">
        <f t="shared" si="24"/>
        <v>0</v>
      </c>
      <c r="I80" s="178">
        <v>0</v>
      </c>
      <c r="J80" s="80">
        <f t="shared" si="25"/>
        <v>0</v>
      </c>
      <c r="K80" s="178">
        <v>0</v>
      </c>
      <c r="L80" s="80">
        <f t="shared" si="26"/>
        <v>0</v>
      </c>
      <c r="M80" s="178">
        <v>0</v>
      </c>
      <c r="N80" s="80">
        <f t="shared" si="27"/>
        <v>0</v>
      </c>
      <c r="O80" s="178">
        <v>0</v>
      </c>
      <c r="P80" s="80">
        <f t="shared" si="28"/>
        <v>0</v>
      </c>
      <c r="Q80" s="178">
        <v>0</v>
      </c>
      <c r="R80" s="80">
        <f t="shared" si="29"/>
        <v>0</v>
      </c>
      <c r="S80" s="178">
        <v>0</v>
      </c>
      <c r="T80" s="80">
        <f t="shared" si="30"/>
        <v>0</v>
      </c>
      <c r="U80" s="178">
        <v>0</v>
      </c>
      <c r="V80" s="80">
        <f t="shared" si="31"/>
        <v>0</v>
      </c>
      <c r="X80" s="192"/>
    </row>
    <row r="81" spans="1:24" ht="12.75" customHeight="1">
      <c r="A81" s="2" t="s">
        <v>425</v>
      </c>
      <c r="B81" s="35"/>
      <c r="C81" s="178">
        <v>0</v>
      </c>
      <c r="D81" s="80">
        <f t="shared" si="22"/>
        <v>0</v>
      </c>
      <c r="E81" s="178">
        <v>0</v>
      </c>
      <c r="F81" s="80">
        <f t="shared" si="23"/>
        <v>0</v>
      </c>
      <c r="G81" s="178">
        <v>0</v>
      </c>
      <c r="H81" s="80">
        <f t="shared" si="24"/>
        <v>0</v>
      </c>
      <c r="I81" s="178">
        <v>0</v>
      </c>
      <c r="J81" s="80">
        <f t="shared" si="25"/>
        <v>0</v>
      </c>
      <c r="K81" s="178">
        <v>0</v>
      </c>
      <c r="L81" s="80">
        <f t="shared" si="26"/>
        <v>0</v>
      </c>
      <c r="M81" s="178">
        <v>0</v>
      </c>
      <c r="N81" s="80">
        <f t="shared" si="27"/>
        <v>0</v>
      </c>
      <c r="O81" s="178">
        <v>0</v>
      </c>
      <c r="P81" s="80">
        <f t="shared" si="28"/>
        <v>0</v>
      </c>
      <c r="Q81" s="178">
        <v>0</v>
      </c>
      <c r="R81" s="80">
        <f t="shared" si="29"/>
        <v>0</v>
      </c>
      <c r="S81" s="178">
        <v>0</v>
      </c>
      <c r="T81" s="80">
        <f t="shared" si="30"/>
        <v>0</v>
      </c>
      <c r="U81" s="178">
        <v>0</v>
      </c>
      <c r="V81" s="80">
        <f t="shared" si="31"/>
        <v>0</v>
      </c>
      <c r="X81" s="192"/>
    </row>
    <row r="82" spans="1:24" ht="12.75" customHeight="1">
      <c r="A82" s="2" t="s">
        <v>426</v>
      </c>
      <c r="B82" s="35"/>
      <c r="C82" s="178">
        <v>0</v>
      </c>
      <c r="D82" s="80">
        <f t="shared" si="22"/>
        <v>0</v>
      </c>
      <c r="E82" s="178">
        <v>0</v>
      </c>
      <c r="F82" s="80">
        <f t="shared" si="23"/>
        <v>0</v>
      </c>
      <c r="G82" s="178">
        <v>0</v>
      </c>
      <c r="H82" s="80">
        <f t="shared" si="24"/>
        <v>0</v>
      </c>
      <c r="I82" s="178">
        <v>0</v>
      </c>
      <c r="J82" s="80">
        <f t="shared" si="25"/>
        <v>0</v>
      </c>
      <c r="K82" s="178">
        <v>0</v>
      </c>
      <c r="L82" s="80">
        <f t="shared" si="26"/>
        <v>0</v>
      </c>
      <c r="M82" s="178">
        <v>0</v>
      </c>
      <c r="N82" s="80">
        <f t="shared" si="27"/>
        <v>0</v>
      </c>
      <c r="O82" s="178">
        <v>0</v>
      </c>
      <c r="P82" s="80">
        <f t="shared" si="28"/>
        <v>0</v>
      </c>
      <c r="Q82" s="178">
        <v>0</v>
      </c>
      <c r="R82" s="80">
        <f t="shared" si="29"/>
        <v>0</v>
      </c>
      <c r="S82" s="178">
        <v>0</v>
      </c>
      <c r="T82" s="80">
        <f t="shared" si="30"/>
        <v>0</v>
      </c>
      <c r="U82" s="178">
        <v>0</v>
      </c>
      <c r="V82" s="80">
        <f t="shared" si="31"/>
        <v>0</v>
      </c>
      <c r="X82" s="192"/>
    </row>
    <row r="83" spans="1:24" ht="12.75" customHeight="1">
      <c r="A83" s="2" t="s">
        <v>427</v>
      </c>
      <c r="B83" s="35"/>
      <c r="C83" s="178">
        <v>0</v>
      </c>
      <c r="D83" s="80">
        <f t="shared" si="22"/>
        <v>0</v>
      </c>
      <c r="E83" s="178">
        <v>0</v>
      </c>
      <c r="F83" s="80">
        <f t="shared" si="23"/>
        <v>0</v>
      </c>
      <c r="G83" s="178">
        <v>0</v>
      </c>
      <c r="H83" s="80">
        <f t="shared" si="24"/>
        <v>0</v>
      </c>
      <c r="I83" s="178">
        <v>0</v>
      </c>
      <c r="J83" s="80">
        <f t="shared" si="25"/>
        <v>0</v>
      </c>
      <c r="K83" s="178">
        <v>0</v>
      </c>
      <c r="L83" s="80">
        <f t="shared" si="26"/>
        <v>0</v>
      </c>
      <c r="M83" s="178">
        <v>0</v>
      </c>
      <c r="N83" s="80">
        <f t="shared" si="27"/>
        <v>0</v>
      </c>
      <c r="O83" s="178">
        <v>0</v>
      </c>
      <c r="P83" s="80">
        <f t="shared" si="28"/>
        <v>0</v>
      </c>
      <c r="Q83" s="178">
        <v>0</v>
      </c>
      <c r="R83" s="80">
        <f t="shared" si="29"/>
        <v>0</v>
      </c>
      <c r="S83" s="178">
        <v>0</v>
      </c>
      <c r="T83" s="80">
        <f t="shared" si="30"/>
        <v>0</v>
      </c>
      <c r="U83" s="178">
        <v>0</v>
      </c>
      <c r="V83" s="80">
        <f t="shared" si="31"/>
        <v>0</v>
      </c>
      <c r="X83" s="192"/>
    </row>
    <row r="84" spans="1:24" ht="12.75" customHeight="1">
      <c r="A84" s="2" t="s">
        <v>428</v>
      </c>
      <c r="B84" s="35"/>
      <c r="C84" s="178">
        <v>0</v>
      </c>
      <c r="D84" s="80">
        <f t="shared" si="22"/>
        <v>0</v>
      </c>
      <c r="E84" s="178">
        <v>0</v>
      </c>
      <c r="F84" s="80">
        <f t="shared" si="23"/>
        <v>0</v>
      </c>
      <c r="G84" s="178">
        <v>0</v>
      </c>
      <c r="H84" s="80">
        <f t="shared" si="24"/>
        <v>0</v>
      </c>
      <c r="I84" s="178">
        <v>0</v>
      </c>
      <c r="J84" s="80">
        <f t="shared" si="25"/>
        <v>0</v>
      </c>
      <c r="K84" s="178">
        <v>0</v>
      </c>
      <c r="L84" s="80">
        <f t="shared" si="26"/>
        <v>0</v>
      </c>
      <c r="M84" s="178">
        <v>0</v>
      </c>
      <c r="N84" s="80">
        <f t="shared" si="27"/>
        <v>0</v>
      </c>
      <c r="O84" s="178">
        <v>0</v>
      </c>
      <c r="P84" s="80">
        <f t="shared" si="28"/>
        <v>0</v>
      </c>
      <c r="Q84" s="178">
        <v>0</v>
      </c>
      <c r="R84" s="80">
        <f t="shared" si="29"/>
        <v>0</v>
      </c>
      <c r="S84" s="178">
        <v>0</v>
      </c>
      <c r="T84" s="80">
        <f t="shared" si="30"/>
        <v>0</v>
      </c>
      <c r="U84" s="178">
        <v>0</v>
      </c>
      <c r="V84" s="80">
        <f t="shared" si="31"/>
        <v>0</v>
      </c>
      <c r="X84" s="192"/>
    </row>
    <row r="85" spans="1:24" ht="12.75" customHeight="1">
      <c r="A85" s="2" t="s">
        <v>429</v>
      </c>
      <c r="B85" s="35"/>
      <c r="C85" s="178">
        <v>0</v>
      </c>
      <c r="D85" s="80">
        <f t="shared" si="22"/>
        <v>0</v>
      </c>
      <c r="E85" s="178">
        <v>0</v>
      </c>
      <c r="F85" s="80">
        <f t="shared" si="23"/>
        <v>0</v>
      </c>
      <c r="G85" s="178">
        <v>0</v>
      </c>
      <c r="H85" s="80">
        <f t="shared" si="24"/>
        <v>0</v>
      </c>
      <c r="I85" s="178">
        <v>0</v>
      </c>
      <c r="J85" s="80">
        <f t="shared" si="25"/>
        <v>0</v>
      </c>
      <c r="K85" s="178">
        <v>0</v>
      </c>
      <c r="L85" s="80">
        <f t="shared" si="26"/>
        <v>0</v>
      </c>
      <c r="M85" s="178">
        <v>0</v>
      </c>
      <c r="N85" s="80">
        <f t="shared" si="27"/>
        <v>0</v>
      </c>
      <c r="O85" s="178">
        <v>0</v>
      </c>
      <c r="P85" s="80">
        <f t="shared" si="28"/>
        <v>0</v>
      </c>
      <c r="Q85" s="178">
        <v>0</v>
      </c>
      <c r="R85" s="80">
        <f t="shared" si="29"/>
        <v>0</v>
      </c>
      <c r="S85" s="178">
        <v>0</v>
      </c>
      <c r="T85" s="80">
        <f t="shared" si="30"/>
        <v>0</v>
      </c>
      <c r="U85" s="178">
        <v>0</v>
      </c>
      <c r="V85" s="80">
        <f t="shared" si="31"/>
        <v>0</v>
      </c>
      <c r="X85" s="192"/>
    </row>
    <row r="86" spans="1:24" ht="12.75" customHeight="1">
      <c r="A86" s="2" t="s">
        <v>430</v>
      </c>
      <c r="B86" s="35"/>
      <c r="C86" s="178">
        <v>3014.14176</v>
      </c>
      <c r="D86" s="80">
        <f t="shared" si="22"/>
        <v>4.0000000000000001E-3</v>
      </c>
      <c r="E86" s="178">
        <v>3216.0000000000005</v>
      </c>
      <c r="F86" s="80">
        <f t="shared" si="23"/>
        <v>4.000000000000001E-3</v>
      </c>
      <c r="G86" s="178">
        <v>2800.0000000000005</v>
      </c>
      <c r="H86" s="80">
        <f t="shared" si="24"/>
        <v>4.000000000000001E-3</v>
      </c>
      <c r="I86" s="178">
        <v>2884</v>
      </c>
      <c r="J86" s="80">
        <f t="shared" si="25"/>
        <v>4.0000000000000001E-3</v>
      </c>
      <c r="K86" s="178">
        <v>2970.52</v>
      </c>
      <c r="L86" s="80">
        <f t="shared" si="26"/>
        <v>4.0000000000000001E-3</v>
      </c>
      <c r="M86" s="178">
        <v>3059.6356000000001</v>
      </c>
      <c r="N86" s="80">
        <f t="shared" si="27"/>
        <v>4.0000000000000001E-3</v>
      </c>
      <c r="O86" s="178">
        <v>3151.4246680000001</v>
      </c>
      <c r="P86" s="80">
        <f t="shared" si="28"/>
        <v>4.0000000000000001E-3</v>
      </c>
      <c r="Q86" s="178">
        <v>3245.96740804</v>
      </c>
      <c r="R86" s="80">
        <f t="shared" si="29"/>
        <v>4.0000000000000001E-3</v>
      </c>
      <c r="S86" s="178">
        <v>3343.3464302812004</v>
      </c>
      <c r="T86" s="80">
        <f t="shared" si="30"/>
        <v>4.0000000000000001E-3</v>
      </c>
      <c r="U86" s="178">
        <v>3443.6468231896365</v>
      </c>
      <c r="V86" s="80">
        <f t="shared" si="31"/>
        <v>4.0000000000000001E-3</v>
      </c>
      <c r="X86" s="192"/>
    </row>
    <row r="87" spans="1:24" ht="12.75" customHeight="1">
      <c r="A87" s="2" t="s">
        <v>431</v>
      </c>
      <c r="B87" s="35"/>
      <c r="C87" s="178">
        <v>0</v>
      </c>
      <c r="D87" s="80">
        <f t="shared" si="22"/>
        <v>0</v>
      </c>
      <c r="E87" s="178">
        <v>0</v>
      </c>
      <c r="F87" s="80">
        <f t="shared" si="23"/>
        <v>0</v>
      </c>
      <c r="G87" s="178">
        <v>0</v>
      </c>
      <c r="H87" s="80">
        <f t="shared" si="24"/>
        <v>0</v>
      </c>
      <c r="I87" s="178">
        <v>0</v>
      </c>
      <c r="J87" s="80">
        <f t="shared" si="25"/>
        <v>0</v>
      </c>
      <c r="K87" s="178">
        <v>0</v>
      </c>
      <c r="L87" s="80">
        <f t="shared" si="26"/>
        <v>0</v>
      </c>
      <c r="M87" s="178">
        <v>0</v>
      </c>
      <c r="N87" s="80">
        <f t="shared" si="27"/>
        <v>0</v>
      </c>
      <c r="O87" s="178">
        <v>0</v>
      </c>
      <c r="P87" s="80">
        <f t="shared" si="28"/>
        <v>0</v>
      </c>
      <c r="Q87" s="178">
        <v>0</v>
      </c>
      <c r="R87" s="80">
        <f t="shared" si="29"/>
        <v>0</v>
      </c>
      <c r="S87" s="178">
        <v>0</v>
      </c>
      <c r="T87" s="80">
        <f t="shared" si="30"/>
        <v>0</v>
      </c>
      <c r="U87" s="178">
        <v>0</v>
      </c>
      <c r="V87" s="80">
        <f t="shared" si="31"/>
        <v>0</v>
      </c>
      <c r="X87" s="192"/>
    </row>
    <row r="88" spans="1:24" ht="12.75" customHeight="1">
      <c r="A88" s="2" t="s">
        <v>432</v>
      </c>
      <c r="B88" s="35"/>
      <c r="C88" s="178">
        <v>3843.0307440000001</v>
      </c>
      <c r="D88" s="80">
        <f t="shared" si="22"/>
        <v>5.1000000000000004E-3</v>
      </c>
      <c r="E88" s="178">
        <v>4100.4000000000005</v>
      </c>
      <c r="F88" s="80">
        <f t="shared" si="23"/>
        <v>5.1000000000000004E-3</v>
      </c>
      <c r="G88" s="178">
        <v>3570.0000000000005</v>
      </c>
      <c r="H88" s="80">
        <f t="shared" si="24"/>
        <v>5.1000000000000004E-3</v>
      </c>
      <c r="I88" s="178">
        <v>3677.1000000000004</v>
      </c>
      <c r="J88" s="80">
        <f t="shared" si="25"/>
        <v>5.1000000000000004E-3</v>
      </c>
      <c r="K88" s="178">
        <v>3787.413</v>
      </c>
      <c r="L88" s="80">
        <f t="shared" si="26"/>
        <v>5.1000000000000004E-3</v>
      </c>
      <c r="M88" s="178">
        <v>3901.0353900000005</v>
      </c>
      <c r="N88" s="80">
        <f t="shared" si="27"/>
        <v>5.1000000000000004E-3</v>
      </c>
      <c r="O88" s="178">
        <v>4018.0664517</v>
      </c>
      <c r="P88" s="80">
        <f t="shared" si="28"/>
        <v>5.0999999999999995E-3</v>
      </c>
      <c r="Q88" s="178">
        <v>4138.6084452510004</v>
      </c>
      <c r="R88" s="80">
        <f t="shared" si="29"/>
        <v>5.1000000000000004E-3</v>
      </c>
      <c r="S88" s="178">
        <v>4262.7666986085305</v>
      </c>
      <c r="T88" s="80">
        <f t="shared" si="30"/>
        <v>5.1000000000000004E-3</v>
      </c>
      <c r="U88" s="178">
        <v>4390.6496995667867</v>
      </c>
      <c r="V88" s="80">
        <f t="shared" si="31"/>
        <v>5.0999999999999995E-3</v>
      </c>
      <c r="X88" s="192"/>
    </row>
    <row r="89" spans="1:24" ht="12.75" customHeight="1">
      <c r="A89" s="2" t="s">
        <v>433</v>
      </c>
      <c r="B89" s="35"/>
      <c r="C89" s="178">
        <v>0</v>
      </c>
      <c r="D89" s="80">
        <f t="shared" si="22"/>
        <v>0</v>
      </c>
      <c r="E89" s="178">
        <v>0</v>
      </c>
      <c r="F89" s="80">
        <f t="shared" si="23"/>
        <v>0</v>
      </c>
      <c r="G89" s="178">
        <v>0</v>
      </c>
      <c r="H89" s="80">
        <f t="shared" si="24"/>
        <v>0</v>
      </c>
      <c r="I89" s="178">
        <v>0</v>
      </c>
      <c r="J89" s="80">
        <f t="shared" si="25"/>
        <v>0</v>
      </c>
      <c r="K89" s="178">
        <v>0</v>
      </c>
      <c r="L89" s="80">
        <f t="shared" si="26"/>
        <v>0</v>
      </c>
      <c r="M89" s="178">
        <v>0</v>
      </c>
      <c r="N89" s="80">
        <f t="shared" si="27"/>
        <v>0</v>
      </c>
      <c r="O89" s="178">
        <v>0</v>
      </c>
      <c r="P89" s="80">
        <f t="shared" si="28"/>
        <v>0</v>
      </c>
      <c r="Q89" s="178">
        <v>0</v>
      </c>
      <c r="R89" s="80">
        <f t="shared" si="29"/>
        <v>0</v>
      </c>
      <c r="S89" s="178">
        <v>0</v>
      </c>
      <c r="T89" s="80">
        <f t="shared" si="30"/>
        <v>0</v>
      </c>
      <c r="U89" s="178">
        <v>0</v>
      </c>
      <c r="V89" s="80">
        <f t="shared" si="31"/>
        <v>0</v>
      </c>
      <c r="X89" s="192"/>
    </row>
    <row r="90" spans="1:24" ht="12.75" customHeight="1">
      <c r="A90" s="2" t="s">
        <v>434</v>
      </c>
      <c r="B90" s="35"/>
      <c r="C90" s="178">
        <v>150.70708800000003</v>
      </c>
      <c r="D90" s="80">
        <f t="shared" si="22"/>
        <v>2.0000000000000006E-4</v>
      </c>
      <c r="E90" s="178">
        <v>160.80000000000001</v>
      </c>
      <c r="F90" s="80">
        <f t="shared" si="23"/>
        <v>2.0000000000000001E-4</v>
      </c>
      <c r="G90" s="178">
        <v>140.00000000000003</v>
      </c>
      <c r="H90" s="80">
        <f t="shared" si="24"/>
        <v>2.0000000000000004E-4</v>
      </c>
      <c r="I90" s="178">
        <v>144.20000000000002</v>
      </c>
      <c r="J90" s="80">
        <f t="shared" si="25"/>
        <v>2.0000000000000004E-4</v>
      </c>
      <c r="K90" s="178">
        <v>148.52599999999998</v>
      </c>
      <c r="L90" s="80">
        <f t="shared" si="26"/>
        <v>1.9999999999999998E-4</v>
      </c>
      <c r="M90" s="178">
        <v>152.98178000000001</v>
      </c>
      <c r="N90" s="80">
        <f t="shared" si="27"/>
        <v>2.0000000000000001E-4</v>
      </c>
      <c r="O90" s="178">
        <v>157.57123340000001</v>
      </c>
      <c r="P90" s="80">
        <f t="shared" si="28"/>
        <v>2.0000000000000001E-4</v>
      </c>
      <c r="Q90" s="178">
        <v>162.29837040200002</v>
      </c>
      <c r="R90" s="80">
        <f t="shared" si="29"/>
        <v>2.0000000000000001E-4</v>
      </c>
      <c r="S90" s="178">
        <v>167.16732151406003</v>
      </c>
      <c r="T90" s="80">
        <f t="shared" si="30"/>
        <v>2.0000000000000001E-4</v>
      </c>
      <c r="U90" s="178">
        <v>172.18234115948184</v>
      </c>
      <c r="V90" s="80">
        <f t="shared" si="31"/>
        <v>2.0000000000000001E-4</v>
      </c>
      <c r="X90" s="192"/>
    </row>
    <row r="91" spans="1:24" ht="12.75" customHeight="1">
      <c r="A91" s="2" t="s">
        <v>435</v>
      </c>
      <c r="C91" s="178">
        <v>0</v>
      </c>
      <c r="D91" s="80">
        <f t="shared" si="22"/>
        <v>0</v>
      </c>
      <c r="E91" s="178">
        <v>0</v>
      </c>
      <c r="F91" s="80">
        <f t="shared" si="23"/>
        <v>0</v>
      </c>
      <c r="G91" s="178">
        <v>0</v>
      </c>
      <c r="H91" s="80">
        <f t="shared" si="24"/>
        <v>0</v>
      </c>
      <c r="I91" s="178">
        <v>0</v>
      </c>
      <c r="J91" s="80">
        <f t="shared" si="25"/>
        <v>0</v>
      </c>
      <c r="K91" s="178">
        <v>0</v>
      </c>
      <c r="L91" s="80">
        <f t="shared" si="26"/>
        <v>0</v>
      </c>
      <c r="M91" s="178">
        <v>0</v>
      </c>
      <c r="N91" s="80">
        <f t="shared" si="27"/>
        <v>0</v>
      </c>
      <c r="O91" s="178">
        <v>0</v>
      </c>
      <c r="P91" s="80">
        <f t="shared" si="28"/>
        <v>0</v>
      </c>
      <c r="Q91" s="178">
        <v>0</v>
      </c>
      <c r="R91" s="80">
        <f t="shared" si="29"/>
        <v>0</v>
      </c>
      <c r="S91" s="178">
        <v>0</v>
      </c>
      <c r="T91" s="80">
        <f t="shared" si="30"/>
        <v>0</v>
      </c>
      <c r="U91" s="178">
        <v>0</v>
      </c>
      <c r="V91" s="80">
        <f t="shared" si="31"/>
        <v>0</v>
      </c>
      <c r="X91" s="192"/>
    </row>
    <row r="92" spans="1:24" ht="12.75" customHeight="1">
      <c r="A92" s="2" t="s">
        <v>436</v>
      </c>
      <c r="B92" s="35"/>
      <c r="C92" s="178">
        <v>3918.3842880000002</v>
      </c>
      <c r="D92" s="80">
        <f t="shared" si="22"/>
        <v>5.2000000000000006E-3</v>
      </c>
      <c r="E92" s="178">
        <v>4180.8</v>
      </c>
      <c r="F92" s="80">
        <f t="shared" si="23"/>
        <v>5.2000000000000006E-3</v>
      </c>
      <c r="G92" s="178">
        <v>3640</v>
      </c>
      <c r="H92" s="80">
        <f t="shared" si="24"/>
        <v>5.1999999999999998E-3</v>
      </c>
      <c r="I92" s="178">
        <v>3749.2000000000003</v>
      </c>
      <c r="J92" s="80">
        <f t="shared" si="25"/>
        <v>5.2000000000000006E-3</v>
      </c>
      <c r="K92" s="178">
        <v>3861.6759999999995</v>
      </c>
      <c r="L92" s="80">
        <f t="shared" si="26"/>
        <v>5.1999999999999989E-3</v>
      </c>
      <c r="M92" s="178">
        <v>3977.5262800000005</v>
      </c>
      <c r="N92" s="80">
        <f t="shared" si="27"/>
        <v>5.2000000000000006E-3</v>
      </c>
      <c r="O92" s="178">
        <v>4096.8520683999996</v>
      </c>
      <c r="P92" s="80">
        <f t="shared" si="28"/>
        <v>5.1999999999999998E-3</v>
      </c>
      <c r="Q92" s="178">
        <v>4219.7576304519998</v>
      </c>
      <c r="R92" s="80">
        <f t="shared" si="29"/>
        <v>5.1999999999999998E-3</v>
      </c>
      <c r="S92" s="178">
        <v>4346.3503593655605</v>
      </c>
      <c r="T92" s="80">
        <f t="shared" si="30"/>
        <v>5.1999999999999998E-3</v>
      </c>
      <c r="U92" s="178">
        <v>4476.7408701465274</v>
      </c>
      <c r="V92" s="80">
        <f t="shared" si="31"/>
        <v>5.1999999999999998E-3</v>
      </c>
      <c r="X92" s="192"/>
    </row>
    <row r="93" spans="1:24" ht="12.75" customHeight="1">
      <c r="A93" s="2" t="s">
        <v>437</v>
      </c>
      <c r="B93" s="35"/>
      <c r="C93" s="178">
        <v>0</v>
      </c>
      <c r="D93" s="80">
        <f t="shared" si="22"/>
        <v>0</v>
      </c>
      <c r="E93" s="178">
        <v>0</v>
      </c>
      <c r="F93" s="80">
        <f t="shared" si="23"/>
        <v>0</v>
      </c>
      <c r="G93" s="178">
        <v>0</v>
      </c>
      <c r="H93" s="80">
        <f t="shared" si="24"/>
        <v>0</v>
      </c>
      <c r="I93" s="178">
        <v>0</v>
      </c>
      <c r="J93" s="80">
        <f t="shared" si="25"/>
        <v>0</v>
      </c>
      <c r="K93" s="178">
        <v>0</v>
      </c>
      <c r="L93" s="80">
        <f t="shared" si="26"/>
        <v>0</v>
      </c>
      <c r="M93" s="178">
        <v>0</v>
      </c>
      <c r="N93" s="80">
        <f t="shared" si="27"/>
        <v>0</v>
      </c>
      <c r="O93" s="178">
        <v>0</v>
      </c>
      <c r="P93" s="80">
        <f t="shared" si="28"/>
        <v>0</v>
      </c>
      <c r="Q93" s="178">
        <v>0</v>
      </c>
      <c r="R93" s="80">
        <f t="shared" si="29"/>
        <v>0</v>
      </c>
      <c r="S93" s="178">
        <v>0</v>
      </c>
      <c r="T93" s="80">
        <f t="shared" si="30"/>
        <v>0</v>
      </c>
      <c r="U93" s="178">
        <v>0</v>
      </c>
      <c r="V93" s="80">
        <f t="shared" si="31"/>
        <v>0</v>
      </c>
      <c r="X93" s="192"/>
    </row>
    <row r="94" spans="1:24" ht="12.75" customHeight="1">
      <c r="A94" s="2" t="s">
        <v>438</v>
      </c>
      <c r="B94" s="35"/>
      <c r="C94" s="178">
        <v>0</v>
      </c>
      <c r="D94" s="80">
        <f t="shared" si="22"/>
        <v>0</v>
      </c>
      <c r="E94" s="178">
        <v>0</v>
      </c>
      <c r="F94" s="80">
        <f t="shared" si="23"/>
        <v>0</v>
      </c>
      <c r="G94" s="178">
        <v>0</v>
      </c>
      <c r="H94" s="80">
        <f t="shared" si="24"/>
        <v>0</v>
      </c>
      <c r="I94" s="178">
        <v>0</v>
      </c>
      <c r="J94" s="80">
        <f t="shared" si="25"/>
        <v>0</v>
      </c>
      <c r="K94" s="178">
        <v>0</v>
      </c>
      <c r="L94" s="80">
        <f t="shared" si="26"/>
        <v>0</v>
      </c>
      <c r="M94" s="178">
        <v>0</v>
      </c>
      <c r="N94" s="80">
        <f t="shared" si="27"/>
        <v>0</v>
      </c>
      <c r="O94" s="178">
        <v>0</v>
      </c>
      <c r="P94" s="80">
        <f t="shared" si="28"/>
        <v>0</v>
      </c>
      <c r="Q94" s="178">
        <v>0</v>
      </c>
      <c r="R94" s="80">
        <f t="shared" si="29"/>
        <v>0</v>
      </c>
      <c r="S94" s="178">
        <v>0</v>
      </c>
      <c r="T94" s="80">
        <f t="shared" si="30"/>
        <v>0</v>
      </c>
      <c r="U94" s="178">
        <v>0</v>
      </c>
      <c r="V94" s="80">
        <f t="shared" si="31"/>
        <v>0</v>
      </c>
      <c r="X94" s="192"/>
    </row>
    <row r="95" spans="1:24" ht="12.75" customHeight="1">
      <c r="A95" s="2" t="s">
        <v>439</v>
      </c>
      <c r="B95" s="35"/>
      <c r="C95" s="178">
        <v>0</v>
      </c>
      <c r="D95" s="80">
        <f t="shared" si="22"/>
        <v>0</v>
      </c>
      <c r="E95" s="178">
        <v>0</v>
      </c>
      <c r="F95" s="80">
        <f t="shared" si="23"/>
        <v>0</v>
      </c>
      <c r="G95" s="178">
        <v>0</v>
      </c>
      <c r="H95" s="80">
        <f t="shared" si="24"/>
        <v>0</v>
      </c>
      <c r="I95" s="178">
        <v>0</v>
      </c>
      <c r="J95" s="80">
        <f t="shared" si="25"/>
        <v>0</v>
      </c>
      <c r="K95" s="178">
        <v>0</v>
      </c>
      <c r="L95" s="80">
        <f t="shared" si="26"/>
        <v>0</v>
      </c>
      <c r="M95" s="178">
        <v>0</v>
      </c>
      <c r="N95" s="80">
        <f t="shared" si="27"/>
        <v>0</v>
      </c>
      <c r="O95" s="178">
        <v>0</v>
      </c>
      <c r="P95" s="80">
        <f t="shared" si="28"/>
        <v>0</v>
      </c>
      <c r="Q95" s="178">
        <v>0</v>
      </c>
      <c r="R95" s="80">
        <f t="shared" si="29"/>
        <v>0</v>
      </c>
      <c r="S95" s="178">
        <v>0</v>
      </c>
      <c r="T95" s="80">
        <f t="shared" si="30"/>
        <v>0</v>
      </c>
      <c r="U95" s="178">
        <v>0</v>
      </c>
      <c r="V95" s="80">
        <f t="shared" si="31"/>
        <v>0</v>
      </c>
      <c r="X95" s="192"/>
    </row>
    <row r="96" spans="1:24" ht="12.75" customHeight="1">
      <c r="A96" s="2" t="s">
        <v>440</v>
      </c>
      <c r="B96" s="35"/>
      <c r="C96" s="178">
        <v>0</v>
      </c>
      <c r="D96" s="80">
        <f t="shared" si="22"/>
        <v>0</v>
      </c>
      <c r="E96" s="178">
        <v>0</v>
      </c>
      <c r="F96" s="80">
        <f t="shared" si="23"/>
        <v>0</v>
      </c>
      <c r="G96" s="178">
        <v>0</v>
      </c>
      <c r="H96" s="80">
        <f t="shared" si="24"/>
        <v>0</v>
      </c>
      <c r="I96" s="178">
        <v>0</v>
      </c>
      <c r="J96" s="80">
        <f t="shared" si="25"/>
        <v>0</v>
      </c>
      <c r="K96" s="178">
        <v>0</v>
      </c>
      <c r="L96" s="80">
        <f t="shared" si="26"/>
        <v>0</v>
      </c>
      <c r="M96" s="178">
        <v>0</v>
      </c>
      <c r="N96" s="80">
        <f t="shared" si="27"/>
        <v>0</v>
      </c>
      <c r="O96" s="178">
        <v>0</v>
      </c>
      <c r="P96" s="80">
        <f t="shared" si="28"/>
        <v>0</v>
      </c>
      <c r="Q96" s="178">
        <v>0</v>
      </c>
      <c r="R96" s="80">
        <f t="shared" si="29"/>
        <v>0</v>
      </c>
      <c r="S96" s="178">
        <v>0</v>
      </c>
      <c r="T96" s="80">
        <f t="shared" si="30"/>
        <v>0</v>
      </c>
      <c r="U96" s="178">
        <v>0</v>
      </c>
      <c r="V96" s="80">
        <f t="shared" si="31"/>
        <v>0</v>
      </c>
      <c r="X96" s="192"/>
    </row>
    <row r="97" spans="1:24" ht="12.75" customHeight="1">
      <c r="A97" s="2" t="s">
        <v>441</v>
      </c>
      <c r="B97" s="35"/>
      <c r="C97" s="178">
        <v>8297.8773000000001</v>
      </c>
      <c r="D97" s="80">
        <f t="shared" si="22"/>
        <v>1.101192705680837E-2</v>
      </c>
      <c r="E97" s="178">
        <v>9133.2005807999994</v>
      </c>
      <c r="F97" s="80">
        <f t="shared" si="23"/>
        <v>1.1359702214925372E-2</v>
      </c>
      <c r="G97" s="178">
        <v>9452.8626011279994</v>
      </c>
      <c r="H97" s="80">
        <f t="shared" si="24"/>
        <v>1.3504089430182857E-2</v>
      </c>
      <c r="I97" s="178">
        <v>9755.3542043640955</v>
      </c>
      <c r="J97" s="80">
        <f t="shared" si="25"/>
        <v>1.3530310963056997E-2</v>
      </c>
      <c r="K97" s="178">
        <v>9999.2380594731967</v>
      </c>
      <c r="L97" s="80">
        <f t="shared" si="26"/>
        <v>1.3464629841877108E-2</v>
      </c>
      <c r="M97" s="178">
        <v>10249.219010960025</v>
      </c>
      <c r="N97" s="80">
        <f t="shared" si="27"/>
        <v>1.3399267561091294E-2</v>
      </c>
      <c r="O97" s="178">
        <v>10505.449486234025</v>
      </c>
      <c r="P97" s="80">
        <f t="shared" si="28"/>
        <v>1.3334222572930656E-2</v>
      </c>
      <c r="Q97" s="178">
        <v>10768.085723389875</v>
      </c>
      <c r="R97" s="80">
        <f t="shared" si="29"/>
        <v>1.326949333713973E-2</v>
      </c>
      <c r="S97" s="178">
        <v>11037.287866474622</v>
      </c>
      <c r="T97" s="80">
        <f t="shared" si="30"/>
        <v>1.3205078320940021E-2</v>
      </c>
      <c r="U97" s="178">
        <v>11313.220063136487</v>
      </c>
      <c r="V97" s="80">
        <f t="shared" si="31"/>
        <v>1.3140975998993708E-2</v>
      </c>
      <c r="X97" s="192"/>
    </row>
    <row r="98" spans="1:24" ht="12.75" customHeight="1">
      <c r="A98" s="117" t="s">
        <v>444</v>
      </c>
      <c r="B98" s="35"/>
      <c r="C98" s="178">
        <v>904.24252799999988</v>
      </c>
      <c r="D98" s="80">
        <f t="shared" si="22"/>
        <v>1.1999999999999999E-3</v>
      </c>
      <c r="E98" s="178">
        <v>964.8</v>
      </c>
      <c r="F98" s="80">
        <f t="shared" si="23"/>
        <v>1.1999999999999999E-3</v>
      </c>
      <c r="G98" s="178">
        <v>840</v>
      </c>
      <c r="H98" s="80">
        <f t="shared" si="24"/>
        <v>1.1999999999999999E-3</v>
      </c>
      <c r="I98" s="178">
        <v>865.19999999999982</v>
      </c>
      <c r="J98" s="80">
        <f t="shared" si="25"/>
        <v>1.1999999999999997E-3</v>
      </c>
      <c r="K98" s="178">
        <v>891.15599999999995</v>
      </c>
      <c r="L98" s="80">
        <f t="shared" si="26"/>
        <v>1.1999999999999999E-3</v>
      </c>
      <c r="M98" s="178">
        <v>917.89067999999997</v>
      </c>
      <c r="N98" s="80">
        <f t="shared" si="27"/>
        <v>1.1999999999999999E-3</v>
      </c>
      <c r="O98" s="178">
        <v>945.42740040000001</v>
      </c>
      <c r="P98" s="80">
        <f t="shared" si="28"/>
        <v>1.1999999999999999E-3</v>
      </c>
      <c r="Q98" s="178">
        <v>973.79022241199982</v>
      </c>
      <c r="R98" s="80">
        <f t="shared" si="29"/>
        <v>1.1999999999999997E-3</v>
      </c>
      <c r="S98" s="178">
        <v>1003.00392908436</v>
      </c>
      <c r="T98" s="80">
        <f t="shared" si="30"/>
        <v>1.1999999999999999E-3</v>
      </c>
      <c r="U98" s="178">
        <v>1033.0940469568909</v>
      </c>
      <c r="V98" s="80">
        <f t="shared" si="31"/>
        <v>1.1999999999999999E-3</v>
      </c>
      <c r="X98" s="192"/>
    </row>
    <row r="99" spans="1:24" ht="12.75" customHeight="1">
      <c r="A99" s="117" t="s">
        <v>444</v>
      </c>
      <c r="B99" s="35"/>
      <c r="C99" s="178">
        <v>0</v>
      </c>
      <c r="D99" s="80">
        <f t="shared" si="22"/>
        <v>0</v>
      </c>
      <c r="E99" s="178">
        <v>0</v>
      </c>
      <c r="F99" s="80">
        <f t="shared" si="23"/>
        <v>0</v>
      </c>
      <c r="G99" s="178">
        <v>0</v>
      </c>
      <c r="H99" s="80">
        <f t="shared" si="24"/>
        <v>0</v>
      </c>
      <c r="I99" s="178">
        <v>0</v>
      </c>
      <c r="J99" s="80">
        <f t="shared" si="25"/>
        <v>0</v>
      </c>
      <c r="K99" s="178">
        <v>0</v>
      </c>
      <c r="L99" s="80">
        <f t="shared" si="26"/>
        <v>0</v>
      </c>
      <c r="M99" s="178">
        <v>0</v>
      </c>
      <c r="N99" s="80">
        <f t="shared" si="27"/>
        <v>0</v>
      </c>
      <c r="O99" s="178">
        <v>0</v>
      </c>
      <c r="P99" s="80">
        <f t="shared" si="28"/>
        <v>0</v>
      </c>
      <c r="Q99" s="178">
        <v>0</v>
      </c>
      <c r="R99" s="80">
        <f t="shared" si="29"/>
        <v>0</v>
      </c>
      <c r="S99" s="178">
        <v>0</v>
      </c>
      <c r="T99" s="80">
        <f t="shared" si="30"/>
        <v>0</v>
      </c>
      <c r="U99" s="178">
        <v>0</v>
      </c>
      <c r="V99" s="80">
        <f t="shared" si="31"/>
        <v>0</v>
      </c>
      <c r="X99" s="192"/>
    </row>
    <row r="100" spans="1:24" ht="12.75" customHeight="1">
      <c r="A100" s="117" t="s">
        <v>444</v>
      </c>
      <c r="B100" s="35"/>
      <c r="C100" s="178">
        <v>0</v>
      </c>
      <c r="D100" s="80">
        <f t="shared" si="22"/>
        <v>0</v>
      </c>
      <c r="E100" s="178">
        <v>0</v>
      </c>
      <c r="F100" s="80">
        <f t="shared" si="23"/>
        <v>0</v>
      </c>
      <c r="G100" s="178">
        <v>0</v>
      </c>
      <c r="H100" s="80">
        <f t="shared" si="24"/>
        <v>0</v>
      </c>
      <c r="I100" s="178">
        <v>0</v>
      </c>
      <c r="J100" s="80">
        <f t="shared" si="25"/>
        <v>0</v>
      </c>
      <c r="K100" s="178">
        <v>0</v>
      </c>
      <c r="L100" s="80">
        <f t="shared" si="26"/>
        <v>0</v>
      </c>
      <c r="M100" s="178">
        <v>0</v>
      </c>
      <c r="N100" s="80">
        <f t="shared" si="27"/>
        <v>0</v>
      </c>
      <c r="O100" s="178">
        <v>0</v>
      </c>
      <c r="P100" s="80">
        <f t="shared" si="28"/>
        <v>0</v>
      </c>
      <c r="Q100" s="178">
        <v>0</v>
      </c>
      <c r="R100" s="80">
        <f t="shared" si="29"/>
        <v>0</v>
      </c>
      <c r="S100" s="178">
        <v>0</v>
      </c>
      <c r="T100" s="80">
        <f t="shared" si="30"/>
        <v>0</v>
      </c>
      <c r="U100" s="178">
        <v>0</v>
      </c>
      <c r="V100" s="80">
        <f t="shared" si="31"/>
        <v>0</v>
      </c>
      <c r="X100" s="192"/>
    </row>
    <row r="101" spans="1:24" ht="12.75" customHeight="1">
      <c r="A101" s="2" t="s">
        <v>445</v>
      </c>
      <c r="B101" s="35"/>
      <c r="C101" s="178"/>
      <c r="D101" s="80">
        <f t="shared" si="22"/>
        <v>0</v>
      </c>
      <c r="E101" s="178"/>
      <c r="F101" s="80">
        <f t="shared" si="23"/>
        <v>0</v>
      </c>
      <c r="G101" s="178"/>
      <c r="H101" s="80">
        <f t="shared" si="24"/>
        <v>0</v>
      </c>
      <c r="I101" s="178">
        <v>0</v>
      </c>
      <c r="J101" s="80">
        <f t="shared" si="25"/>
        <v>0</v>
      </c>
      <c r="K101" s="178">
        <v>0</v>
      </c>
      <c r="L101" s="80">
        <f t="shared" si="26"/>
        <v>0</v>
      </c>
      <c r="M101" s="178">
        <v>0</v>
      </c>
      <c r="N101" s="80">
        <f t="shared" si="27"/>
        <v>0</v>
      </c>
      <c r="O101" s="178">
        <v>0</v>
      </c>
      <c r="P101" s="80">
        <f t="shared" si="28"/>
        <v>0</v>
      </c>
      <c r="Q101" s="178">
        <v>0</v>
      </c>
      <c r="R101" s="80">
        <f t="shared" si="29"/>
        <v>0</v>
      </c>
      <c r="S101" s="178">
        <v>0</v>
      </c>
      <c r="T101" s="80">
        <f t="shared" si="30"/>
        <v>0</v>
      </c>
      <c r="U101" s="178">
        <v>0</v>
      </c>
      <c r="V101" s="80">
        <f t="shared" si="31"/>
        <v>0</v>
      </c>
      <c r="X101" s="192"/>
    </row>
    <row r="102" spans="1:24" ht="12.75" customHeight="1">
      <c r="A102" s="117" t="s">
        <v>446</v>
      </c>
      <c r="B102" s="35"/>
      <c r="C102" s="178">
        <v>7535.3544000000002</v>
      </c>
      <c r="D102" s="80">
        <f t="shared" si="22"/>
        <v>0.01</v>
      </c>
      <c r="E102" s="178">
        <v>8040</v>
      </c>
      <c r="F102" s="80">
        <f t="shared" si="23"/>
        <v>0.01</v>
      </c>
      <c r="G102" s="178">
        <v>7000.0000000000009</v>
      </c>
      <c r="H102" s="80">
        <f t="shared" si="24"/>
        <v>1.0000000000000002E-2</v>
      </c>
      <c r="I102" s="178">
        <v>7210.0000000000009</v>
      </c>
      <c r="J102" s="80">
        <f t="shared" si="25"/>
        <v>1.0000000000000002E-2</v>
      </c>
      <c r="K102" s="178">
        <v>7426.3</v>
      </c>
      <c r="L102" s="80">
        <f t="shared" si="26"/>
        <v>0.01</v>
      </c>
      <c r="M102" s="178">
        <v>7649.0890000000009</v>
      </c>
      <c r="N102" s="80">
        <f t="shared" si="27"/>
        <v>0.01</v>
      </c>
      <c r="O102" s="178">
        <v>7878.561670000001</v>
      </c>
      <c r="P102" s="80">
        <f t="shared" si="28"/>
        <v>0.01</v>
      </c>
      <c r="Q102" s="178">
        <v>8114.9185201</v>
      </c>
      <c r="R102" s="80">
        <f t="shared" si="29"/>
        <v>0.01</v>
      </c>
      <c r="S102" s="178">
        <v>8358.3660757030011</v>
      </c>
      <c r="T102" s="80">
        <f t="shared" si="30"/>
        <v>0.01</v>
      </c>
      <c r="U102" s="178">
        <v>8609.1170579740901</v>
      </c>
      <c r="V102" s="80">
        <f t="shared" si="31"/>
        <v>9.9999999999999985E-3</v>
      </c>
      <c r="X102" s="192"/>
    </row>
    <row r="103" spans="1:24" ht="12.75" customHeight="1">
      <c r="A103" s="117" t="s">
        <v>446</v>
      </c>
      <c r="B103" s="35"/>
      <c r="C103" s="178">
        <v>0</v>
      </c>
      <c r="D103" s="80">
        <f t="shared" si="22"/>
        <v>0</v>
      </c>
      <c r="E103" s="178">
        <v>0</v>
      </c>
      <c r="F103" s="80">
        <f t="shared" si="23"/>
        <v>0</v>
      </c>
      <c r="G103" s="178">
        <v>0</v>
      </c>
      <c r="H103" s="80">
        <f t="shared" si="24"/>
        <v>0</v>
      </c>
      <c r="I103" s="178">
        <v>0</v>
      </c>
      <c r="J103" s="80">
        <f t="shared" si="25"/>
        <v>0</v>
      </c>
      <c r="K103" s="178">
        <v>0</v>
      </c>
      <c r="L103" s="80">
        <f t="shared" si="26"/>
        <v>0</v>
      </c>
      <c r="M103" s="178">
        <v>0</v>
      </c>
      <c r="N103" s="80">
        <f t="shared" si="27"/>
        <v>0</v>
      </c>
      <c r="O103" s="178">
        <v>0</v>
      </c>
      <c r="P103" s="80">
        <f t="shared" si="28"/>
        <v>0</v>
      </c>
      <c r="Q103" s="178">
        <v>0</v>
      </c>
      <c r="R103" s="80">
        <f t="shared" si="29"/>
        <v>0</v>
      </c>
      <c r="S103" s="178">
        <v>0</v>
      </c>
      <c r="T103" s="80">
        <f t="shared" si="30"/>
        <v>0</v>
      </c>
      <c r="U103" s="178">
        <v>0</v>
      </c>
      <c r="V103" s="80">
        <f t="shared" si="31"/>
        <v>0</v>
      </c>
      <c r="X103" s="192"/>
    </row>
    <row r="104" spans="1:24" ht="12.75" customHeight="1">
      <c r="A104" s="117" t="s">
        <v>446</v>
      </c>
      <c r="B104" s="1"/>
      <c r="C104" s="178">
        <v>0</v>
      </c>
      <c r="D104" s="80">
        <f t="shared" si="22"/>
        <v>0</v>
      </c>
      <c r="E104" s="178">
        <v>0</v>
      </c>
      <c r="F104" s="80">
        <f t="shared" si="23"/>
        <v>0</v>
      </c>
      <c r="G104" s="178">
        <v>0</v>
      </c>
      <c r="H104" s="80">
        <f t="shared" si="24"/>
        <v>0</v>
      </c>
      <c r="I104" s="178">
        <v>0</v>
      </c>
      <c r="J104" s="80">
        <f t="shared" si="25"/>
        <v>0</v>
      </c>
      <c r="K104" s="178">
        <v>0</v>
      </c>
      <c r="L104" s="80">
        <f t="shared" si="26"/>
        <v>0</v>
      </c>
      <c r="M104" s="178">
        <v>0</v>
      </c>
      <c r="N104" s="80">
        <f t="shared" si="27"/>
        <v>0</v>
      </c>
      <c r="O104" s="178">
        <v>0</v>
      </c>
      <c r="P104" s="80">
        <f t="shared" si="28"/>
        <v>0</v>
      </c>
      <c r="Q104" s="178">
        <v>0</v>
      </c>
      <c r="R104" s="80">
        <f t="shared" si="29"/>
        <v>0</v>
      </c>
      <c r="S104" s="178">
        <v>0</v>
      </c>
      <c r="T104" s="80">
        <f t="shared" si="30"/>
        <v>0</v>
      </c>
      <c r="U104" s="178">
        <v>0</v>
      </c>
      <c r="V104" s="80">
        <f t="shared" si="31"/>
        <v>0</v>
      </c>
      <c r="X104" s="192"/>
    </row>
    <row r="105" spans="1:24" ht="12.75" customHeight="1">
      <c r="A105" s="1" t="s">
        <v>447</v>
      </c>
      <c r="B105" s="53"/>
      <c r="C105" s="82">
        <f>SUM(C52:C104)</f>
        <v>115432.29076826926</v>
      </c>
      <c r="D105" s="83">
        <f t="shared" ref="D105" si="32">IFERROR(C105/C$28,0)</f>
        <v>0.15318760690043892</v>
      </c>
      <c r="E105" s="82">
        <f>SUM(E52:E104)</f>
        <v>123586.85456776014</v>
      </c>
      <c r="F105" s="83">
        <f t="shared" ref="F105" si="33">IFERROR(E105/E$28,0)</f>
        <v>0.15371499324348276</v>
      </c>
      <c r="G105" s="82">
        <f>SUM(G52:G104)</f>
        <v>109010.09398377458</v>
      </c>
      <c r="H105" s="83">
        <f t="shared" ref="H105" si="34">IFERROR(G105/G$28,0)</f>
        <v>0.15572870569110656</v>
      </c>
      <c r="I105" s="82">
        <f>SUM(I52:I104)</f>
        <v>112321.91624581759</v>
      </c>
      <c r="J105" s="83">
        <f t="shared" ref="J105" si="35">IFERROR(I105/I$28,0)</f>
        <v>0.15578629160307569</v>
      </c>
      <c r="K105" s="82">
        <f>SUM(K52:K104)</f>
        <v>115614.7688704734</v>
      </c>
      <c r="L105" s="83">
        <f t="shared" ref="L105" si="36">IFERROR(K105/K$28,0)</f>
        <v>0.15568286881821822</v>
      </c>
      <c r="M105" s="82">
        <f>SUM(M52:M104)</f>
        <v>119048.95900633927</v>
      </c>
      <c r="N105" s="83">
        <f t="shared" ref="N105" si="37">IFERROR(M105/M$28,0)</f>
        <v>0.15563808841332513</v>
      </c>
      <c r="O105" s="82">
        <f>SUM(O52:O104)</f>
        <v>122589.0443497636</v>
      </c>
      <c r="P105" s="83">
        <f t="shared" ref="P105" si="38">IFERROR(O105/O$28,0)</f>
        <v>0.15559825445875275</v>
      </c>
      <c r="Q105" s="82">
        <f>SUM(Q52:Q104)</f>
        <v>126243.39234959357</v>
      </c>
      <c r="R105" s="83">
        <f t="shared" ref="R105" si="39">IFERROR(Q105/Q$28,0)</f>
        <v>0.15556951315887996</v>
      </c>
      <c r="S105" s="82">
        <f>SUM(S52:S104)</f>
        <v>130006.19908459065</v>
      </c>
      <c r="T105" s="83">
        <f t="shared" ref="T105" si="40">IFERROR(S105/S$28,0)</f>
        <v>0.15554020714946512</v>
      </c>
      <c r="U105" s="82">
        <f>SUM(U52:U104)</f>
        <v>133883.49738466891</v>
      </c>
      <c r="V105" s="83">
        <f t="shared" si="31"/>
        <v>0.15551362176062053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448</v>
      </c>
      <c r="B107" s="53"/>
      <c r="C107" s="82">
        <f>C28-C33-C46-C105</f>
        <v>158815.19083173067</v>
      </c>
      <c r="D107" s="83">
        <f>IFERROR(C107/C$28,0)</f>
        <v>0.21076008161172974</v>
      </c>
      <c r="E107" s="82">
        <f>E28-E33-E46-E105</f>
        <v>161397.49896823987</v>
      </c>
      <c r="F107" s="83">
        <f>IFERROR(E107/E$28,0)</f>
        <v>0.20074315792069636</v>
      </c>
      <c r="G107" s="82">
        <f>G28-G33-G46-G105</f>
        <v>98075.611925985446</v>
      </c>
      <c r="H107" s="83">
        <f>IFERROR(G107/G$28,0)</f>
        <v>0.14010801703712206</v>
      </c>
      <c r="I107" s="82">
        <f>I28-I33-I46-I105</f>
        <v>100459.53225305476</v>
      </c>
      <c r="J107" s="83">
        <f>IFERROR(I107/I$28,0)</f>
        <v>0.13933360922753779</v>
      </c>
      <c r="K107" s="82">
        <f>K28-K33-K46-K105</f>
        <v>104883.54084087073</v>
      </c>
      <c r="L107" s="83">
        <f>IFERROR(K107/K$28,0)</f>
        <v>0.14123256647438256</v>
      </c>
      <c r="M107" s="82">
        <f>M28-M33-M46-M105</f>
        <v>109431.05319778858</v>
      </c>
      <c r="N107" s="83">
        <f>IFERROR(M107/M$28,0)</f>
        <v>0.14306416515455445</v>
      </c>
      <c r="O107" s="82">
        <f>O28-O33-O46-O105</f>
        <v>114146.29025196738</v>
      </c>
      <c r="P107" s="83">
        <f>IFERROR(O107/O$28,0)</f>
        <v>0.14488214350928269</v>
      </c>
      <c r="Q107" s="82">
        <f>Q28-Q33-Q46-Q105</f>
        <v>119029.94737245573</v>
      </c>
      <c r="R107" s="83">
        <f>IFERROR(Q107/Q$28,0)</f>
        <v>0.14668039744037864</v>
      </c>
      <c r="S107" s="82">
        <f>S28-S33-S46-S105</f>
        <v>124097.18453844317</v>
      </c>
      <c r="T107" s="83">
        <f>IFERROR(S107/S$28,0)</f>
        <v>0.14847062621387477</v>
      </c>
      <c r="U107" s="82">
        <f>U28-U33-U46-U105</f>
        <v>129351.62754911213</v>
      </c>
      <c r="V107" s="83">
        <f>IFERROR(U107/U$28,0)</f>
        <v>0.15024958619804307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449</v>
      </c>
      <c r="B110" s="40"/>
      <c r="C110" s="86" t="str">
        <f>C50</f>
        <v>FY 2018-19</v>
      </c>
      <c r="D110" s="86" t="s">
        <v>366</v>
      </c>
      <c r="E110" s="86" t="str">
        <f>E50</f>
        <v>FY 2019-20</v>
      </c>
      <c r="F110" s="86" t="s">
        <v>366</v>
      </c>
      <c r="G110" s="86" t="str">
        <f>G50</f>
        <v>FY 2020-21</v>
      </c>
      <c r="H110" s="86" t="s">
        <v>366</v>
      </c>
      <c r="I110" s="86" t="str">
        <f>I50</f>
        <v>FY 2021-22</v>
      </c>
      <c r="J110" s="86" t="s">
        <v>366</v>
      </c>
      <c r="K110" s="86" t="str">
        <f>K50</f>
        <v>FY 2022-23</v>
      </c>
      <c r="L110" s="86" t="s">
        <v>366</v>
      </c>
      <c r="M110" s="86" t="str">
        <f>M50</f>
        <v>FY 2023-24</v>
      </c>
      <c r="N110" s="86" t="s">
        <v>366</v>
      </c>
      <c r="O110" s="86" t="str">
        <f>O50</f>
        <v>FY 2024-25</v>
      </c>
      <c r="P110" s="86" t="s">
        <v>366</v>
      </c>
      <c r="Q110" s="86" t="str">
        <f>Q50</f>
        <v>FY 2025-26</v>
      </c>
      <c r="R110" s="86" t="s">
        <v>366</v>
      </c>
      <c r="S110" s="86" t="str">
        <f>S50</f>
        <v>FY 2026-27</v>
      </c>
      <c r="T110" s="86" t="s">
        <v>366</v>
      </c>
      <c r="U110" s="86" t="str">
        <f>U50</f>
        <v>FY 2027-28</v>
      </c>
      <c r="V110" s="86" t="s">
        <v>366</v>
      </c>
    </row>
    <row r="111" spans="1:24" ht="12.75" customHeight="1">
      <c r="A111" s="2" t="s">
        <v>403</v>
      </c>
      <c r="B111" s="35"/>
      <c r="C111" s="79">
        <f>C59</f>
        <v>0</v>
      </c>
      <c r="D111" s="80">
        <f t="shared" ref="D111:D116" si="41">IFERROR(C111/C$28,0)</f>
        <v>0</v>
      </c>
      <c r="E111" s="79">
        <f>E59</f>
        <v>0</v>
      </c>
      <c r="F111" s="80">
        <f t="shared" ref="F111:F116" si="42">IFERROR(E111/E$28,0)</f>
        <v>0</v>
      </c>
      <c r="G111" s="79">
        <f>G59</f>
        <v>0</v>
      </c>
      <c r="H111" s="80">
        <f t="shared" ref="H111:H116" si="43">IFERROR(G111/G$28,0)</f>
        <v>0</v>
      </c>
      <c r="I111" s="79">
        <f>I59</f>
        <v>0</v>
      </c>
      <c r="J111" s="80">
        <f t="shared" ref="J111:J116" si="44">IFERROR(I111/I$28,0)</f>
        <v>0</v>
      </c>
      <c r="K111" s="79">
        <f>K59</f>
        <v>0</v>
      </c>
      <c r="L111" s="80">
        <f t="shared" ref="L111:L116" si="45">IFERROR(K111/K$28,0)</f>
        <v>0</v>
      </c>
      <c r="M111" s="79">
        <f>M59</f>
        <v>0</v>
      </c>
      <c r="N111" s="80">
        <f t="shared" ref="N111:N116" si="46">IFERROR(M111/M$28,0)</f>
        <v>0</v>
      </c>
      <c r="O111" s="79">
        <f>O59</f>
        <v>0</v>
      </c>
      <c r="P111" s="80">
        <f t="shared" ref="P111:P116" si="47">IFERROR(O111/O$28,0)</f>
        <v>0</v>
      </c>
      <c r="Q111" s="79">
        <f>Q59</f>
        <v>0</v>
      </c>
      <c r="R111" s="80">
        <f t="shared" ref="R111:R116" si="48">IFERROR(Q111/Q$28,0)</f>
        <v>0</v>
      </c>
      <c r="S111" s="79">
        <f>S59</f>
        <v>0</v>
      </c>
      <c r="T111" s="80">
        <f t="shared" ref="T111:T116" si="49">IFERROR(S111/S$28,0)</f>
        <v>0</v>
      </c>
      <c r="U111" s="79">
        <f>U59</f>
        <v>0</v>
      </c>
      <c r="V111" s="80">
        <f t="shared" ref="V111:V116" si="50">IFERROR(U111/U$28,0)</f>
        <v>0</v>
      </c>
    </row>
    <row r="112" spans="1:24" ht="12.75" customHeight="1">
      <c r="A112" s="2" t="s">
        <v>450</v>
      </c>
      <c r="B112" s="35"/>
      <c r="C112" s="79">
        <f>C62</f>
        <v>0</v>
      </c>
      <c r="D112" s="80">
        <f t="shared" si="41"/>
        <v>0</v>
      </c>
      <c r="E112" s="79">
        <f>E62</f>
        <v>0</v>
      </c>
      <c r="F112" s="80">
        <f t="shared" si="42"/>
        <v>0</v>
      </c>
      <c r="G112" s="79">
        <f>G62</f>
        <v>0</v>
      </c>
      <c r="H112" s="80">
        <f t="shared" si="43"/>
        <v>0</v>
      </c>
      <c r="I112" s="79">
        <f>I62</f>
        <v>0</v>
      </c>
      <c r="J112" s="80">
        <f t="shared" si="44"/>
        <v>0</v>
      </c>
      <c r="K112" s="79">
        <f>K62</f>
        <v>0</v>
      </c>
      <c r="L112" s="80">
        <f t="shared" si="45"/>
        <v>0</v>
      </c>
      <c r="M112" s="79">
        <f>M62</f>
        <v>0</v>
      </c>
      <c r="N112" s="80">
        <f t="shared" si="46"/>
        <v>0</v>
      </c>
      <c r="O112" s="79">
        <f>O62</f>
        <v>0</v>
      </c>
      <c r="P112" s="80">
        <f t="shared" si="47"/>
        <v>0</v>
      </c>
      <c r="Q112" s="79">
        <f>Q62</f>
        <v>0</v>
      </c>
      <c r="R112" s="80">
        <f t="shared" si="48"/>
        <v>0</v>
      </c>
      <c r="S112" s="79">
        <f>S62</f>
        <v>0</v>
      </c>
      <c r="T112" s="80">
        <f t="shared" si="49"/>
        <v>0</v>
      </c>
      <c r="U112" s="79">
        <f>U62</f>
        <v>0</v>
      </c>
      <c r="V112" s="80">
        <f t="shared" si="50"/>
        <v>0</v>
      </c>
    </row>
    <row r="113" spans="1:22" ht="12.75" customHeight="1">
      <c r="A113" s="117" t="s">
        <v>446</v>
      </c>
      <c r="B113" s="41"/>
      <c r="C113" s="111">
        <v>0</v>
      </c>
      <c r="D113" s="80">
        <f t="shared" si="41"/>
        <v>0</v>
      </c>
      <c r="E113" s="111">
        <v>0</v>
      </c>
      <c r="F113" s="80">
        <f t="shared" si="42"/>
        <v>0</v>
      </c>
      <c r="G113" s="111">
        <v>0</v>
      </c>
      <c r="H113" s="80">
        <f t="shared" si="43"/>
        <v>0</v>
      </c>
      <c r="I113" s="111">
        <v>0</v>
      </c>
      <c r="J113" s="80">
        <f t="shared" si="44"/>
        <v>0</v>
      </c>
      <c r="K113" s="111">
        <v>0</v>
      </c>
      <c r="L113" s="80">
        <f t="shared" si="45"/>
        <v>0</v>
      </c>
      <c r="M113" s="111">
        <v>0</v>
      </c>
      <c r="N113" s="80">
        <f t="shared" si="46"/>
        <v>0</v>
      </c>
      <c r="O113" s="111">
        <v>0</v>
      </c>
      <c r="P113" s="80">
        <f t="shared" si="47"/>
        <v>0</v>
      </c>
      <c r="Q113" s="111">
        <v>0</v>
      </c>
      <c r="R113" s="80">
        <f t="shared" si="48"/>
        <v>0</v>
      </c>
      <c r="S113" s="111">
        <v>0</v>
      </c>
      <c r="T113" s="80">
        <f t="shared" si="49"/>
        <v>0</v>
      </c>
      <c r="U113" s="111">
        <v>0</v>
      </c>
      <c r="V113" s="80">
        <f t="shared" si="50"/>
        <v>0</v>
      </c>
    </row>
    <row r="114" spans="1:22" ht="12.75" customHeight="1">
      <c r="A114" s="117" t="s">
        <v>446</v>
      </c>
      <c r="B114" s="41"/>
      <c r="C114" s="111">
        <v>0</v>
      </c>
      <c r="D114" s="80">
        <f t="shared" si="41"/>
        <v>0</v>
      </c>
      <c r="E114" s="111">
        <v>0</v>
      </c>
      <c r="F114" s="80">
        <f t="shared" si="42"/>
        <v>0</v>
      </c>
      <c r="G114" s="111">
        <v>0</v>
      </c>
      <c r="H114" s="80">
        <f t="shared" si="43"/>
        <v>0</v>
      </c>
      <c r="I114" s="111">
        <v>0</v>
      </c>
      <c r="J114" s="80">
        <f t="shared" si="44"/>
        <v>0</v>
      </c>
      <c r="K114" s="111">
        <v>0</v>
      </c>
      <c r="L114" s="80">
        <f t="shared" si="45"/>
        <v>0</v>
      </c>
      <c r="M114" s="111">
        <v>0</v>
      </c>
      <c r="N114" s="80">
        <f t="shared" si="46"/>
        <v>0</v>
      </c>
      <c r="O114" s="111">
        <v>0</v>
      </c>
      <c r="P114" s="80">
        <f t="shared" si="47"/>
        <v>0</v>
      </c>
      <c r="Q114" s="111">
        <v>0</v>
      </c>
      <c r="R114" s="80">
        <f t="shared" si="48"/>
        <v>0</v>
      </c>
      <c r="S114" s="111">
        <v>0</v>
      </c>
      <c r="T114" s="80">
        <f t="shared" si="49"/>
        <v>0</v>
      </c>
      <c r="U114" s="111">
        <v>0</v>
      </c>
      <c r="V114" s="80">
        <f t="shared" si="50"/>
        <v>0</v>
      </c>
    </row>
    <row r="115" spans="1:22" ht="12.75" customHeight="1">
      <c r="A115" s="117" t="s">
        <v>446</v>
      </c>
      <c r="B115" s="41"/>
      <c r="C115" s="112">
        <v>0</v>
      </c>
      <c r="D115" s="80">
        <f t="shared" si="41"/>
        <v>0</v>
      </c>
      <c r="E115" s="112">
        <v>0</v>
      </c>
      <c r="F115" s="80">
        <f t="shared" si="42"/>
        <v>0</v>
      </c>
      <c r="G115" s="112">
        <v>0</v>
      </c>
      <c r="H115" s="80">
        <f t="shared" si="43"/>
        <v>0</v>
      </c>
      <c r="I115" s="112">
        <v>0</v>
      </c>
      <c r="J115" s="80">
        <f t="shared" si="44"/>
        <v>0</v>
      </c>
      <c r="K115" s="112">
        <v>0</v>
      </c>
      <c r="L115" s="80">
        <f t="shared" si="45"/>
        <v>0</v>
      </c>
      <c r="M115" s="112">
        <v>0</v>
      </c>
      <c r="N115" s="80">
        <f t="shared" si="46"/>
        <v>0</v>
      </c>
      <c r="O115" s="112">
        <v>0</v>
      </c>
      <c r="P115" s="80">
        <f t="shared" si="47"/>
        <v>0</v>
      </c>
      <c r="Q115" s="112">
        <v>0</v>
      </c>
      <c r="R115" s="80">
        <f t="shared" si="48"/>
        <v>0</v>
      </c>
      <c r="S115" s="112">
        <v>0</v>
      </c>
      <c r="T115" s="80">
        <f t="shared" si="49"/>
        <v>0</v>
      </c>
      <c r="U115" s="112">
        <v>0</v>
      </c>
      <c r="V115" s="80">
        <f t="shared" si="50"/>
        <v>0</v>
      </c>
    </row>
    <row r="116" spans="1:22" ht="12.75" customHeight="1">
      <c r="A116" s="40" t="s">
        <v>451</v>
      </c>
      <c r="B116" s="42"/>
      <c r="C116" s="85">
        <f>SUM(C111:C115)</f>
        <v>0</v>
      </c>
      <c r="D116" s="83">
        <f t="shared" si="41"/>
        <v>0</v>
      </c>
      <c r="E116" s="85">
        <f>SUM(E111:E115)</f>
        <v>0</v>
      </c>
      <c r="F116" s="83">
        <f t="shared" si="42"/>
        <v>0</v>
      </c>
      <c r="G116" s="85">
        <f>SUM(G111:G115)</f>
        <v>0</v>
      </c>
      <c r="H116" s="83">
        <f t="shared" si="43"/>
        <v>0</v>
      </c>
      <c r="I116" s="85">
        <f>SUM(I111:I115)</f>
        <v>0</v>
      </c>
      <c r="J116" s="83">
        <f t="shared" si="44"/>
        <v>0</v>
      </c>
      <c r="K116" s="85">
        <f>SUM(K111:K115)</f>
        <v>0</v>
      </c>
      <c r="L116" s="83">
        <f t="shared" si="45"/>
        <v>0</v>
      </c>
      <c r="M116" s="85">
        <f>SUM(M111:M115)</f>
        <v>0</v>
      </c>
      <c r="N116" s="83">
        <f t="shared" si="46"/>
        <v>0</v>
      </c>
      <c r="O116" s="85">
        <f>SUM(O111:O115)</f>
        <v>0</v>
      </c>
      <c r="P116" s="83">
        <f t="shared" si="47"/>
        <v>0</v>
      </c>
      <c r="Q116" s="85">
        <f>SUM(Q111:Q115)</f>
        <v>0</v>
      </c>
      <c r="R116" s="83">
        <f t="shared" si="48"/>
        <v>0</v>
      </c>
      <c r="S116" s="85">
        <f>SUM(S111:S115)</f>
        <v>0</v>
      </c>
      <c r="T116" s="83">
        <f t="shared" si="49"/>
        <v>0</v>
      </c>
      <c r="U116" s="85">
        <f>SUM(U111:U115)</f>
        <v>0</v>
      </c>
      <c r="V116" s="83">
        <f t="shared" si="50"/>
        <v>0</v>
      </c>
    </row>
    <row r="118" spans="1:22" ht="12.75" customHeight="1">
      <c r="A118" s="43" t="s">
        <v>452</v>
      </c>
      <c r="B118" s="43"/>
    </row>
    <row r="119" spans="1:22" ht="12.75" customHeight="1">
      <c r="A119" s="47" t="s">
        <v>471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  <pageSetUpPr fitToPage="1"/>
  </sheetPr>
  <dimension ref="A1:J91"/>
  <sheetViews>
    <sheetView tabSelected="1" zoomScaleNormal="100" workbookViewId="0" xr3:uid="{958C4451-9541-5A59-BF78-D2F731DF1C81}">
      <selection activeCell="D78" sqref="D78:H78"/>
    </sheetView>
  </sheetViews>
  <sheetFormatPr defaultColWidth="9.140625" defaultRowHeight="12.75"/>
  <cols>
    <col min="1" max="1" width="3.140625" style="2" customWidth="1"/>
    <col min="2" max="2" width="10.5703125" style="2" customWidth="1"/>
    <col min="3" max="3" width="30.5703125" style="2" customWidth="1"/>
    <col min="4" max="4" width="40.7109375" style="3" customWidth="1"/>
    <col min="5" max="5" width="1.5703125" style="3" customWidth="1"/>
    <col min="6" max="6" width="13.5703125" style="2" customWidth="1"/>
    <col min="7" max="7" width="1.5703125" style="3" customWidth="1"/>
    <col min="8" max="8" width="22.42578125" style="2" customWidth="1"/>
    <col min="9" max="9" width="5.7109375" style="2" customWidth="1"/>
    <col min="10" max="10" width="15.7109375" style="2" customWidth="1"/>
    <col min="11" max="11" width="3.140625" style="2" customWidth="1"/>
    <col min="12" max="12" width="9.7109375" style="2" customWidth="1"/>
    <col min="13" max="14" width="14.7109375" style="2" customWidth="1"/>
    <col min="15" max="15" width="4.7109375" style="2" customWidth="1"/>
    <col min="16" max="16" width="14.7109375" style="2" customWidth="1"/>
    <col min="17" max="17" width="5.7109375" style="2" customWidth="1"/>
    <col min="18" max="18" width="15.7109375" style="2" customWidth="1"/>
    <col min="19" max="16384" width="9.140625" style="2"/>
  </cols>
  <sheetData>
    <row r="1" spans="1:8" customFormat="1">
      <c r="A1" s="1" t="s">
        <v>0</v>
      </c>
    </row>
    <row r="2" spans="1:8" customFormat="1">
      <c r="A2" s="1" t="s">
        <v>1</v>
      </c>
    </row>
    <row r="3" spans="1:8">
      <c r="A3" s="1" t="s">
        <v>15</v>
      </c>
    </row>
    <row r="4" spans="1:8">
      <c r="A4" s="1"/>
    </row>
    <row r="5" spans="1:8">
      <c r="A5" s="1" t="s">
        <v>16</v>
      </c>
      <c r="C5" s="109" t="s">
        <v>17</v>
      </c>
    </row>
    <row r="7" spans="1:8">
      <c r="A7" s="50" t="s">
        <v>18</v>
      </c>
      <c r="B7" s="1" t="s">
        <v>19</v>
      </c>
      <c r="C7" s="1"/>
    </row>
    <row r="8" spans="1:8">
      <c r="A8" s="50"/>
      <c r="B8" s="4" t="s">
        <v>20</v>
      </c>
      <c r="C8" s="4"/>
    </row>
    <row r="9" spans="1:8">
      <c r="A9" s="51"/>
      <c r="D9" s="2"/>
      <c r="E9" s="2"/>
      <c r="G9" s="2"/>
    </row>
    <row r="10" spans="1:8">
      <c r="A10" s="51"/>
      <c r="B10" s="250" t="s">
        <v>21</v>
      </c>
      <c r="C10" s="251"/>
      <c r="D10" s="93" t="s">
        <v>22</v>
      </c>
      <c r="E10" s="93"/>
      <c r="F10" s="93" t="s">
        <v>23</v>
      </c>
      <c r="G10" s="95"/>
      <c r="H10" s="93" t="s">
        <v>24</v>
      </c>
    </row>
    <row r="11" spans="1:8">
      <c r="A11" s="51"/>
      <c r="B11" s="252"/>
      <c r="C11" s="253"/>
      <c r="D11" s="87"/>
      <c r="E11" s="87"/>
      <c r="F11" s="87" t="s">
        <v>25</v>
      </c>
      <c r="G11" s="96"/>
      <c r="H11" s="87" t="s">
        <v>26</v>
      </c>
    </row>
    <row r="12" spans="1:8">
      <c r="A12" s="51"/>
      <c r="B12" s="103" t="s">
        <v>27</v>
      </c>
      <c r="C12" s="104"/>
      <c r="D12" s="28"/>
      <c r="E12" s="28"/>
      <c r="F12" s="28"/>
      <c r="G12" s="28"/>
      <c r="H12" s="98"/>
    </row>
    <row r="13" spans="1:8" ht="5.0999999999999996" customHeight="1">
      <c r="A13" s="51"/>
      <c r="B13" s="99"/>
      <c r="C13" s="1"/>
      <c r="D13" s="2"/>
      <c r="E13" s="2"/>
      <c r="G13" s="2"/>
      <c r="H13" s="100"/>
    </row>
    <row r="14" spans="1:8">
      <c r="A14" s="51"/>
      <c r="B14" s="99" t="s">
        <v>28</v>
      </c>
      <c r="C14" s="1"/>
      <c r="D14" s="2"/>
      <c r="E14" s="2"/>
      <c r="G14" s="2"/>
      <c r="H14" s="100"/>
    </row>
    <row r="15" spans="1:8">
      <c r="A15" s="51"/>
      <c r="B15" s="48" t="s">
        <v>29</v>
      </c>
      <c r="D15" s="109" t="str">
        <f>+B15</f>
        <v>Fresh Food Co. - Door Sales (Graham Center)</v>
      </c>
      <c r="E15" s="2"/>
      <c r="F15" s="109" t="s">
        <v>30</v>
      </c>
      <c r="G15" s="2"/>
      <c r="H15" s="146" t="s">
        <v>31</v>
      </c>
    </row>
    <row r="16" spans="1:8">
      <c r="A16" s="51"/>
      <c r="B16" s="48" t="s">
        <v>32</v>
      </c>
      <c r="D16" s="109" t="str">
        <f>+B16</f>
        <v>POD Market (Breezeway)</v>
      </c>
      <c r="E16" s="2"/>
      <c r="F16" s="109" t="s">
        <v>30</v>
      </c>
      <c r="G16" s="2"/>
      <c r="H16" s="146" t="s">
        <v>31</v>
      </c>
    </row>
    <row r="17" spans="1:8">
      <c r="A17" s="51"/>
      <c r="B17" s="48" t="s">
        <v>33</v>
      </c>
      <c r="D17" s="109" t="str">
        <f t="shared" ref="D17:D54" si="0">+B17</f>
        <v>Express (Green Library)</v>
      </c>
      <c r="E17" s="2"/>
      <c r="F17" s="109" t="s">
        <v>30</v>
      </c>
      <c r="G17" s="2"/>
      <c r="H17" s="146" t="s">
        <v>31</v>
      </c>
    </row>
    <row r="18" spans="1:8">
      <c r="A18" s="51"/>
      <c r="B18" s="48" t="s">
        <v>34</v>
      </c>
      <c r="D18" s="109" t="str">
        <f t="shared" si="0"/>
        <v>Starbucks (Green Library)</v>
      </c>
      <c r="E18" s="2"/>
      <c r="F18" s="109" t="s">
        <v>30</v>
      </c>
      <c r="G18" s="2"/>
      <c r="H18" s="146" t="s">
        <v>31</v>
      </c>
    </row>
    <row r="19" spans="1:8">
      <c r="A19" s="51"/>
      <c r="B19" s="48" t="s">
        <v>35</v>
      </c>
      <c r="D19" s="109" t="str">
        <f t="shared" si="0"/>
        <v>Miro's Food Truck (Green Library)</v>
      </c>
      <c r="E19" s="2"/>
      <c r="F19" s="109" t="s">
        <v>36</v>
      </c>
      <c r="G19" s="2"/>
      <c r="H19" s="146" t="s">
        <v>31</v>
      </c>
    </row>
    <row r="20" spans="1:8">
      <c r="A20" s="51"/>
      <c r="B20" s="48" t="s">
        <v>37</v>
      </c>
      <c r="D20" s="109" t="str">
        <f t="shared" si="0"/>
        <v>Faculty Club (Graham Center)</v>
      </c>
      <c r="E20" s="2"/>
      <c r="F20" s="109" t="s">
        <v>30</v>
      </c>
      <c r="G20" s="2"/>
      <c r="H20" s="146" t="s">
        <v>31</v>
      </c>
    </row>
    <row r="21" spans="1:8">
      <c r="A21" s="51"/>
      <c r="B21" s="48" t="s">
        <v>38</v>
      </c>
      <c r="D21" s="109" t="str">
        <f t="shared" si="0"/>
        <v>Almazar (Graham Center)</v>
      </c>
      <c r="E21" s="2"/>
      <c r="F21" s="109" t="s">
        <v>36</v>
      </c>
      <c r="G21" s="2"/>
      <c r="H21" s="146" t="s">
        <v>31</v>
      </c>
    </row>
    <row r="22" spans="1:8">
      <c r="A22" s="51"/>
      <c r="B22" s="48" t="s">
        <v>39</v>
      </c>
      <c r="D22" s="109" t="str">
        <f t="shared" si="0"/>
        <v>Burger King (Graham Center)</v>
      </c>
      <c r="E22" s="2"/>
      <c r="F22" s="109" t="s">
        <v>30</v>
      </c>
      <c r="G22" s="2"/>
      <c r="H22" s="146" t="s">
        <v>31</v>
      </c>
    </row>
    <row r="23" spans="1:8">
      <c r="A23" s="51"/>
      <c r="B23" s="48" t="s">
        <v>40</v>
      </c>
      <c r="D23" s="109" t="str">
        <f t="shared" si="0"/>
        <v>Café Bustelo (Graham Center)</v>
      </c>
      <c r="E23" s="2"/>
      <c r="F23" s="109" t="s">
        <v>30</v>
      </c>
      <c r="G23" s="2"/>
      <c r="H23" s="146" t="s">
        <v>31</v>
      </c>
    </row>
    <row r="24" spans="1:8">
      <c r="A24" s="51"/>
      <c r="B24" s="48" t="s">
        <v>41</v>
      </c>
      <c r="D24" s="109" t="str">
        <f t="shared" si="0"/>
        <v>Chili's (Graham Center)</v>
      </c>
      <c r="E24" s="2"/>
      <c r="F24" s="109" t="s">
        <v>30</v>
      </c>
      <c r="G24" s="2"/>
      <c r="H24" s="146" t="s">
        <v>31</v>
      </c>
    </row>
    <row r="25" spans="1:8">
      <c r="A25" s="51"/>
      <c r="B25" s="48" t="s">
        <v>42</v>
      </c>
      <c r="D25" s="109" t="str">
        <f t="shared" si="0"/>
        <v>Einstein Bros. Bagels (Graham Center)</v>
      </c>
      <c r="E25" s="2"/>
      <c r="F25" s="109" t="s">
        <v>30</v>
      </c>
      <c r="G25" s="2"/>
      <c r="H25" s="146" t="s">
        <v>31</v>
      </c>
    </row>
    <row r="26" spans="1:8">
      <c r="A26" s="51"/>
      <c r="B26" s="48" t="s">
        <v>43</v>
      </c>
      <c r="D26" s="109" t="str">
        <f t="shared" si="0"/>
        <v>Jamba Juice (Graham Center)</v>
      </c>
      <c r="E26" s="2"/>
      <c r="F26" s="109" t="s">
        <v>30</v>
      </c>
      <c r="G26" s="2"/>
      <c r="H26" s="146" t="s">
        <v>31</v>
      </c>
    </row>
    <row r="27" spans="1:8">
      <c r="A27" s="51"/>
      <c r="B27" s="48" t="s">
        <v>44</v>
      </c>
      <c r="D27" s="109" t="str">
        <f t="shared" si="0"/>
        <v>Pollo Tropical (Graham Center)</v>
      </c>
      <c r="E27" s="2"/>
      <c r="F27" s="109" t="s">
        <v>30</v>
      </c>
      <c r="G27" s="2"/>
      <c r="H27" s="146" t="s">
        <v>31</v>
      </c>
    </row>
    <row r="28" spans="1:8">
      <c r="A28" s="51"/>
      <c r="B28" s="48" t="s">
        <v>45</v>
      </c>
      <c r="D28" s="109" t="str">
        <f t="shared" si="0"/>
        <v>Subway (Graham Center)</v>
      </c>
      <c r="E28" s="2"/>
      <c r="F28" s="109" t="s">
        <v>30</v>
      </c>
      <c r="G28" s="2"/>
      <c r="H28" s="146" t="s">
        <v>31</v>
      </c>
    </row>
    <row r="29" spans="1:8">
      <c r="A29" s="51"/>
      <c r="B29" s="48" t="s">
        <v>46</v>
      </c>
      <c r="D29" s="109" t="str">
        <f t="shared" si="0"/>
        <v>Sushi Maki (Graham Center)</v>
      </c>
      <c r="E29" s="2"/>
      <c r="F29" s="109" t="s">
        <v>36</v>
      </c>
      <c r="G29" s="2"/>
      <c r="H29" s="146" t="s">
        <v>31</v>
      </c>
    </row>
    <row r="30" spans="1:8">
      <c r="A30" s="51"/>
      <c r="B30" s="48" t="s">
        <v>47</v>
      </c>
      <c r="D30" s="109" t="str">
        <f t="shared" si="0"/>
        <v>Panda Express (MANGO)</v>
      </c>
      <c r="E30" s="2"/>
      <c r="F30" s="109" t="s">
        <v>30</v>
      </c>
      <c r="G30" s="2"/>
      <c r="H30" s="146" t="s">
        <v>31</v>
      </c>
    </row>
    <row r="31" spans="1:8">
      <c r="A31" s="51"/>
      <c r="B31" s="48" t="s">
        <v>48</v>
      </c>
      <c r="D31" s="109" t="str">
        <f t="shared" si="0"/>
        <v>Starbucks (MANGO)</v>
      </c>
      <c r="E31" s="2"/>
      <c r="F31" s="109" t="s">
        <v>30</v>
      </c>
      <c r="G31" s="2"/>
      <c r="H31" s="146" t="s">
        <v>31</v>
      </c>
    </row>
    <row r="32" spans="1:8">
      <c r="A32" s="51"/>
      <c r="B32" s="48" t="s">
        <v>49</v>
      </c>
      <c r="D32" s="109" t="str">
        <f t="shared" si="0"/>
        <v>Taco Bell (MANGO)</v>
      </c>
      <c r="E32" s="2"/>
      <c r="F32" s="109" t="s">
        <v>30</v>
      </c>
      <c r="G32" s="2"/>
      <c r="H32" s="146" t="s">
        <v>31</v>
      </c>
    </row>
    <row r="33" spans="1:8">
      <c r="A33" s="51"/>
      <c r="B33" s="48" t="s">
        <v>50</v>
      </c>
      <c r="D33" s="109" t="str">
        <f t="shared" si="0"/>
        <v>Chick-fil-A (Parking Garage 5)</v>
      </c>
      <c r="E33" s="2"/>
      <c r="F33" s="109" t="s">
        <v>30</v>
      </c>
      <c r="G33" s="2"/>
      <c r="H33" s="146" t="s">
        <v>31</v>
      </c>
    </row>
    <row r="34" spans="1:8">
      <c r="A34" s="51"/>
      <c r="B34" s="48" t="s">
        <v>51</v>
      </c>
      <c r="D34" s="109" t="str">
        <f t="shared" si="0"/>
        <v>Dunkin Donuts (Parking Garage 5)</v>
      </c>
      <c r="E34" s="2"/>
      <c r="F34" s="109" t="s">
        <v>30</v>
      </c>
      <c r="G34" s="2"/>
      <c r="H34" s="146" t="s">
        <v>31</v>
      </c>
    </row>
    <row r="35" spans="1:8">
      <c r="A35" s="51"/>
      <c r="B35" s="48" t="s">
        <v>52</v>
      </c>
      <c r="D35" s="109" t="str">
        <f t="shared" si="0"/>
        <v>Misha's Cupcakes (Parking Garage 5)</v>
      </c>
      <c r="E35" s="2"/>
      <c r="F35" s="109" t="s">
        <v>36</v>
      </c>
      <c r="G35" s="2"/>
      <c r="H35" s="146" t="s">
        <v>31</v>
      </c>
    </row>
    <row r="36" spans="1:8">
      <c r="A36" s="51"/>
      <c r="B36" s="48" t="s">
        <v>53</v>
      </c>
      <c r="D36" s="109" t="str">
        <f t="shared" si="0"/>
        <v>Sergio's Cuban Café &amp; Grill (Parking Garage 5)</v>
      </c>
      <c r="E36" s="2"/>
      <c r="F36" s="109" t="s">
        <v>30</v>
      </c>
      <c r="G36" s="2"/>
      <c r="H36" s="146" t="s">
        <v>31</v>
      </c>
    </row>
    <row r="37" spans="1:8">
      <c r="A37" s="51"/>
      <c r="B37" s="48" t="s">
        <v>54</v>
      </c>
      <c r="D37" s="109" t="str">
        <f t="shared" si="0"/>
        <v>Moe's Southwest Grill (Parking Garage 5)</v>
      </c>
      <c r="E37" s="2"/>
      <c r="F37" s="109" t="s">
        <v>30</v>
      </c>
      <c r="G37" s="2"/>
      <c r="H37" s="146" t="s">
        <v>31</v>
      </c>
    </row>
    <row r="38" spans="1:8">
      <c r="A38" s="51"/>
      <c r="B38" s="48" t="s">
        <v>55</v>
      </c>
      <c r="D38" s="109" t="str">
        <f t="shared" si="0"/>
        <v>Papa John's Pizza (Parking Garage 5)</v>
      </c>
      <c r="E38" s="2"/>
      <c r="F38" s="109" t="s">
        <v>30</v>
      </c>
      <c r="G38" s="2"/>
      <c r="H38" s="146" t="s">
        <v>31</v>
      </c>
    </row>
    <row r="39" spans="1:8">
      <c r="A39" s="51"/>
      <c r="B39" s="48" t="s">
        <v>56</v>
      </c>
      <c r="D39" s="109" t="str">
        <f t="shared" si="0"/>
        <v>Salad Creations (Parking Garage 5)</v>
      </c>
      <c r="E39" s="2"/>
      <c r="F39" s="109" t="s">
        <v>36</v>
      </c>
      <c r="G39" s="2"/>
      <c r="H39" s="146" t="s">
        <v>31</v>
      </c>
    </row>
    <row r="40" spans="1:8">
      <c r="A40" s="51"/>
      <c r="B40" s="48" t="s">
        <v>57</v>
      </c>
      <c r="D40" s="109" t="str">
        <f t="shared" si="0"/>
        <v>Half Moon Empanadas (Parking Garage 6)</v>
      </c>
      <c r="E40" s="2"/>
      <c r="F40" s="109" t="s">
        <v>36</v>
      </c>
      <c r="G40" s="2"/>
      <c r="H40" s="146" t="s">
        <v>31</v>
      </c>
    </row>
    <row r="41" spans="1:8">
      <c r="A41" s="51"/>
      <c r="B41" s="48" t="s">
        <v>58</v>
      </c>
      <c r="D41" s="109" t="str">
        <f t="shared" si="0"/>
        <v>Tropical Café Smoothies (Recreation Center)</v>
      </c>
      <c r="E41" s="2"/>
      <c r="F41" s="109" t="s">
        <v>36</v>
      </c>
      <c r="G41" s="2"/>
      <c r="H41" s="146" t="s">
        <v>31</v>
      </c>
    </row>
    <row r="42" spans="1:8">
      <c r="A42" s="51"/>
      <c r="B42" s="48" t="s">
        <v>59</v>
      </c>
      <c r="D42" s="109" t="str">
        <f>+B42</f>
        <v xml:space="preserve">Heritage Market </v>
      </c>
      <c r="E42" s="2"/>
      <c r="F42" s="145" t="s">
        <v>30</v>
      </c>
      <c r="G42" s="2"/>
      <c r="H42" s="146" t="s">
        <v>31</v>
      </c>
    </row>
    <row r="43" spans="1:8">
      <c r="A43" s="51"/>
      <c r="B43" s="48" t="s">
        <v>60</v>
      </c>
      <c r="D43" s="109" t="str">
        <f>+B43</f>
        <v>Panera</v>
      </c>
      <c r="E43" s="2"/>
      <c r="F43" s="145" t="s">
        <v>30</v>
      </c>
      <c r="G43" s="2"/>
      <c r="H43" s="146" t="s">
        <v>31</v>
      </c>
    </row>
    <row r="44" spans="1:8">
      <c r="A44" s="51"/>
      <c r="B44" s="48" t="s">
        <v>61</v>
      </c>
      <c r="D44" s="109" t="str">
        <f>+B44</f>
        <v xml:space="preserve">Chipotle / GC Food Court </v>
      </c>
      <c r="E44" s="2"/>
      <c r="F44" s="145" t="s">
        <v>30</v>
      </c>
      <c r="G44" s="2"/>
      <c r="H44" s="146" t="s">
        <v>31</v>
      </c>
    </row>
    <row r="45" spans="1:8">
      <c r="A45" s="51"/>
      <c r="B45" s="48" t="s">
        <v>62</v>
      </c>
      <c r="D45" s="109" t="str">
        <f>+B45</f>
        <v>Market Pavillion</v>
      </c>
      <c r="E45" s="2"/>
      <c r="F45" s="145" t="s">
        <v>30</v>
      </c>
      <c r="G45" s="2"/>
      <c r="H45" s="146" t="s">
        <v>31</v>
      </c>
    </row>
    <row r="46" spans="1:8">
      <c r="A46" s="51"/>
      <c r="B46" s="48"/>
      <c r="D46" s="28"/>
      <c r="E46" s="2"/>
      <c r="F46" s="28"/>
      <c r="G46" s="2"/>
      <c r="H46" s="98"/>
    </row>
    <row r="47" spans="1:8">
      <c r="A47" s="51"/>
      <c r="B47" s="99" t="s">
        <v>63</v>
      </c>
      <c r="C47" s="1"/>
      <c r="D47" s="2"/>
      <c r="E47" s="2"/>
      <c r="G47" s="2"/>
      <c r="H47" s="100"/>
    </row>
    <row r="48" spans="1:8">
      <c r="A48" s="51"/>
      <c r="B48" s="48" t="s">
        <v>64</v>
      </c>
      <c r="D48" s="109" t="str">
        <f t="shared" si="0"/>
        <v>All Meal Plans (exclusive of Meal Plan Dining $)</v>
      </c>
      <c r="E48" s="2"/>
      <c r="F48" s="149" t="s">
        <v>65</v>
      </c>
      <c r="G48" s="2"/>
      <c r="H48" s="146" t="s">
        <v>31</v>
      </c>
    </row>
    <row r="49" spans="1:10">
      <c r="A49" s="51"/>
      <c r="B49" s="48"/>
      <c r="D49" s="28"/>
      <c r="E49" s="2"/>
      <c r="F49" s="28"/>
      <c r="G49" s="2"/>
      <c r="H49" s="98"/>
    </row>
    <row r="50" spans="1:10">
      <c r="A50" s="51"/>
      <c r="B50" s="99" t="s">
        <v>66</v>
      </c>
      <c r="C50" s="1"/>
      <c r="D50" s="2"/>
      <c r="E50" s="2"/>
      <c r="G50" s="2"/>
      <c r="H50" s="100"/>
    </row>
    <row r="51" spans="1:10">
      <c r="A51" s="51"/>
      <c r="B51" s="48" t="s">
        <v>67</v>
      </c>
      <c r="D51" s="109" t="str">
        <f t="shared" si="0"/>
        <v>Catering</v>
      </c>
      <c r="E51" s="2"/>
      <c r="F51" s="109" t="s">
        <v>65</v>
      </c>
      <c r="G51" s="2"/>
      <c r="H51" s="146" t="s">
        <v>31</v>
      </c>
    </row>
    <row r="52" spans="1:10">
      <c r="A52" s="51"/>
      <c r="B52" s="48" t="s">
        <v>68</v>
      </c>
      <c r="D52" s="109" t="str">
        <f t="shared" si="0"/>
        <v>Athletic Catering</v>
      </c>
      <c r="E52" s="2"/>
      <c r="F52" s="109" t="s">
        <v>65</v>
      </c>
      <c r="G52" s="2"/>
      <c r="H52" s="146" t="s">
        <v>31</v>
      </c>
    </row>
    <row r="53" spans="1:10">
      <c r="A53" s="51"/>
      <c r="B53" s="48" t="s">
        <v>69</v>
      </c>
      <c r="D53" s="109" t="str">
        <f t="shared" si="0"/>
        <v>Alcohol</v>
      </c>
      <c r="E53" s="2"/>
      <c r="F53" s="109" t="s">
        <v>65</v>
      </c>
      <c r="G53" s="2"/>
      <c r="H53" s="146" t="s">
        <v>31</v>
      </c>
    </row>
    <row r="54" spans="1:10">
      <c r="A54" s="51"/>
      <c r="B54" s="48" t="s">
        <v>70</v>
      </c>
      <c r="D54" s="109" t="str">
        <f t="shared" si="0"/>
        <v>Summer Conferences &amp; Camps</v>
      </c>
      <c r="E54" s="2"/>
      <c r="F54" s="109" t="s">
        <v>65</v>
      </c>
      <c r="G54" s="2"/>
      <c r="H54" s="146" t="s">
        <v>31</v>
      </c>
    </row>
    <row r="55" spans="1:10">
      <c r="A55" s="51"/>
      <c r="B55" s="48"/>
      <c r="D55" s="28"/>
      <c r="E55" s="2"/>
      <c r="F55" s="28"/>
      <c r="G55" s="2"/>
      <c r="H55" s="98"/>
    </row>
    <row r="56" spans="1:10">
      <c r="A56" s="51"/>
      <c r="B56" s="102" t="s">
        <v>71</v>
      </c>
      <c r="C56" s="105"/>
      <c r="D56" s="2"/>
      <c r="E56" s="2"/>
      <c r="G56" s="2"/>
      <c r="H56" s="100"/>
    </row>
    <row r="57" spans="1:10" ht="5.0999999999999996" customHeight="1">
      <c r="A57" s="51"/>
      <c r="B57" s="101"/>
      <c r="C57" s="106"/>
      <c r="D57" s="2"/>
      <c r="E57" s="2"/>
      <c r="G57" s="2"/>
      <c r="H57" s="100"/>
    </row>
    <row r="58" spans="1:10">
      <c r="A58" s="51"/>
      <c r="B58" s="99" t="s">
        <v>28</v>
      </c>
      <c r="C58" s="1"/>
      <c r="D58" s="2"/>
      <c r="E58" s="2"/>
      <c r="G58" s="2"/>
      <c r="H58" s="100"/>
    </row>
    <row r="59" spans="1:10">
      <c r="A59" s="51"/>
      <c r="B59" s="48" t="s">
        <v>72</v>
      </c>
      <c r="D59" s="109" t="str">
        <f>+B59</f>
        <v>Starbucks (Hubert Library)</v>
      </c>
      <c r="E59" s="2"/>
      <c r="F59" s="109" t="s">
        <v>65</v>
      </c>
      <c r="G59" s="2"/>
      <c r="H59" s="146" t="s">
        <v>31</v>
      </c>
    </row>
    <row r="60" spans="1:10">
      <c r="A60" s="51"/>
      <c r="B60" s="48" t="s">
        <v>73</v>
      </c>
      <c r="D60" s="109" t="str">
        <f t="shared" ref="D60:D62" si="1">+B60</f>
        <v>Moe's Southwest Grill (Wolfe Center)</v>
      </c>
      <c r="E60" s="2"/>
      <c r="F60" s="144" t="s">
        <v>65</v>
      </c>
      <c r="G60" s="2"/>
      <c r="H60" s="146" t="s">
        <v>31</v>
      </c>
    </row>
    <row r="61" spans="1:10">
      <c r="A61" s="51"/>
      <c r="B61" s="48" t="s">
        <v>74</v>
      </c>
      <c r="D61" s="109" t="str">
        <f t="shared" si="1"/>
        <v>Grille Works (Wolfe Center)</v>
      </c>
      <c r="E61" s="2"/>
      <c r="F61" s="144" t="s">
        <v>65</v>
      </c>
      <c r="G61" s="2"/>
      <c r="H61" s="146" t="s">
        <v>31</v>
      </c>
    </row>
    <row r="62" spans="1:10">
      <c r="A62" s="51"/>
      <c r="B62" s="48" t="s">
        <v>75</v>
      </c>
      <c r="D62" s="109" t="str">
        <f t="shared" si="1"/>
        <v>Subway (Wolfe Center)</v>
      </c>
      <c r="E62" s="2"/>
      <c r="F62" s="144" t="s">
        <v>65</v>
      </c>
      <c r="G62" s="2"/>
      <c r="H62" s="146" t="s">
        <v>31</v>
      </c>
    </row>
    <row r="63" spans="1:10">
      <c r="A63" s="51"/>
      <c r="B63" s="48" t="s">
        <v>76</v>
      </c>
      <c r="D63" s="109" t="s">
        <v>76</v>
      </c>
      <c r="E63" s="2"/>
      <c r="F63" s="145" t="s">
        <v>65</v>
      </c>
      <c r="G63" s="2"/>
      <c r="H63" s="146" t="s">
        <v>31</v>
      </c>
      <c r="J63" s="19"/>
    </row>
    <row r="64" spans="1:10">
      <c r="A64" s="51"/>
      <c r="B64" s="48" t="s">
        <v>77</v>
      </c>
      <c r="D64" s="109"/>
      <c r="E64" s="2"/>
      <c r="F64" s="145"/>
      <c r="G64" s="2"/>
      <c r="H64" s="148"/>
    </row>
    <row r="65" spans="1:8">
      <c r="A65" s="51"/>
      <c r="B65" s="48" t="s">
        <v>77</v>
      </c>
      <c r="D65" s="109"/>
      <c r="E65" s="2"/>
      <c r="F65" s="145"/>
      <c r="G65" s="2"/>
      <c r="H65" s="148"/>
    </row>
    <row r="66" spans="1:8">
      <c r="A66" s="51"/>
      <c r="B66" s="48"/>
      <c r="D66" s="28"/>
      <c r="E66" s="2"/>
      <c r="F66" s="28"/>
      <c r="G66" s="2"/>
      <c r="H66" s="98"/>
    </row>
    <row r="67" spans="1:8">
      <c r="A67" s="51"/>
      <c r="B67" s="99" t="s">
        <v>66</v>
      </c>
      <c r="C67" s="1"/>
      <c r="D67" s="2"/>
      <c r="E67" s="2"/>
      <c r="G67" s="2"/>
      <c r="H67" s="100"/>
    </row>
    <row r="68" spans="1:8">
      <c r="A68" s="51"/>
      <c r="B68" s="48" t="s">
        <v>78</v>
      </c>
      <c r="D68" s="109"/>
      <c r="E68" s="2"/>
      <c r="F68" s="109"/>
      <c r="G68" s="2"/>
      <c r="H68" s="146"/>
    </row>
    <row r="69" spans="1:8">
      <c r="A69" s="51"/>
      <c r="B69" s="48" t="s">
        <v>79</v>
      </c>
      <c r="D69" s="144" t="s">
        <v>80</v>
      </c>
      <c r="E69" s="2"/>
      <c r="F69" s="144" t="s">
        <v>65</v>
      </c>
      <c r="G69" s="2"/>
      <c r="H69" s="147">
        <v>0.1</v>
      </c>
    </row>
    <row r="70" spans="1:8">
      <c r="A70" s="51"/>
      <c r="B70" s="48" t="s">
        <v>81</v>
      </c>
      <c r="D70" s="144" t="str">
        <f>+B70</f>
        <v xml:space="preserve">Concessions </v>
      </c>
      <c r="E70" s="2"/>
      <c r="F70" s="144" t="s">
        <v>65</v>
      </c>
      <c r="G70" s="2"/>
      <c r="H70" s="147">
        <v>0.15</v>
      </c>
    </row>
    <row r="71" spans="1:8">
      <c r="A71" s="51"/>
      <c r="B71" s="48" t="s">
        <v>77</v>
      </c>
      <c r="D71" s="144"/>
      <c r="E71" s="2"/>
      <c r="F71" s="144"/>
      <c r="G71" s="2"/>
      <c r="H71" s="147"/>
    </row>
    <row r="72" spans="1:8">
      <c r="A72" s="51"/>
      <c r="B72" s="49"/>
      <c r="C72" s="6"/>
      <c r="D72" s="29"/>
      <c r="E72" s="6"/>
      <c r="F72" s="29"/>
      <c r="G72" s="6"/>
      <c r="H72" s="97"/>
    </row>
    <row r="73" spans="1:8">
      <c r="A73" s="51"/>
      <c r="D73" s="2"/>
      <c r="E73" s="2"/>
      <c r="G73" s="2"/>
      <c r="H73" s="162"/>
    </row>
    <row r="74" spans="1:8">
      <c r="A74" s="51"/>
      <c r="D74" s="2"/>
      <c r="E74" s="2"/>
      <c r="G74" s="2"/>
    </row>
    <row r="75" spans="1:8">
      <c r="A75" s="50" t="s">
        <v>82</v>
      </c>
      <c r="B75" s="1" t="s">
        <v>83</v>
      </c>
      <c r="C75" s="1"/>
    </row>
    <row r="76" spans="1:8">
      <c r="A76" s="3"/>
      <c r="D76" s="225"/>
    </row>
    <row r="77" spans="1:8">
      <c r="A77" s="3"/>
      <c r="B77" s="2" t="s">
        <v>84</v>
      </c>
      <c r="C77" s="151">
        <v>2500000</v>
      </c>
      <c r="D77" s="249" t="s">
        <v>85</v>
      </c>
      <c r="E77" s="249"/>
      <c r="F77" s="249"/>
      <c r="G77" s="249"/>
      <c r="H77" s="249"/>
    </row>
    <row r="78" spans="1:8">
      <c r="A78" s="3"/>
      <c r="B78" s="2" t="s">
        <v>86</v>
      </c>
      <c r="C78" s="151">
        <v>2500000</v>
      </c>
      <c r="D78" s="249" t="s">
        <v>85</v>
      </c>
      <c r="E78" s="249"/>
      <c r="F78" s="249"/>
      <c r="G78" s="249"/>
      <c r="H78" s="249"/>
    </row>
    <row r="79" spans="1:8">
      <c r="A79" s="3"/>
      <c r="B79" s="2" t="s">
        <v>87</v>
      </c>
      <c r="C79" s="151">
        <v>2500000</v>
      </c>
      <c r="D79" s="249" t="s">
        <v>85</v>
      </c>
      <c r="E79" s="249"/>
      <c r="F79" s="249"/>
      <c r="G79" s="249"/>
      <c r="H79" s="249"/>
    </row>
    <row r="80" spans="1:8">
      <c r="A80" s="3"/>
      <c r="B80" s="2" t="s">
        <v>88</v>
      </c>
      <c r="C80" s="151">
        <v>2500000</v>
      </c>
      <c r="D80" s="249" t="s">
        <v>85</v>
      </c>
      <c r="E80" s="249"/>
      <c r="F80" s="249"/>
      <c r="G80" s="249"/>
      <c r="H80" s="249"/>
    </row>
    <row r="81" spans="1:8">
      <c r="A81" s="3"/>
      <c r="B81" s="2" t="s">
        <v>89</v>
      </c>
      <c r="C81" s="151">
        <v>2500000</v>
      </c>
      <c r="D81" s="249" t="s">
        <v>85</v>
      </c>
      <c r="E81" s="249"/>
      <c r="F81" s="249"/>
      <c r="G81" s="249"/>
      <c r="H81" s="249"/>
    </row>
    <row r="82" spans="1:8">
      <c r="A82" s="3"/>
      <c r="B82" s="2" t="s">
        <v>90</v>
      </c>
      <c r="C82" s="151">
        <v>2500000</v>
      </c>
      <c r="D82" s="249" t="s">
        <v>85</v>
      </c>
      <c r="E82" s="249"/>
      <c r="F82" s="249"/>
      <c r="G82" s="249"/>
      <c r="H82" s="249"/>
    </row>
    <row r="83" spans="1:8">
      <c r="A83" s="3"/>
      <c r="B83" s="2" t="s">
        <v>91</v>
      </c>
      <c r="C83" s="151">
        <v>2500000</v>
      </c>
      <c r="D83" s="249" t="s">
        <v>85</v>
      </c>
      <c r="E83" s="249"/>
      <c r="F83" s="249"/>
      <c r="G83" s="249"/>
      <c r="H83" s="249"/>
    </row>
    <row r="84" spans="1:8">
      <c r="A84" s="3"/>
      <c r="B84" s="2" t="s">
        <v>92</v>
      </c>
      <c r="C84" s="151">
        <v>2500000</v>
      </c>
      <c r="D84" s="249" t="s">
        <v>85</v>
      </c>
      <c r="E84" s="249"/>
      <c r="F84" s="249"/>
      <c r="G84" s="249"/>
      <c r="H84" s="249"/>
    </row>
    <row r="85" spans="1:8">
      <c r="A85" s="3"/>
      <c r="B85" s="2" t="s">
        <v>93</v>
      </c>
      <c r="C85" s="151">
        <v>2500000</v>
      </c>
      <c r="D85" s="249" t="s">
        <v>85</v>
      </c>
      <c r="E85" s="249"/>
      <c r="F85" s="249"/>
      <c r="G85" s="249"/>
      <c r="H85" s="249"/>
    </row>
    <row r="86" spans="1:8">
      <c r="A86" s="3"/>
      <c r="B86" s="2" t="s">
        <v>94</v>
      </c>
      <c r="C86" s="151">
        <v>2500000</v>
      </c>
      <c r="D86" s="249" t="s">
        <v>85</v>
      </c>
      <c r="E86" s="249"/>
      <c r="F86" s="249"/>
      <c r="G86" s="249"/>
      <c r="H86" s="249"/>
    </row>
    <row r="87" spans="1:8">
      <c r="A87" s="3"/>
      <c r="B87" s="2" t="s">
        <v>95</v>
      </c>
      <c r="C87" s="151" t="s">
        <v>96</v>
      </c>
      <c r="E87" s="45"/>
    </row>
    <row r="88" spans="1:8">
      <c r="A88" s="3"/>
      <c r="B88" s="2" t="s">
        <v>95</v>
      </c>
      <c r="C88" s="151" t="s">
        <v>96</v>
      </c>
      <c r="E88" s="45"/>
    </row>
    <row r="89" spans="1:8">
      <c r="A89" s="3"/>
    </row>
    <row r="90" spans="1:8">
      <c r="A90" s="3"/>
    </row>
    <row r="91" spans="1:8">
      <c r="A91" s="3"/>
    </row>
  </sheetData>
  <mergeCells count="12">
    <mergeCell ref="B10:C10"/>
    <mergeCell ref="B11:C11"/>
    <mergeCell ref="D77:H77"/>
    <mergeCell ref="D78:H78"/>
    <mergeCell ref="D79:H79"/>
    <mergeCell ref="D85:H85"/>
    <mergeCell ref="D86:H86"/>
    <mergeCell ref="D80:H80"/>
    <mergeCell ref="D81:H81"/>
    <mergeCell ref="D82:H82"/>
    <mergeCell ref="D83:H83"/>
    <mergeCell ref="D84:H84"/>
  </mergeCells>
  <pageMargins left="0.2" right="0" top="0.25" bottom="0" header="0.3" footer="0.3"/>
  <pageSetup scale="53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7" tint="0.59999389629810485"/>
  </sheetPr>
  <dimension ref="A1:X119"/>
  <sheetViews>
    <sheetView topLeftCell="A9" zoomScale="70" zoomScaleNormal="70" workbookViewId="0" xr3:uid="{34904945-5288-588E-9F07-34343C13E9F2}">
      <selection activeCell="W59" sqref="W59"/>
    </sheetView>
  </sheetViews>
  <sheetFormatPr defaultColWidth="9.140625" defaultRowHeight="12.75" customHeight="1"/>
  <cols>
    <col min="1" max="1" width="9.5703125" style="2" customWidth="1"/>
    <col min="2" max="2" width="40.5703125" style="2" customWidth="1"/>
    <col min="3" max="3" width="14.42578125" style="2" customWidth="1"/>
    <col min="4" max="4" width="8.7109375" style="2" customWidth="1"/>
    <col min="5" max="5" width="15" style="2" customWidth="1"/>
    <col min="6" max="6" width="8.7109375" style="2" customWidth="1"/>
    <col min="7" max="7" width="14.710937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3.85546875" style="2" customWidth="1"/>
    <col min="16" max="16" width="8.7109375" style="2" customWidth="1"/>
    <col min="17" max="17" width="13.570312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355</v>
      </c>
      <c r="G2" s="33" t="s">
        <v>41</v>
      </c>
      <c r="H2" s="34"/>
      <c r="I2" s="34"/>
      <c r="V2" s="32"/>
    </row>
    <row r="3" spans="1:22" ht="12.75" customHeight="1">
      <c r="A3" s="1" t="s">
        <v>357</v>
      </c>
      <c r="D3" s="118" t="s">
        <v>358</v>
      </c>
      <c r="G3" s="115" t="str">
        <f>+G2</f>
        <v>Chili's (Graham Center)</v>
      </c>
      <c r="H3" s="116"/>
      <c r="I3" s="116"/>
      <c r="V3" s="32"/>
    </row>
    <row r="4" spans="1:22" ht="12.75" customHeight="1">
      <c r="A4" s="1" t="s">
        <v>359</v>
      </c>
      <c r="B4" s="109" t="s">
        <v>221</v>
      </c>
      <c r="D4" s="118" t="s">
        <v>360</v>
      </c>
      <c r="G4" s="115" t="s">
        <v>65</v>
      </c>
      <c r="H4" s="116"/>
      <c r="I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361</v>
      </c>
      <c r="B7" s="1"/>
    </row>
    <row r="8" spans="1:22" ht="12.75" customHeight="1">
      <c r="A8" s="2" t="s">
        <v>362</v>
      </c>
      <c r="C8" s="109">
        <v>236</v>
      </c>
      <c r="E8" s="109">
        <f>+C8</f>
        <v>236</v>
      </c>
      <c r="G8" s="109">
        <f>+E8</f>
        <v>236</v>
      </c>
      <c r="I8" s="109">
        <f>+G8</f>
        <v>236</v>
      </c>
      <c r="K8" s="109">
        <f>+I8</f>
        <v>236</v>
      </c>
      <c r="M8" s="109">
        <f>+K8</f>
        <v>236</v>
      </c>
      <c r="O8" s="109">
        <f>+M8</f>
        <v>236</v>
      </c>
      <c r="Q8" s="109">
        <f>+O8</f>
        <v>236</v>
      </c>
      <c r="S8" s="109">
        <f>+Q8</f>
        <v>236</v>
      </c>
      <c r="U8" s="109">
        <f>+S8</f>
        <v>236</v>
      </c>
    </row>
    <row r="10" spans="1:22" ht="12.75" customHeight="1">
      <c r="A10" s="2" t="s">
        <v>462</v>
      </c>
      <c r="C10" s="109">
        <f>+C14/C8/C12</f>
        <v>435.63559322033905</v>
      </c>
      <c r="E10" s="109">
        <f>+E14/E8/E12</f>
        <v>430.78477101561219</v>
      </c>
      <c r="G10" s="109">
        <f>+G14/G8/G12</f>
        <v>385.88263231321793</v>
      </c>
      <c r="I10" s="109">
        <f>+I14/I8/I12</f>
        <v>394.29081177520072</v>
      </c>
      <c r="K10" s="109">
        <f>+K14/K8/K12</f>
        <v>400.42039819406415</v>
      </c>
      <c r="M10" s="109">
        <f>+M14/M8/M12</f>
        <v>407.71663735906492</v>
      </c>
      <c r="O10" s="109">
        <f>+O14/O8/O12</f>
        <v>415.1470867814312</v>
      </c>
      <c r="Q10" s="109">
        <f>+Q14/Q8/Q12</f>
        <v>422.34729406779667</v>
      </c>
      <c r="S10" s="109">
        <f>+S14/S8/S12</f>
        <v>430.0476294813032</v>
      </c>
      <c r="U10" s="109">
        <f>+U14/U8/U12</f>
        <v>437.8896744894916</v>
      </c>
    </row>
    <row r="12" spans="1:22" ht="12.75" customHeight="1">
      <c r="A12" s="2" t="s">
        <v>463</v>
      </c>
      <c r="C12" s="110">
        <v>11.41</v>
      </c>
      <c r="E12" s="110">
        <v>11.41</v>
      </c>
      <c r="G12" s="110">
        <v>11.42</v>
      </c>
      <c r="I12" s="110">
        <v>11.4</v>
      </c>
      <c r="K12" s="110">
        <v>11.45</v>
      </c>
      <c r="M12" s="110">
        <v>11.47</v>
      </c>
      <c r="O12" s="110">
        <v>11.49</v>
      </c>
      <c r="Q12" s="110">
        <v>11.52</v>
      </c>
      <c r="S12" s="110">
        <v>11.54</v>
      </c>
      <c r="U12" s="110">
        <v>11.56</v>
      </c>
    </row>
    <row r="14" spans="1:22" ht="12.75" customHeight="1">
      <c r="A14" s="2" t="s">
        <v>464</v>
      </c>
      <c r="C14" s="121">
        <v>1173062.1000000001</v>
      </c>
      <c r="E14" s="121">
        <v>1160000</v>
      </c>
      <c r="G14" s="198">
        <v>1040000</v>
      </c>
      <c r="I14" s="198">
        <f>+G14*1.02</f>
        <v>1060800</v>
      </c>
      <c r="K14" s="198">
        <f>+I14*1.02</f>
        <v>1082016</v>
      </c>
      <c r="M14" s="198">
        <f>+K14*1.02</f>
        <v>1103656.32</v>
      </c>
      <c r="O14" s="198">
        <f>+M14*1.02</f>
        <v>1125729.4464</v>
      </c>
      <c r="Q14" s="198">
        <f>+O14*1.02</f>
        <v>1148244.0353280001</v>
      </c>
      <c r="S14" s="198">
        <f>+Q14*1.02</f>
        <v>1171208.9160345602</v>
      </c>
      <c r="U14" s="198">
        <f>+S14*1.02</f>
        <v>1194633.0943552514</v>
      </c>
    </row>
    <row r="15" spans="1:22" ht="12.75" customHeight="1">
      <c r="A15" s="39">
        <v>0.05</v>
      </c>
    </row>
    <row r="16" spans="1:22" ht="12.75" customHeight="1">
      <c r="B16" s="35"/>
      <c r="C16" s="86" t="str">
        <f>C6</f>
        <v>FY 2018-19</v>
      </c>
      <c r="D16" s="86" t="s">
        <v>366</v>
      </c>
      <c r="E16" s="86" t="str">
        <f>E6</f>
        <v>FY 2019-20</v>
      </c>
      <c r="F16" s="86" t="s">
        <v>366</v>
      </c>
      <c r="G16" s="86" t="str">
        <f>G6</f>
        <v>FY 2020-21</v>
      </c>
      <c r="H16" s="86" t="s">
        <v>366</v>
      </c>
      <c r="I16" s="86" t="str">
        <f>I6</f>
        <v>FY 2021-22</v>
      </c>
      <c r="J16" s="86" t="s">
        <v>366</v>
      </c>
      <c r="K16" s="86" t="str">
        <f>K6</f>
        <v>FY 2022-23</v>
      </c>
      <c r="L16" s="86" t="s">
        <v>366</v>
      </c>
      <c r="M16" s="86" t="str">
        <f>M6</f>
        <v>FY 2023-24</v>
      </c>
      <c r="N16" s="86" t="s">
        <v>366</v>
      </c>
      <c r="O16" s="86" t="str">
        <f>O6</f>
        <v>FY 2024-25</v>
      </c>
      <c r="P16" s="86" t="s">
        <v>366</v>
      </c>
      <c r="Q16" s="86" t="str">
        <f>Q6</f>
        <v>FY 2025-26</v>
      </c>
      <c r="R16" s="86" t="s">
        <v>366</v>
      </c>
      <c r="S16" s="86" t="str">
        <f>S6</f>
        <v>FY 2026-27</v>
      </c>
      <c r="T16" s="86" t="s">
        <v>366</v>
      </c>
      <c r="U16" s="86" t="str">
        <f>U6</f>
        <v>FY 2027-28</v>
      </c>
      <c r="V16" s="86" t="s">
        <v>366</v>
      </c>
    </row>
    <row r="17" spans="1:24" ht="12.75" customHeight="1">
      <c r="A17" s="1" t="s">
        <v>367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368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369</v>
      </c>
      <c r="B19" s="35"/>
      <c r="C19" s="200">
        <f>+C14-C20</f>
        <v>1027837.01202</v>
      </c>
      <c r="D19" s="80">
        <f>IFERROR(C19/C$28,0)</f>
        <v>0.87619999999999998</v>
      </c>
      <c r="E19" s="200">
        <f>+E14-E20</f>
        <v>974400</v>
      </c>
      <c r="F19" s="80">
        <f>IFERROR(E19/E$28,0)</f>
        <v>0.84</v>
      </c>
      <c r="G19" s="111">
        <f>+G14-G20</f>
        <v>873600</v>
      </c>
      <c r="H19" s="80">
        <f>IFERROR(G19/G$28,0)</f>
        <v>0.84</v>
      </c>
      <c r="I19" s="111">
        <f>+I14-I20</f>
        <v>891072</v>
      </c>
      <c r="J19" s="80">
        <f>IFERROR(I19/I$28,0)</f>
        <v>0.84</v>
      </c>
      <c r="K19" s="111">
        <f>+K14-K20</f>
        <v>908893.44</v>
      </c>
      <c r="L19" s="80">
        <f>IFERROR(K19/K$28,0)</f>
        <v>0.84</v>
      </c>
      <c r="M19" s="111">
        <f>+M14-M20</f>
        <v>927071.3088</v>
      </c>
      <c r="N19" s="80">
        <f>IFERROR(M19/M$28,0)</f>
        <v>0.84</v>
      </c>
      <c r="O19" s="111">
        <f>+O14-O20</f>
        <v>945612.73497600004</v>
      </c>
      <c r="P19" s="80">
        <f>IFERROR(O19/O$28,0)</f>
        <v>0.84</v>
      </c>
      <c r="Q19" s="111">
        <f>+Q14-Q20</f>
        <v>964524.9896755201</v>
      </c>
      <c r="R19" s="80">
        <f>IFERROR(Q19/Q$28,0)</f>
        <v>0.84000000000000008</v>
      </c>
      <c r="S19" s="111">
        <f>+S14-S20</f>
        <v>983815.48946903052</v>
      </c>
      <c r="T19" s="80">
        <f>IFERROR(S19/S$28,0)</f>
        <v>0.84</v>
      </c>
      <c r="U19" s="111">
        <f>+U14-U20</f>
        <v>1003491.7992584112</v>
      </c>
      <c r="V19" s="80">
        <f>IFERROR(U19/U$28,0)</f>
        <v>0.84</v>
      </c>
    </row>
    <row r="20" spans="1:24" ht="12.75" customHeight="1">
      <c r="A20" s="2" t="s">
        <v>370</v>
      </c>
      <c r="B20" s="35"/>
      <c r="C20" s="111">
        <f>+C14*12.38%</f>
        <v>145225.08798000001</v>
      </c>
      <c r="D20" s="80">
        <f>IFERROR(C20/C$28,0)</f>
        <v>0.12379999999999999</v>
      </c>
      <c r="E20" s="111">
        <f>+E14*16%</f>
        <v>185600</v>
      </c>
      <c r="F20" s="80">
        <f>IFERROR(E20/E$28,0)</f>
        <v>0.16</v>
      </c>
      <c r="G20" s="111">
        <f>+G14*16%</f>
        <v>166400</v>
      </c>
      <c r="H20" s="80">
        <f>IFERROR(G20/G$28,0)</f>
        <v>0.16</v>
      </c>
      <c r="I20" s="111">
        <f>+I14*16%</f>
        <v>169728</v>
      </c>
      <c r="J20" s="80">
        <f>IFERROR(I20/I$28,0)</f>
        <v>0.16</v>
      </c>
      <c r="K20" s="111">
        <f>+K14*16%</f>
        <v>173122.56</v>
      </c>
      <c r="L20" s="80">
        <f>IFERROR(K20/K$28,0)</f>
        <v>0.16</v>
      </c>
      <c r="M20" s="111">
        <f>+M14*16%</f>
        <v>176585.01120000001</v>
      </c>
      <c r="N20" s="80">
        <f>IFERROR(M20/M$28,0)</f>
        <v>0.16</v>
      </c>
      <c r="O20" s="111">
        <f>+O14*16%</f>
        <v>180116.71142400001</v>
      </c>
      <c r="P20" s="80">
        <f>IFERROR(O20/O$28,0)</f>
        <v>0.16</v>
      </c>
      <c r="Q20" s="111">
        <f>+Q14*16%</f>
        <v>183719.04565248001</v>
      </c>
      <c r="R20" s="80">
        <f>IFERROR(Q20/Q$28,0)</f>
        <v>0.16</v>
      </c>
      <c r="S20" s="111">
        <f>+S14*16%</f>
        <v>187393.42656552963</v>
      </c>
      <c r="T20" s="80">
        <f>IFERROR(S20/S$28,0)</f>
        <v>0.16</v>
      </c>
      <c r="U20" s="111">
        <f>+U14*16%</f>
        <v>191141.29509684021</v>
      </c>
      <c r="V20" s="80">
        <f>IFERROR(U20/U$28,0)</f>
        <v>0.16</v>
      </c>
    </row>
    <row r="21" spans="1:24" ht="12.75" customHeight="1">
      <c r="A21" s="2" t="s">
        <v>371</v>
      </c>
      <c r="B21" s="35"/>
      <c r="C21" s="111"/>
      <c r="D21" s="80">
        <f>IFERROR(C21/C$28,0)</f>
        <v>0</v>
      </c>
      <c r="E21" s="111">
        <v>0</v>
      </c>
      <c r="F21" s="80">
        <f>IFERROR(E21/E$28,0)</f>
        <v>0</v>
      </c>
      <c r="G21" s="111">
        <f t="shared" ref="G21:U21" si="0">E21*1.02</f>
        <v>0</v>
      </c>
      <c r="H21" s="80">
        <f>IFERROR(G21/G$28,0)</f>
        <v>0</v>
      </c>
      <c r="I21" s="111">
        <f t="shared" si="0"/>
        <v>0</v>
      </c>
      <c r="J21" s="80">
        <f>IFERROR(I21/I$28,0)</f>
        <v>0</v>
      </c>
      <c r="K21" s="111">
        <f t="shared" si="0"/>
        <v>0</v>
      </c>
      <c r="L21" s="80">
        <f>IFERROR(K21/K$28,0)</f>
        <v>0</v>
      </c>
      <c r="M21" s="111">
        <f t="shared" si="0"/>
        <v>0</v>
      </c>
      <c r="N21" s="80">
        <f>IFERROR(M21/M$28,0)</f>
        <v>0</v>
      </c>
      <c r="O21" s="111">
        <f t="shared" si="0"/>
        <v>0</v>
      </c>
      <c r="P21" s="80">
        <f>IFERROR(O21/O$28,0)</f>
        <v>0</v>
      </c>
      <c r="Q21" s="111">
        <f t="shared" si="0"/>
        <v>0</v>
      </c>
      <c r="R21" s="80">
        <f>IFERROR(Q21/Q$28,0)</f>
        <v>0</v>
      </c>
      <c r="S21" s="111">
        <f t="shared" si="0"/>
        <v>0</v>
      </c>
      <c r="T21" s="80">
        <f>IFERROR(S21/S$28,0)</f>
        <v>0</v>
      </c>
      <c r="U21" s="111">
        <f t="shared" si="0"/>
        <v>0</v>
      </c>
      <c r="V21" s="80">
        <f>IFERROR(U21/U$28,0)</f>
        <v>0</v>
      </c>
    </row>
    <row r="22" spans="1:24" ht="12.75" customHeight="1">
      <c r="A22" s="2" t="s">
        <v>372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373</v>
      </c>
      <c r="B23" s="123"/>
      <c r="C23" s="79"/>
      <c r="D23" s="80">
        <f t="shared" ref="D23:D28" si="1">IFERROR(C23/C$28,0)</f>
        <v>0</v>
      </c>
      <c r="E23" s="79"/>
      <c r="F23" s="80">
        <f t="shared" ref="F23:F28" si="2">IFERROR(E23/E$28,0)</f>
        <v>0</v>
      </c>
      <c r="G23" s="79"/>
      <c r="H23" s="80">
        <f t="shared" ref="H23:H28" si="3">IFERROR(G23/G$28,0)</f>
        <v>0</v>
      </c>
      <c r="I23" s="79"/>
      <c r="J23" s="80">
        <f t="shared" ref="J23:J28" si="4">IFERROR(I23/I$28,0)</f>
        <v>0</v>
      </c>
      <c r="K23" s="79"/>
      <c r="L23" s="80">
        <f t="shared" ref="L23:L28" si="5">IFERROR(K23/K$28,0)</f>
        <v>0</v>
      </c>
      <c r="M23" s="79"/>
      <c r="N23" s="80">
        <f t="shared" ref="N23:N28" si="6">IFERROR(M23/M$28,0)</f>
        <v>0</v>
      </c>
      <c r="O23" s="79"/>
      <c r="P23" s="80">
        <f t="shared" ref="P23:P28" si="7">IFERROR(O23/O$28,0)</f>
        <v>0</v>
      </c>
      <c r="Q23" s="79"/>
      <c r="R23" s="80">
        <f t="shared" ref="R23:R28" si="8">IFERROR(Q23/Q$28,0)</f>
        <v>0</v>
      </c>
      <c r="S23" s="79"/>
      <c r="T23" s="80">
        <f t="shared" ref="T23:T28" si="9">IFERROR(S23/S$28,0)</f>
        <v>0</v>
      </c>
      <c r="U23" s="79"/>
      <c r="V23" s="80">
        <f t="shared" ref="V23:V28" si="10">IFERROR(U23/U$28,0)</f>
        <v>0</v>
      </c>
    </row>
    <row r="24" spans="1:24" ht="12.75" customHeight="1">
      <c r="A24" s="122" t="s">
        <v>374</v>
      </c>
      <c r="B24" s="123"/>
      <c r="C24" s="79"/>
      <c r="D24" s="80">
        <f t="shared" si="1"/>
        <v>0</v>
      </c>
      <c r="E24" s="79"/>
      <c r="F24" s="80">
        <f t="shared" si="2"/>
        <v>0</v>
      </c>
      <c r="G24" s="79"/>
      <c r="H24" s="80">
        <f t="shared" si="3"/>
        <v>0</v>
      </c>
      <c r="I24" s="79"/>
      <c r="J24" s="80">
        <f t="shared" si="4"/>
        <v>0</v>
      </c>
      <c r="K24" s="79"/>
      <c r="L24" s="80">
        <f t="shared" si="5"/>
        <v>0</v>
      </c>
      <c r="M24" s="79"/>
      <c r="N24" s="80">
        <f t="shared" si="6"/>
        <v>0</v>
      </c>
      <c r="O24" s="79"/>
      <c r="P24" s="80">
        <f t="shared" si="7"/>
        <v>0</v>
      </c>
      <c r="Q24" s="79"/>
      <c r="R24" s="80">
        <f t="shared" si="8"/>
        <v>0</v>
      </c>
      <c r="S24" s="79"/>
      <c r="T24" s="80">
        <f t="shared" si="9"/>
        <v>0</v>
      </c>
      <c r="U24" s="79"/>
      <c r="V24" s="80">
        <f t="shared" si="10"/>
        <v>0</v>
      </c>
      <c r="X24" s="79"/>
    </row>
    <row r="25" spans="1:24" ht="12.75" customHeight="1">
      <c r="A25" s="2" t="s">
        <v>375</v>
      </c>
      <c r="B25" s="35"/>
      <c r="C25" s="111"/>
      <c r="D25" s="80">
        <f t="shared" si="1"/>
        <v>0</v>
      </c>
      <c r="E25" s="111"/>
      <c r="F25" s="80">
        <f t="shared" si="2"/>
        <v>0</v>
      </c>
      <c r="G25" s="111"/>
      <c r="H25" s="80">
        <f t="shared" si="3"/>
        <v>0</v>
      </c>
      <c r="I25" s="111"/>
      <c r="J25" s="80">
        <f t="shared" si="4"/>
        <v>0</v>
      </c>
      <c r="K25" s="111"/>
      <c r="L25" s="80">
        <f t="shared" si="5"/>
        <v>0</v>
      </c>
      <c r="M25" s="111"/>
      <c r="N25" s="80">
        <f t="shared" si="6"/>
        <v>0</v>
      </c>
      <c r="O25" s="111"/>
      <c r="P25" s="80">
        <f t="shared" si="7"/>
        <v>0</v>
      </c>
      <c r="Q25" s="111"/>
      <c r="R25" s="80">
        <f t="shared" si="8"/>
        <v>0</v>
      </c>
      <c r="S25" s="111"/>
      <c r="T25" s="80">
        <f t="shared" si="9"/>
        <v>0</v>
      </c>
      <c r="U25" s="111"/>
      <c r="V25" s="80">
        <f t="shared" si="10"/>
        <v>0</v>
      </c>
      <c r="X25" s="79"/>
    </row>
    <row r="26" spans="1:24" ht="12.75" customHeight="1">
      <c r="A26" s="122" t="s">
        <v>376</v>
      </c>
      <c r="B26" s="35"/>
      <c r="C26" s="79"/>
      <c r="D26" s="80">
        <f t="shared" si="1"/>
        <v>0</v>
      </c>
      <c r="E26" s="79"/>
      <c r="F26" s="80">
        <f t="shared" si="2"/>
        <v>0</v>
      </c>
      <c r="G26" s="79"/>
      <c r="H26" s="80">
        <f t="shared" si="3"/>
        <v>0</v>
      </c>
      <c r="I26" s="79"/>
      <c r="J26" s="80">
        <f t="shared" si="4"/>
        <v>0</v>
      </c>
      <c r="K26" s="79"/>
      <c r="L26" s="80">
        <f t="shared" si="5"/>
        <v>0</v>
      </c>
      <c r="M26" s="79"/>
      <c r="N26" s="80">
        <f t="shared" si="6"/>
        <v>0</v>
      </c>
      <c r="O26" s="79"/>
      <c r="P26" s="80">
        <f t="shared" si="7"/>
        <v>0</v>
      </c>
      <c r="Q26" s="79"/>
      <c r="R26" s="80">
        <f t="shared" si="8"/>
        <v>0</v>
      </c>
      <c r="S26" s="79"/>
      <c r="T26" s="80">
        <f t="shared" si="9"/>
        <v>0</v>
      </c>
      <c r="U26" s="79"/>
      <c r="V26" s="80">
        <f t="shared" si="10"/>
        <v>0</v>
      </c>
    </row>
    <row r="27" spans="1:24" ht="12.75" customHeight="1">
      <c r="A27" s="2" t="s">
        <v>377</v>
      </c>
      <c r="B27" s="35"/>
      <c r="C27" s="112"/>
      <c r="D27" s="80">
        <f t="shared" si="1"/>
        <v>0</v>
      </c>
      <c r="E27" s="112"/>
      <c r="F27" s="80">
        <f t="shared" si="2"/>
        <v>0</v>
      </c>
      <c r="G27" s="112"/>
      <c r="H27" s="80">
        <f t="shared" si="3"/>
        <v>0</v>
      </c>
      <c r="I27" s="112"/>
      <c r="J27" s="80">
        <f t="shared" si="4"/>
        <v>0</v>
      </c>
      <c r="K27" s="112"/>
      <c r="L27" s="80">
        <f t="shared" si="5"/>
        <v>0</v>
      </c>
      <c r="M27" s="112"/>
      <c r="N27" s="80">
        <f t="shared" si="6"/>
        <v>0</v>
      </c>
      <c r="O27" s="112"/>
      <c r="P27" s="80">
        <f t="shared" si="7"/>
        <v>0</v>
      </c>
      <c r="Q27" s="112"/>
      <c r="R27" s="80">
        <f t="shared" si="8"/>
        <v>0</v>
      </c>
      <c r="S27" s="112"/>
      <c r="T27" s="80">
        <f t="shared" si="9"/>
        <v>0</v>
      </c>
      <c r="U27" s="112"/>
      <c r="V27" s="80">
        <f t="shared" si="10"/>
        <v>0</v>
      </c>
    </row>
    <row r="28" spans="1:24" ht="12.75" customHeight="1">
      <c r="A28" s="1" t="s">
        <v>378</v>
      </c>
      <c r="B28" s="53"/>
      <c r="C28" s="82">
        <f>SUM(C19:C27)</f>
        <v>1173062.1000000001</v>
      </c>
      <c r="D28" s="83">
        <f t="shared" si="1"/>
        <v>1</v>
      </c>
      <c r="E28" s="82">
        <f>SUM(E19:E27)</f>
        <v>1160000</v>
      </c>
      <c r="F28" s="83">
        <f t="shared" si="2"/>
        <v>1</v>
      </c>
      <c r="G28" s="82">
        <f>SUM(G19:G27)</f>
        <v>1040000</v>
      </c>
      <c r="H28" s="83">
        <f t="shared" si="3"/>
        <v>1</v>
      </c>
      <c r="I28" s="82">
        <f>SUM(I19:I27)</f>
        <v>1060800</v>
      </c>
      <c r="J28" s="83">
        <f t="shared" si="4"/>
        <v>1</v>
      </c>
      <c r="K28" s="82">
        <f>SUM(K19:K27)</f>
        <v>1082016</v>
      </c>
      <c r="L28" s="83">
        <f t="shared" si="5"/>
        <v>1</v>
      </c>
      <c r="M28" s="82">
        <f>SUM(M19:M27)</f>
        <v>1103656.32</v>
      </c>
      <c r="N28" s="83">
        <f t="shared" si="6"/>
        <v>1</v>
      </c>
      <c r="O28" s="82">
        <f>SUM(O19:O27)</f>
        <v>1125729.4464</v>
      </c>
      <c r="P28" s="83">
        <f t="shared" si="7"/>
        <v>1</v>
      </c>
      <c r="Q28" s="82">
        <f>SUM(Q19:Q27)</f>
        <v>1148244.0353280001</v>
      </c>
      <c r="R28" s="83">
        <f t="shared" si="8"/>
        <v>1</v>
      </c>
      <c r="S28" s="82">
        <f>SUM(S19:S27)</f>
        <v>1171208.9160345602</v>
      </c>
      <c r="T28" s="83">
        <f t="shared" si="9"/>
        <v>1</v>
      </c>
      <c r="U28" s="82">
        <f>SUM(U19:U27)</f>
        <v>1194633.0943552514</v>
      </c>
      <c r="V28" s="83">
        <f t="shared" si="10"/>
        <v>1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379</v>
      </c>
      <c r="B30" s="53"/>
      <c r="C30" s="197">
        <v>0.315</v>
      </c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380</v>
      </c>
      <c r="B31" s="35"/>
      <c r="C31" s="178">
        <f>$C$30*C14</f>
        <v>369514.56150000001</v>
      </c>
      <c r="D31" s="80">
        <f>IFERROR(C31/C$28,0)</f>
        <v>0.315</v>
      </c>
      <c r="E31" s="178">
        <f>$C$30*E14</f>
        <v>365400</v>
      </c>
      <c r="F31" s="80">
        <f>IFERROR(E31/E$28,0)</f>
        <v>0.315</v>
      </c>
      <c r="G31" s="178">
        <f>$C$30*G14</f>
        <v>327600</v>
      </c>
      <c r="H31" s="80">
        <f>IFERROR(G31/G$28,0)</f>
        <v>0.315</v>
      </c>
      <c r="I31" s="178">
        <f>$C$30*I14</f>
        <v>334152</v>
      </c>
      <c r="J31" s="80">
        <f>IFERROR(I31/I$28,0)</f>
        <v>0.315</v>
      </c>
      <c r="K31" s="178">
        <f>$C$30*K14</f>
        <v>340835.04</v>
      </c>
      <c r="L31" s="80">
        <f>IFERROR(K31/K$28,0)</f>
        <v>0.315</v>
      </c>
      <c r="M31" s="178">
        <f>$C$30*M14</f>
        <v>347651.74080000003</v>
      </c>
      <c r="N31" s="80">
        <f>IFERROR(M31/M$28,0)</f>
        <v>0.315</v>
      </c>
      <c r="O31" s="178">
        <f>$C$30*O14</f>
        <v>354604.775616</v>
      </c>
      <c r="P31" s="80">
        <f>IFERROR(O31/O$28,0)</f>
        <v>0.315</v>
      </c>
      <c r="Q31" s="178">
        <f>$C$30*Q14</f>
        <v>361696.87112832005</v>
      </c>
      <c r="R31" s="80">
        <f>IFERROR(Q31/Q$28,0)</f>
        <v>0.315</v>
      </c>
      <c r="S31" s="178">
        <f>$C$30*S14</f>
        <v>368930.80855088646</v>
      </c>
      <c r="T31" s="80">
        <f>IFERROR(S31/S$28,0)</f>
        <v>0.315</v>
      </c>
      <c r="U31" s="178">
        <f>$C$30*U14</f>
        <v>376309.42472190422</v>
      </c>
      <c r="V31" s="80">
        <f>IFERROR(U31/U$28,0)</f>
        <v>0.315</v>
      </c>
    </row>
    <row r="32" spans="1:24" ht="12.75" customHeight="1">
      <c r="A32" s="8" t="s">
        <v>381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382</v>
      </c>
      <c r="B33" s="53"/>
      <c r="C33" s="82">
        <f>SUM(C31:C32)</f>
        <v>369514.56150000001</v>
      </c>
      <c r="D33" s="83">
        <f>IFERROR(C33/C$28,0)</f>
        <v>0.315</v>
      </c>
      <c r="E33" s="82">
        <f>SUM(E31:E32)</f>
        <v>365400</v>
      </c>
      <c r="F33" s="83">
        <f>IFERROR(E33/E$28,0)</f>
        <v>0.315</v>
      </c>
      <c r="G33" s="82">
        <f>SUM(G31:G32)</f>
        <v>327600</v>
      </c>
      <c r="H33" s="83">
        <f>IFERROR(G33/G$28,0)</f>
        <v>0.315</v>
      </c>
      <c r="I33" s="82">
        <f>SUM(I31:I32)</f>
        <v>334152</v>
      </c>
      <c r="J33" s="83">
        <f>IFERROR(I33/I$28,0)</f>
        <v>0.315</v>
      </c>
      <c r="K33" s="82">
        <f>SUM(K31:K32)</f>
        <v>340835.04</v>
      </c>
      <c r="L33" s="83">
        <f>IFERROR(K33/K$28,0)</f>
        <v>0.315</v>
      </c>
      <c r="M33" s="82">
        <f>SUM(M31:M32)</f>
        <v>347651.74080000003</v>
      </c>
      <c r="N33" s="83">
        <f>IFERROR(M33/M$28,0)</f>
        <v>0.315</v>
      </c>
      <c r="O33" s="82">
        <f>SUM(O31:O32)</f>
        <v>354604.775616</v>
      </c>
      <c r="P33" s="83">
        <f>IFERROR(O33/O$28,0)</f>
        <v>0.315</v>
      </c>
      <c r="Q33" s="82">
        <f>SUM(Q31:Q32)</f>
        <v>361696.87112832005</v>
      </c>
      <c r="R33" s="83">
        <f>IFERROR(Q33/Q$28,0)</f>
        <v>0.315</v>
      </c>
      <c r="S33" s="82">
        <f>SUM(S31:S32)</f>
        <v>368930.80855088646</v>
      </c>
      <c r="T33" s="83">
        <f>IFERROR(S33/S$28,0)</f>
        <v>0.315</v>
      </c>
      <c r="U33" s="82">
        <f>SUM(U31:U32)</f>
        <v>376309.42472190422</v>
      </c>
      <c r="V33" s="83">
        <f>IFERROR(U33/U$28,0)</f>
        <v>0.315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383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384</v>
      </c>
      <c r="B36" s="35"/>
      <c r="C36" s="178">
        <v>47148</v>
      </c>
      <c r="D36" s="80">
        <f t="shared" ref="D36:D46" si="11">IFERROR(C36/C$28,0)</f>
        <v>4.0192245576768697E-2</v>
      </c>
      <c r="E36" s="178">
        <f>+C36*1.02</f>
        <v>48090.96</v>
      </c>
      <c r="F36" s="80">
        <f t="shared" ref="F36:F46" si="12">IFERROR(E36/E$28,0)</f>
        <v>4.1457724137931036E-2</v>
      </c>
      <c r="G36" s="178">
        <f>+E36*1.02</f>
        <v>49052.779199999997</v>
      </c>
      <c r="H36" s="80">
        <f t="shared" ref="H36:H46" si="13">IFERROR(G36/G$28,0)</f>
        <v>4.716613384615384E-2</v>
      </c>
      <c r="I36" s="178">
        <f>+G36*1.02</f>
        <v>50033.834783999999</v>
      </c>
      <c r="J36" s="80">
        <f t="shared" ref="J36:J46" si="14">IFERROR(I36/I$28,0)</f>
        <v>4.7166133846153847E-2</v>
      </c>
      <c r="K36" s="178">
        <f>+I36*1.02</f>
        <v>51034.511479679997</v>
      </c>
      <c r="L36" s="80">
        <f t="shared" ref="L36:L46" si="15">IFERROR(K36/K$28,0)</f>
        <v>4.716613384615384E-2</v>
      </c>
      <c r="M36" s="178">
        <f>+K36*1.02</f>
        <v>52055.201709273599</v>
      </c>
      <c r="N36" s="80">
        <f t="shared" ref="N36:N46" si="16">IFERROR(M36/M$28,0)</f>
        <v>4.716613384615384E-2</v>
      </c>
      <c r="O36" s="178">
        <f>+M36*1.02</f>
        <v>53096.305743459074</v>
      </c>
      <c r="P36" s="80">
        <f t="shared" ref="P36:P46" si="17">IFERROR(O36/O$28,0)</f>
        <v>4.7166133846153847E-2</v>
      </c>
      <c r="Q36" s="178">
        <f>+O36*1.02</f>
        <v>54158.231858328254</v>
      </c>
      <c r="R36" s="80">
        <f t="shared" ref="R36:R46" si="18">IFERROR(Q36/Q$28,0)</f>
        <v>4.716613384615384E-2</v>
      </c>
      <c r="S36" s="178">
        <f>+Q36*1.02</f>
        <v>55241.396495494817</v>
      </c>
      <c r="T36" s="80">
        <f t="shared" ref="T36:T46" si="19">IFERROR(S36/S$28,0)</f>
        <v>4.716613384615384E-2</v>
      </c>
      <c r="U36" s="178">
        <f>+S36*1.02</f>
        <v>56346.224425404711</v>
      </c>
      <c r="V36" s="80">
        <f t="shared" ref="V36:V46" si="20">IFERROR(U36/U$28,0)</f>
        <v>4.7166133846153833E-2</v>
      </c>
    </row>
    <row r="37" spans="1:22" ht="12.75" customHeight="1">
      <c r="A37" s="2" t="s">
        <v>385</v>
      </c>
      <c r="B37" s="35"/>
      <c r="C37" s="178">
        <v>213240</v>
      </c>
      <c r="D37" s="80">
        <f t="shared" si="11"/>
        <v>0.18178065764804777</v>
      </c>
      <c r="E37" s="178">
        <f>+C37*1.11</f>
        <v>236696.40000000002</v>
      </c>
      <c r="F37" s="80">
        <f t="shared" si="12"/>
        <v>0.20404862068965518</v>
      </c>
      <c r="G37" s="178">
        <f>+E37*1.03</f>
        <v>243797.29200000002</v>
      </c>
      <c r="H37" s="80">
        <f t="shared" si="13"/>
        <v>0.2344204730769231</v>
      </c>
      <c r="I37" s="178">
        <f>+G37*1.032</f>
        <v>251598.80534400002</v>
      </c>
      <c r="J37" s="80">
        <f t="shared" si="14"/>
        <v>0.23717836099547512</v>
      </c>
      <c r="K37" s="178">
        <f>+I37*1.02</f>
        <v>256630.78145088002</v>
      </c>
      <c r="L37" s="80">
        <f t="shared" si="15"/>
        <v>0.23717836099547512</v>
      </c>
      <c r="M37" s="178">
        <f>+K37*1.025</f>
        <v>263046.55098715198</v>
      </c>
      <c r="N37" s="80">
        <f t="shared" si="16"/>
        <v>0.2383410000199627</v>
      </c>
      <c r="O37" s="178">
        <f>+M37*1.025</f>
        <v>269622.71476183075</v>
      </c>
      <c r="P37" s="80">
        <f t="shared" si="17"/>
        <v>0.23950933825535467</v>
      </c>
      <c r="Q37" s="178">
        <f>+O37*1.025</f>
        <v>276363.28263087652</v>
      </c>
      <c r="R37" s="80">
        <f t="shared" si="18"/>
        <v>0.24068340363895932</v>
      </c>
      <c r="S37" s="178">
        <f>+Q37*1.02</f>
        <v>281890.54828349408</v>
      </c>
      <c r="T37" s="80">
        <f t="shared" si="19"/>
        <v>0.24068340363895932</v>
      </c>
      <c r="U37" s="178">
        <f>+S37*1.025</f>
        <v>288937.81199058139</v>
      </c>
      <c r="V37" s="80">
        <f t="shared" si="20"/>
        <v>0.24186322424503262</v>
      </c>
    </row>
    <row r="38" spans="1:22" ht="12.75" customHeight="1">
      <c r="A38" s="2" t="s">
        <v>386</v>
      </c>
      <c r="B38" s="35"/>
      <c r="C38" s="178">
        <v>24501</v>
      </c>
      <c r="D38" s="80">
        <f t="shared" si="11"/>
        <v>2.0886362282099131E-2</v>
      </c>
      <c r="E38" s="178">
        <f t="shared" ref="E38:E39" si="21">+C38*1.112</f>
        <v>27245.112000000001</v>
      </c>
      <c r="F38" s="80">
        <f t="shared" si="12"/>
        <v>2.3487165517241379E-2</v>
      </c>
      <c r="G38" s="178">
        <f>+E38*1.03</f>
        <v>28062.465360000002</v>
      </c>
      <c r="H38" s="80">
        <f t="shared" si="13"/>
        <v>2.6983139769230773E-2</v>
      </c>
      <c r="I38" s="178">
        <f>+G38*1.032</f>
        <v>28960.464251520003</v>
      </c>
      <c r="J38" s="80">
        <f t="shared" si="14"/>
        <v>2.7300588472398194E-2</v>
      </c>
      <c r="K38" s="178">
        <f>+I38*1.02</f>
        <v>29539.673536550403</v>
      </c>
      <c r="L38" s="80">
        <f t="shared" si="15"/>
        <v>2.7300588472398194E-2</v>
      </c>
      <c r="M38" s="178">
        <f>+K38*1.025</f>
        <v>30278.165374964159</v>
      </c>
      <c r="N38" s="80">
        <f t="shared" si="16"/>
        <v>2.7434414886478572E-2</v>
      </c>
      <c r="O38" s="178">
        <f>+M38*1.025</f>
        <v>31035.119509338259</v>
      </c>
      <c r="P38" s="80">
        <f t="shared" si="17"/>
        <v>2.756889731239268E-2</v>
      </c>
      <c r="Q38" s="178">
        <f>+O38*1.025</f>
        <v>31810.997497071712</v>
      </c>
      <c r="R38" s="80">
        <f t="shared" si="18"/>
        <v>2.7704038965884796E-2</v>
      </c>
      <c r="S38" s="178">
        <f>+Q38*1.02</f>
        <v>32447.217447013147</v>
      </c>
      <c r="T38" s="80">
        <f t="shared" si="19"/>
        <v>2.7704038965884793E-2</v>
      </c>
      <c r="U38" s="178">
        <f>+S38*1.025</f>
        <v>33258.397883188474</v>
      </c>
      <c r="V38" s="80">
        <f t="shared" si="20"/>
        <v>2.783984307846266E-2</v>
      </c>
    </row>
    <row r="39" spans="1:22" ht="12.75" customHeight="1">
      <c r="A39" s="2" t="s">
        <v>387</v>
      </c>
      <c r="B39" s="35"/>
      <c r="C39" s="178">
        <v>144101</v>
      </c>
      <c r="D39" s="80">
        <f t="shared" si="11"/>
        <v>0.1228417489577065</v>
      </c>
      <c r="E39" s="178">
        <f t="shared" si="21"/>
        <v>160240.31200000001</v>
      </c>
      <c r="F39" s="80">
        <f t="shared" si="12"/>
        <v>0.13813820000000002</v>
      </c>
      <c r="G39" s="178">
        <f>+E39*1.03</f>
        <v>165047.52136000001</v>
      </c>
      <c r="H39" s="80">
        <f t="shared" si="13"/>
        <v>0.15869953976923079</v>
      </c>
      <c r="I39" s="178">
        <f>+G39*1.032</f>
        <v>170329.04204352002</v>
      </c>
      <c r="J39" s="80">
        <f t="shared" si="14"/>
        <v>0.16056659317828056</v>
      </c>
      <c r="K39" s="178">
        <f>+I39*1.02</f>
        <v>173735.62288439044</v>
      </c>
      <c r="L39" s="80">
        <f t="shared" si="15"/>
        <v>0.16056659317828059</v>
      </c>
      <c r="M39" s="178">
        <f>+K39*1.025</f>
        <v>178079.01345650019</v>
      </c>
      <c r="N39" s="80">
        <f t="shared" si="16"/>
        <v>0.16135368432131136</v>
      </c>
      <c r="O39" s="178">
        <f>+M39*1.025</f>
        <v>182530.98879291269</v>
      </c>
      <c r="P39" s="80">
        <f t="shared" si="17"/>
        <v>0.16214463375425894</v>
      </c>
      <c r="Q39" s="178">
        <f>+O39*1.025</f>
        <v>187094.26351273549</v>
      </c>
      <c r="R39" s="80">
        <f t="shared" si="18"/>
        <v>0.16293946039030921</v>
      </c>
      <c r="S39" s="178">
        <f>+Q39*1.02</f>
        <v>190836.1487829902</v>
      </c>
      <c r="T39" s="80">
        <f t="shared" si="19"/>
        <v>0.16293946039030921</v>
      </c>
      <c r="U39" s="178">
        <f>+S39*1.025</f>
        <v>195607.05250256494</v>
      </c>
      <c r="V39" s="80">
        <f t="shared" si="20"/>
        <v>0.16373818323535971</v>
      </c>
    </row>
    <row r="40" spans="1:22" ht="12.75" customHeight="1">
      <c r="A40" s="2" t="s">
        <v>388</v>
      </c>
      <c r="B40" s="35"/>
      <c r="C40" s="178">
        <f>C36*0.124</f>
        <v>5846.3519999999999</v>
      </c>
      <c r="D40" s="80">
        <f t="shared" si="11"/>
        <v>4.9838384515193184E-3</v>
      </c>
      <c r="E40" s="178">
        <f>E36*0.124</f>
        <v>5963.2790399999994</v>
      </c>
      <c r="F40" s="80">
        <f t="shared" si="12"/>
        <v>5.1407577931034476E-3</v>
      </c>
      <c r="G40" s="178">
        <f>G36*0.124</f>
        <v>6082.5446207999994</v>
      </c>
      <c r="H40" s="80">
        <f t="shared" si="13"/>
        <v>5.8486005969230767E-3</v>
      </c>
      <c r="I40" s="178">
        <f>I36*0.124</f>
        <v>6204.1955132160001</v>
      </c>
      <c r="J40" s="80">
        <f t="shared" si="14"/>
        <v>5.8486005969230767E-3</v>
      </c>
      <c r="K40" s="178">
        <f>K36*0.124</f>
        <v>6328.2794234803196</v>
      </c>
      <c r="L40" s="80">
        <f t="shared" si="15"/>
        <v>5.8486005969230767E-3</v>
      </c>
      <c r="M40" s="178">
        <f>M36*0.124</f>
        <v>6454.8450119499266</v>
      </c>
      <c r="N40" s="80">
        <f t="shared" si="16"/>
        <v>5.8486005969230767E-3</v>
      </c>
      <c r="O40" s="178">
        <f>O36*0.124</f>
        <v>6583.941912188925</v>
      </c>
      <c r="P40" s="80">
        <f t="shared" si="17"/>
        <v>5.8486005969230767E-3</v>
      </c>
      <c r="Q40" s="178">
        <f>Q36*0.124</f>
        <v>6715.6207504327031</v>
      </c>
      <c r="R40" s="80">
        <f t="shared" si="18"/>
        <v>5.8486005969230759E-3</v>
      </c>
      <c r="S40" s="178">
        <f>S36*0.124</f>
        <v>6849.9331654413572</v>
      </c>
      <c r="T40" s="80">
        <f t="shared" si="19"/>
        <v>5.8486005969230759E-3</v>
      </c>
      <c r="U40" s="178">
        <f>U36*0.124</f>
        <v>6986.9318287501837</v>
      </c>
      <c r="V40" s="80">
        <f t="shared" si="20"/>
        <v>5.848600596923075E-3</v>
      </c>
    </row>
    <row r="41" spans="1:22" ht="12.75" customHeight="1">
      <c r="A41" s="2" t="s">
        <v>389</v>
      </c>
      <c r="B41" s="35"/>
      <c r="C41" s="178">
        <f>C37*0.124</f>
        <v>26441.759999999998</v>
      </c>
      <c r="D41" s="80">
        <f t="shared" si="11"/>
        <v>2.2540801548357924E-2</v>
      </c>
      <c r="E41" s="178">
        <f>E37*0.124</f>
        <v>29350.353600000002</v>
      </c>
      <c r="F41" s="80">
        <f t="shared" si="12"/>
        <v>2.5302028965517243E-2</v>
      </c>
      <c r="G41" s="178">
        <f>G37*0.124</f>
        <v>30230.864208000003</v>
      </c>
      <c r="H41" s="80">
        <f t="shared" si="13"/>
        <v>2.9068138661538463E-2</v>
      </c>
      <c r="I41" s="178">
        <f>I37*0.124</f>
        <v>31198.251862656001</v>
      </c>
      <c r="J41" s="80">
        <f t="shared" si="14"/>
        <v>2.9410116763438916E-2</v>
      </c>
      <c r="K41" s="178">
        <f>K37*0.124</f>
        <v>31822.216899909123</v>
      </c>
      <c r="L41" s="80">
        <f t="shared" si="15"/>
        <v>2.9410116763438916E-2</v>
      </c>
      <c r="M41" s="178">
        <f>M37*0.124</f>
        <v>32617.772322406843</v>
      </c>
      <c r="N41" s="80">
        <f t="shared" si="16"/>
        <v>2.9554284002475374E-2</v>
      </c>
      <c r="O41" s="178">
        <f>O37*0.124</f>
        <v>33433.21663046701</v>
      </c>
      <c r="P41" s="80">
        <f t="shared" si="17"/>
        <v>2.9699157943663977E-2</v>
      </c>
      <c r="Q41" s="178">
        <f>Q37*0.124</f>
        <v>34269.04704622869</v>
      </c>
      <c r="R41" s="80">
        <f t="shared" si="18"/>
        <v>2.9844742051230957E-2</v>
      </c>
      <c r="S41" s="178">
        <f>S37*0.124</f>
        <v>34954.427987153264</v>
      </c>
      <c r="T41" s="80">
        <f t="shared" si="19"/>
        <v>2.9844742051230954E-2</v>
      </c>
      <c r="U41" s="178">
        <f>U37*0.124</f>
        <v>35828.288686832093</v>
      </c>
      <c r="V41" s="80">
        <f t="shared" si="20"/>
        <v>2.9991039806384047E-2</v>
      </c>
    </row>
    <row r="42" spans="1:22" ht="12.75" customHeight="1">
      <c r="A42" s="2" t="s">
        <v>390</v>
      </c>
      <c r="B42" s="35"/>
      <c r="C42" s="178"/>
      <c r="D42" s="80">
        <f t="shared" si="11"/>
        <v>0</v>
      </c>
      <c r="E42" s="178"/>
      <c r="F42" s="80">
        <f t="shared" si="12"/>
        <v>0</v>
      </c>
      <c r="G42" s="178"/>
      <c r="H42" s="80">
        <f t="shared" si="13"/>
        <v>0</v>
      </c>
      <c r="I42" s="178"/>
      <c r="J42" s="80">
        <f t="shared" si="14"/>
        <v>0</v>
      </c>
      <c r="K42" s="178"/>
      <c r="L42" s="80">
        <f t="shared" si="15"/>
        <v>0</v>
      </c>
      <c r="M42" s="178"/>
      <c r="N42" s="80">
        <f t="shared" si="16"/>
        <v>0</v>
      </c>
      <c r="O42" s="178"/>
      <c r="P42" s="80">
        <f t="shared" si="17"/>
        <v>0</v>
      </c>
      <c r="Q42" s="178"/>
      <c r="R42" s="80">
        <f t="shared" si="18"/>
        <v>0</v>
      </c>
      <c r="S42" s="178"/>
      <c r="T42" s="80">
        <f t="shared" si="19"/>
        <v>0</v>
      </c>
      <c r="U42" s="178"/>
      <c r="V42" s="80">
        <f t="shared" si="20"/>
        <v>0</v>
      </c>
    </row>
    <row r="43" spans="1:22" ht="12.75" customHeight="1">
      <c r="A43" s="2" t="s">
        <v>391</v>
      </c>
      <c r="B43" s="35"/>
      <c r="C43" s="178"/>
      <c r="D43" s="80">
        <f t="shared" si="11"/>
        <v>0</v>
      </c>
      <c r="E43" s="178"/>
      <c r="F43" s="80">
        <f t="shared" si="12"/>
        <v>0</v>
      </c>
      <c r="G43" s="178"/>
      <c r="H43" s="80">
        <f t="shared" si="13"/>
        <v>0</v>
      </c>
      <c r="I43" s="178"/>
      <c r="J43" s="80">
        <f t="shared" si="14"/>
        <v>0</v>
      </c>
      <c r="K43" s="178"/>
      <c r="L43" s="80">
        <f t="shared" si="15"/>
        <v>0</v>
      </c>
      <c r="M43" s="178"/>
      <c r="N43" s="80">
        <f t="shared" si="16"/>
        <v>0</v>
      </c>
      <c r="O43" s="178"/>
      <c r="P43" s="80">
        <f t="shared" si="17"/>
        <v>0</v>
      </c>
      <c r="Q43" s="178"/>
      <c r="R43" s="80">
        <f t="shared" si="18"/>
        <v>0</v>
      </c>
      <c r="S43" s="178"/>
      <c r="T43" s="80">
        <f t="shared" si="19"/>
        <v>0</v>
      </c>
      <c r="U43" s="178"/>
      <c r="V43" s="80">
        <f t="shared" si="20"/>
        <v>0</v>
      </c>
    </row>
    <row r="44" spans="1:22" ht="12.75" customHeight="1">
      <c r="A44" s="2" t="s">
        <v>392</v>
      </c>
      <c r="B44" s="35"/>
      <c r="C44" s="178"/>
      <c r="D44" s="80">
        <f t="shared" si="11"/>
        <v>0</v>
      </c>
      <c r="E44" s="178"/>
      <c r="F44" s="80">
        <f t="shared" si="12"/>
        <v>0</v>
      </c>
      <c r="G44" s="178"/>
      <c r="H44" s="80">
        <f t="shared" si="13"/>
        <v>0</v>
      </c>
      <c r="I44" s="178"/>
      <c r="J44" s="80">
        <f t="shared" si="14"/>
        <v>0</v>
      </c>
      <c r="K44" s="178"/>
      <c r="L44" s="80">
        <f t="shared" si="15"/>
        <v>0</v>
      </c>
      <c r="M44" s="178"/>
      <c r="N44" s="80">
        <f t="shared" si="16"/>
        <v>0</v>
      </c>
      <c r="O44" s="178"/>
      <c r="P44" s="80">
        <f t="shared" si="17"/>
        <v>0</v>
      </c>
      <c r="Q44" s="178"/>
      <c r="R44" s="80">
        <f t="shared" si="18"/>
        <v>0</v>
      </c>
      <c r="S44" s="178"/>
      <c r="T44" s="80">
        <f t="shared" si="19"/>
        <v>0</v>
      </c>
      <c r="U44" s="178"/>
      <c r="V44" s="80">
        <f t="shared" si="20"/>
        <v>0</v>
      </c>
    </row>
    <row r="45" spans="1:22" ht="12.75" customHeight="1">
      <c r="A45" s="2" t="s">
        <v>393</v>
      </c>
      <c r="B45" s="35"/>
      <c r="C45" s="181">
        <f>SUM(C36:C39)*0.094</f>
        <v>40325.06</v>
      </c>
      <c r="D45" s="80">
        <f t="shared" si="11"/>
        <v>3.4375895359674474E-2</v>
      </c>
      <c r="E45" s="181">
        <f>SUM(E36:E39)*0.094</f>
        <v>44393.641696000006</v>
      </c>
      <c r="F45" s="80">
        <f t="shared" si="12"/>
        <v>3.8270380772413799E-2</v>
      </c>
      <c r="G45" s="181">
        <f>SUM(G36:G39)*0.094</f>
        <v>45680.245444480002</v>
      </c>
      <c r="H45" s="80">
        <f t="shared" si="13"/>
        <v>4.392331292738462E-2</v>
      </c>
      <c r="I45" s="181">
        <f>SUM(I36:I39)*0.094</f>
        <v>47086.681763765759</v>
      </c>
      <c r="J45" s="80">
        <f t="shared" si="14"/>
        <v>4.438789759027692E-2</v>
      </c>
      <c r="K45" s="181">
        <f>SUM(K36:K39)*0.094</f>
        <v>48028.415399041078</v>
      </c>
      <c r="L45" s="80">
        <f t="shared" si="15"/>
        <v>4.4387897590276927E-2</v>
      </c>
      <c r="M45" s="181">
        <f>SUM(M36:M39)*0.094</f>
        <v>49205.139563621655</v>
      </c>
      <c r="N45" s="80">
        <f t="shared" si="16"/>
        <v>4.4583751908947207E-2</v>
      </c>
      <c r="O45" s="181">
        <f>SUM(O36:O39)*0.094</f>
        <v>50410.802107908828</v>
      </c>
      <c r="P45" s="80">
        <f t="shared" si="17"/>
        <v>4.4780566297807051E-2</v>
      </c>
      <c r="Q45" s="181">
        <f>SUM(Q36:Q39)*0.094</f>
        <v>51646.116896907122</v>
      </c>
      <c r="R45" s="80">
        <f t="shared" si="18"/>
        <v>4.4978345463082874E-2</v>
      </c>
      <c r="S45" s="181">
        <f>SUM(S36:S39)*0.094</f>
        <v>52679.039234845273</v>
      </c>
      <c r="T45" s="80">
        <f t="shared" si="19"/>
        <v>4.4978345463082874E-2</v>
      </c>
      <c r="U45" s="181">
        <f>SUM(U36:U39)*0.094</f>
        <v>53970.051759363516</v>
      </c>
      <c r="V45" s="80">
        <f t="shared" si="20"/>
        <v>4.5177094134070832E-2</v>
      </c>
    </row>
    <row r="46" spans="1:22" ht="12.75" customHeight="1">
      <c r="A46" s="1" t="s">
        <v>394</v>
      </c>
      <c r="B46" s="53"/>
      <c r="C46" s="82">
        <f>SUM(C36:C45)</f>
        <v>501603.17200000002</v>
      </c>
      <c r="D46" s="83">
        <f t="shared" si="11"/>
        <v>0.42760154982417381</v>
      </c>
      <c r="E46" s="82">
        <f>SUM(E36:E45)</f>
        <v>551980.05833600007</v>
      </c>
      <c r="F46" s="83">
        <f t="shared" si="12"/>
        <v>0.47584487787586216</v>
      </c>
      <c r="G46" s="82">
        <f>SUM(G36:G45)</f>
        <v>567953.71219328011</v>
      </c>
      <c r="H46" s="83">
        <f t="shared" si="13"/>
        <v>0.54610933864738476</v>
      </c>
      <c r="I46" s="82">
        <f>SUM(I36:I45)</f>
        <v>585411.27556267777</v>
      </c>
      <c r="J46" s="83">
        <f t="shared" si="14"/>
        <v>0.55185829144294662</v>
      </c>
      <c r="K46" s="82">
        <f>SUM(K36:K45)</f>
        <v>597119.50107393134</v>
      </c>
      <c r="L46" s="83">
        <f t="shared" si="15"/>
        <v>0.55185829144294662</v>
      </c>
      <c r="M46" s="82">
        <f>SUM(M36:M45)</f>
        <v>611736.6884258684</v>
      </c>
      <c r="N46" s="83">
        <f t="shared" si="16"/>
        <v>0.55428186958225212</v>
      </c>
      <c r="O46" s="82">
        <f>SUM(O36:O45)</f>
        <v>626713.0894581055</v>
      </c>
      <c r="P46" s="83">
        <f t="shared" si="17"/>
        <v>0.55671732800655427</v>
      </c>
      <c r="Q46" s="82">
        <f>SUM(Q36:Q45)</f>
        <v>642057.56019258045</v>
      </c>
      <c r="R46" s="83">
        <f t="shared" si="18"/>
        <v>0.5591647249525441</v>
      </c>
      <c r="S46" s="82">
        <f>SUM(S36:S45)</f>
        <v>654898.71139643225</v>
      </c>
      <c r="T46" s="83">
        <f t="shared" si="19"/>
        <v>0.55916472495254421</v>
      </c>
      <c r="U46" s="82">
        <f>SUM(U36:U45)</f>
        <v>670934.7590766853</v>
      </c>
      <c r="V46" s="83">
        <f t="shared" si="20"/>
        <v>0.56162411894238684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366</v>
      </c>
      <c r="E50" s="86" t="str">
        <f>E6</f>
        <v>FY 2019-20</v>
      </c>
      <c r="F50" s="86" t="s">
        <v>366</v>
      </c>
      <c r="G50" s="86" t="str">
        <f>G6</f>
        <v>FY 2020-21</v>
      </c>
      <c r="H50" s="86" t="s">
        <v>366</v>
      </c>
      <c r="I50" s="86" t="str">
        <f>I6</f>
        <v>FY 2021-22</v>
      </c>
      <c r="J50" s="86" t="s">
        <v>366</v>
      </c>
      <c r="K50" s="86" t="str">
        <f>K6</f>
        <v>FY 2022-23</v>
      </c>
      <c r="L50" s="86" t="s">
        <v>366</v>
      </c>
      <c r="M50" s="86" t="str">
        <f>M6</f>
        <v>FY 2023-24</v>
      </c>
      <c r="N50" s="86" t="s">
        <v>366</v>
      </c>
      <c r="O50" s="86" t="str">
        <f>O6</f>
        <v>FY 2024-25</v>
      </c>
      <c r="P50" s="86" t="s">
        <v>366</v>
      </c>
      <c r="Q50" s="86" t="str">
        <f>Q6</f>
        <v>FY 2025-26</v>
      </c>
      <c r="R50" s="86" t="s">
        <v>366</v>
      </c>
      <c r="S50" s="86" t="str">
        <f>S6</f>
        <v>FY 2026-27</v>
      </c>
      <c r="T50" s="86" t="s">
        <v>366</v>
      </c>
      <c r="U50" s="86" t="str">
        <f>U6</f>
        <v>FY 2027-28</v>
      </c>
      <c r="V50" s="86" t="s">
        <v>366</v>
      </c>
    </row>
    <row r="51" spans="1:24" ht="12.75" customHeight="1">
      <c r="A51" s="1" t="s">
        <v>395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396</v>
      </c>
      <c r="B52" s="35"/>
      <c r="C52" s="178">
        <v>0</v>
      </c>
      <c r="D52" s="80">
        <f t="shared" ref="D52:D104" si="22">IFERROR(C52/C$28,0)</f>
        <v>0</v>
      </c>
      <c r="E52" s="178">
        <v>0</v>
      </c>
      <c r="F52" s="80">
        <f t="shared" ref="F52:F104" si="23">IFERROR(E52/E$28,0)</f>
        <v>0</v>
      </c>
      <c r="G52" s="178">
        <v>0</v>
      </c>
      <c r="H52" s="80">
        <f t="shared" ref="H52:H104" si="24">IFERROR(G52/G$28,0)</f>
        <v>0</v>
      </c>
      <c r="I52" s="178">
        <v>0</v>
      </c>
      <c r="J52" s="80">
        <f t="shared" ref="J52:J104" si="25">IFERROR(I52/I$28,0)</f>
        <v>0</v>
      </c>
      <c r="K52" s="178">
        <v>0</v>
      </c>
      <c r="L52" s="80">
        <f t="shared" ref="L52:L104" si="26">IFERROR(K52/K$28,0)</f>
        <v>0</v>
      </c>
      <c r="M52" s="178">
        <v>0</v>
      </c>
      <c r="N52" s="80">
        <f t="shared" ref="N52:N104" si="27">IFERROR(M52/M$28,0)</f>
        <v>0</v>
      </c>
      <c r="O52" s="178">
        <v>0</v>
      </c>
      <c r="P52" s="80">
        <f t="shared" ref="P52:P104" si="28">IFERROR(O52/O$28,0)</f>
        <v>0</v>
      </c>
      <c r="Q52" s="178">
        <v>0</v>
      </c>
      <c r="R52" s="80">
        <f t="shared" ref="R52:R104" si="29">IFERROR(Q52/Q$28,0)</f>
        <v>0</v>
      </c>
      <c r="S52" s="178">
        <v>0</v>
      </c>
      <c r="T52" s="80">
        <f t="shared" ref="T52:T104" si="30">IFERROR(S52/S$28,0)</f>
        <v>0</v>
      </c>
      <c r="U52" s="178">
        <v>0</v>
      </c>
      <c r="V52" s="80">
        <f t="shared" ref="V52:V105" si="31">IFERROR(U52/U$28,0)</f>
        <v>0</v>
      </c>
      <c r="X52" s="192"/>
    </row>
    <row r="53" spans="1:24" ht="12.75" customHeight="1">
      <c r="A53" s="2" t="s">
        <v>397</v>
      </c>
      <c r="B53" s="35"/>
      <c r="C53" s="178">
        <v>0</v>
      </c>
      <c r="D53" s="80">
        <f t="shared" si="22"/>
        <v>0</v>
      </c>
      <c r="E53" s="178">
        <v>0</v>
      </c>
      <c r="F53" s="80">
        <f t="shared" si="23"/>
        <v>0</v>
      </c>
      <c r="G53" s="178">
        <v>0</v>
      </c>
      <c r="H53" s="80">
        <f t="shared" si="24"/>
        <v>0</v>
      </c>
      <c r="I53" s="178">
        <v>0</v>
      </c>
      <c r="J53" s="80">
        <f t="shared" si="25"/>
        <v>0</v>
      </c>
      <c r="K53" s="178">
        <v>0</v>
      </c>
      <c r="L53" s="80">
        <f t="shared" si="26"/>
        <v>0</v>
      </c>
      <c r="M53" s="178">
        <v>0</v>
      </c>
      <c r="N53" s="80">
        <f t="shared" si="27"/>
        <v>0</v>
      </c>
      <c r="O53" s="178">
        <v>0</v>
      </c>
      <c r="P53" s="80">
        <f t="shared" si="28"/>
        <v>0</v>
      </c>
      <c r="Q53" s="178">
        <v>0</v>
      </c>
      <c r="R53" s="80">
        <f t="shared" si="29"/>
        <v>0</v>
      </c>
      <c r="S53" s="178">
        <v>0</v>
      </c>
      <c r="T53" s="80">
        <f t="shared" si="30"/>
        <v>0</v>
      </c>
      <c r="U53" s="178">
        <v>0</v>
      </c>
      <c r="V53" s="80">
        <f t="shared" si="31"/>
        <v>0</v>
      </c>
      <c r="X53" s="192"/>
    </row>
    <row r="54" spans="1:24" ht="12.75" customHeight="1">
      <c r="A54" s="2" t="s">
        <v>398</v>
      </c>
      <c r="B54" s="35"/>
      <c r="C54" s="178">
        <v>821.14346999999998</v>
      </c>
      <c r="D54" s="80">
        <f t="shared" si="22"/>
        <v>6.9999999999999988E-4</v>
      </c>
      <c r="E54" s="178">
        <v>812</v>
      </c>
      <c r="F54" s="80">
        <f t="shared" si="23"/>
        <v>6.9999999999999999E-4</v>
      </c>
      <c r="G54" s="178">
        <v>728</v>
      </c>
      <c r="H54" s="80">
        <f t="shared" si="24"/>
        <v>6.9999999999999999E-4</v>
      </c>
      <c r="I54" s="178">
        <v>742.56</v>
      </c>
      <c r="J54" s="80">
        <f t="shared" si="25"/>
        <v>6.9999999999999999E-4</v>
      </c>
      <c r="K54" s="178">
        <v>757.41119999999989</v>
      </c>
      <c r="L54" s="80">
        <f t="shared" si="26"/>
        <v>6.9999999999999988E-4</v>
      </c>
      <c r="M54" s="178">
        <v>772.55942400000015</v>
      </c>
      <c r="N54" s="80">
        <f t="shared" si="27"/>
        <v>7.000000000000001E-4</v>
      </c>
      <c r="O54" s="178">
        <v>788.01061247999996</v>
      </c>
      <c r="P54" s="80">
        <f t="shared" si="28"/>
        <v>6.9999999999999999E-4</v>
      </c>
      <c r="Q54" s="178">
        <v>803.77082472960012</v>
      </c>
      <c r="R54" s="80">
        <f t="shared" si="29"/>
        <v>7.000000000000001E-4</v>
      </c>
      <c r="S54" s="178">
        <v>819.846241224192</v>
      </c>
      <c r="T54" s="80">
        <f t="shared" si="30"/>
        <v>6.9999999999999988E-4</v>
      </c>
      <c r="U54" s="178">
        <v>836.24316604867613</v>
      </c>
      <c r="V54" s="80">
        <f t="shared" si="31"/>
        <v>7.000000000000001E-4</v>
      </c>
      <c r="X54" s="192"/>
    </row>
    <row r="55" spans="1:24" ht="12.75" customHeight="1">
      <c r="A55" s="2" t="s">
        <v>399</v>
      </c>
      <c r="B55" s="35"/>
      <c r="C55" s="178">
        <v>93844.968000000008</v>
      </c>
      <c r="D55" s="80">
        <f t="shared" si="22"/>
        <v>0.08</v>
      </c>
      <c r="E55" s="178">
        <v>92800</v>
      </c>
      <c r="F55" s="80">
        <f t="shared" si="23"/>
        <v>0.08</v>
      </c>
      <c r="G55" s="178">
        <v>83200</v>
      </c>
      <c r="H55" s="80">
        <f t="shared" si="24"/>
        <v>0.08</v>
      </c>
      <c r="I55" s="178">
        <v>84864</v>
      </c>
      <c r="J55" s="80">
        <f t="shared" si="25"/>
        <v>0.08</v>
      </c>
      <c r="K55" s="178">
        <v>86561.279999999999</v>
      </c>
      <c r="L55" s="80">
        <f t="shared" si="26"/>
        <v>0.08</v>
      </c>
      <c r="M55" s="178">
        <v>88292.505600000004</v>
      </c>
      <c r="N55" s="80">
        <f t="shared" si="27"/>
        <v>0.08</v>
      </c>
      <c r="O55" s="178">
        <v>90058.355712000004</v>
      </c>
      <c r="P55" s="80">
        <f t="shared" si="28"/>
        <v>0.08</v>
      </c>
      <c r="Q55" s="178">
        <v>91859.522826240005</v>
      </c>
      <c r="R55" s="80">
        <f t="shared" si="29"/>
        <v>0.08</v>
      </c>
      <c r="S55" s="178">
        <v>93696.713282764817</v>
      </c>
      <c r="T55" s="80">
        <f t="shared" si="30"/>
        <v>0.08</v>
      </c>
      <c r="U55" s="178">
        <v>95570.647548420107</v>
      </c>
      <c r="V55" s="80">
        <f t="shared" si="31"/>
        <v>0.08</v>
      </c>
      <c r="X55" s="192"/>
    </row>
    <row r="56" spans="1:24" ht="12.75" customHeight="1">
      <c r="A56" s="2" t="s">
        <v>400</v>
      </c>
      <c r="B56" s="35"/>
      <c r="C56" s="178">
        <v>598.26167099999998</v>
      </c>
      <c r="D56" s="80">
        <f t="shared" si="22"/>
        <v>5.0999999999999993E-4</v>
      </c>
      <c r="E56" s="178">
        <v>591.6</v>
      </c>
      <c r="F56" s="80">
        <f t="shared" si="23"/>
        <v>5.1000000000000004E-4</v>
      </c>
      <c r="G56" s="178">
        <v>530.4</v>
      </c>
      <c r="H56" s="80">
        <f t="shared" si="24"/>
        <v>5.0999999999999993E-4</v>
      </c>
      <c r="I56" s="178">
        <v>541.00800000000004</v>
      </c>
      <c r="J56" s="80">
        <f t="shared" si="25"/>
        <v>5.1000000000000004E-4</v>
      </c>
      <c r="K56" s="178">
        <v>551.82816000000003</v>
      </c>
      <c r="L56" s="80">
        <f t="shared" si="26"/>
        <v>5.1000000000000004E-4</v>
      </c>
      <c r="M56" s="178">
        <v>562.86472320000007</v>
      </c>
      <c r="N56" s="80">
        <f t="shared" si="27"/>
        <v>5.1000000000000004E-4</v>
      </c>
      <c r="O56" s="178">
        <v>574.12201766400005</v>
      </c>
      <c r="P56" s="80">
        <f t="shared" si="28"/>
        <v>5.1000000000000004E-4</v>
      </c>
      <c r="Q56" s="178">
        <v>585.60445801728019</v>
      </c>
      <c r="R56" s="80">
        <f t="shared" si="29"/>
        <v>5.1000000000000015E-4</v>
      </c>
      <c r="S56" s="178">
        <v>597.31654717762569</v>
      </c>
      <c r="T56" s="80">
        <f t="shared" si="30"/>
        <v>5.1000000000000004E-4</v>
      </c>
      <c r="U56" s="178">
        <v>609.26287812117823</v>
      </c>
      <c r="V56" s="80">
        <f t="shared" si="31"/>
        <v>5.1000000000000004E-4</v>
      </c>
      <c r="X56" s="192"/>
    </row>
    <row r="57" spans="1:24" ht="12.75" customHeight="1">
      <c r="A57" s="2" t="s">
        <v>401</v>
      </c>
      <c r="B57" s="35"/>
      <c r="C57" s="178">
        <v>0</v>
      </c>
      <c r="D57" s="80">
        <f t="shared" si="22"/>
        <v>0</v>
      </c>
      <c r="E57" s="178">
        <v>0</v>
      </c>
      <c r="F57" s="80">
        <f t="shared" si="23"/>
        <v>0</v>
      </c>
      <c r="G57" s="178">
        <v>0</v>
      </c>
      <c r="H57" s="80">
        <f t="shared" si="24"/>
        <v>0</v>
      </c>
      <c r="I57" s="178">
        <v>0</v>
      </c>
      <c r="J57" s="80">
        <f t="shared" si="25"/>
        <v>0</v>
      </c>
      <c r="K57" s="178">
        <v>0</v>
      </c>
      <c r="L57" s="80">
        <f t="shared" si="26"/>
        <v>0</v>
      </c>
      <c r="M57" s="178">
        <v>0</v>
      </c>
      <c r="N57" s="80">
        <f t="shared" si="27"/>
        <v>0</v>
      </c>
      <c r="O57" s="178">
        <v>0</v>
      </c>
      <c r="P57" s="80">
        <f t="shared" si="28"/>
        <v>0</v>
      </c>
      <c r="Q57" s="178">
        <v>0</v>
      </c>
      <c r="R57" s="80">
        <f t="shared" si="29"/>
        <v>0</v>
      </c>
      <c r="S57" s="178">
        <v>0</v>
      </c>
      <c r="T57" s="80">
        <f t="shared" si="30"/>
        <v>0</v>
      </c>
      <c r="U57" s="178">
        <v>0</v>
      </c>
      <c r="V57" s="80">
        <f t="shared" si="31"/>
        <v>0</v>
      </c>
      <c r="X57" s="192"/>
    </row>
    <row r="58" spans="1:24" ht="12.75" customHeight="1">
      <c r="A58" s="2" t="s">
        <v>402</v>
      </c>
      <c r="B58" s="35"/>
      <c r="C58" s="178">
        <v>0</v>
      </c>
      <c r="D58" s="80">
        <f t="shared" si="22"/>
        <v>0</v>
      </c>
      <c r="E58" s="178">
        <v>0</v>
      </c>
      <c r="F58" s="80">
        <f t="shared" si="23"/>
        <v>0</v>
      </c>
      <c r="G58" s="178">
        <v>0</v>
      </c>
      <c r="H58" s="80">
        <f t="shared" si="24"/>
        <v>0</v>
      </c>
      <c r="I58" s="178">
        <v>0</v>
      </c>
      <c r="J58" s="80">
        <f t="shared" si="25"/>
        <v>0</v>
      </c>
      <c r="K58" s="178">
        <v>0</v>
      </c>
      <c r="L58" s="80">
        <f t="shared" si="26"/>
        <v>0</v>
      </c>
      <c r="M58" s="178">
        <v>0</v>
      </c>
      <c r="N58" s="80">
        <f t="shared" si="27"/>
        <v>0</v>
      </c>
      <c r="O58" s="178">
        <v>0</v>
      </c>
      <c r="P58" s="80">
        <f t="shared" si="28"/>
        <v>0</v>
      </c>
      <c r="Q58" s="178">
        <v>0</v>
      </c>
      <c r="R58" s="80">
        <f t="shared" si="29"/>
        <v>0</v>
      </c>
      <c r="S58" s="178">
        <v>0</v>
      </c>
      <c r="T58" s="80">
        <f t="shared" si="30"/>
        <v>0</v>
      </c>
      <c r="U58" s="178">
        <v>0</v>
      </c>
      <c r="V58" s="80">
        <f t="shared" si="31"/>
        <v>0</v>
      </c>
      <c r="X58" s="192"/>
    </row>
    <row r="59" spans="1:24" ht="12.75" customHeight="1">
      <c r="A59" s="2" t="s">
        <v>403</v>
      </c>
      <c r="B59" s="35"/>
      <c r="C59" s="178"/>
      <c r="D59" s="80">
        <f t="shared" si="22"/>
        <v>0</v>
      </c>
      <c r="E59" s="178"/>
      <c r="F59" s="80">
        <f t="shared" si="23"/>
        <v>0</v>
      </c>
      <c r="G59" s="178"/>
      <c r="H59" s="80">
        <f t="shared" si="24"/>
        <v>0</v>
      </c>
      <c r="I59" s="178"/>
      <c r="J59" s="80">
        <f t="shared" si="25"/>
        <v>0</v>
      </c>
      <c r="K59" s="178"/>
      <c r="L59" s="80">
        <f t="shared" si="26"/>
        <v>0</v>
      </c>
      <c r="M59" s="178"/>
      <c r="N59" s="80">
        <f t="shared" si="27"/>
        <v>0</v>
      </c>
      <c r="O59" s="178"/>
      <c r="P59" s="80">
        <f t="shared" si="28"/>
        <v>0</v>
      </c>
      <c r="Q59" s="178"/>
      <c r="R59" s="80">
        <f t="shared" si="29"/>
        <v>0</v>
      </c>
      <c r="S59" s="178"/>
      <c r="T59" s="80">
        <f t="shared" si="30"/>
        <v>0</v>
      </c>
      <c r="U59" s="178"/>
      <c r="V59" s="80">
        <f t="shared" si="31"/>
        <v>0</v>
      </c>
      <c r="X59" s="192"/>
    </row>
    <row r="60" spans="1:24" ht="12.75" customHeight="1">
      <c r="A60" s="2" t="s">
        <v>404</v>
      </c>
      <c r="B60" s="35"/>
      <c r="C60" s="178">
        <v>0</v>
      </c>
      <c r="D60" s="80">
        <f t="shared" si="22"/>
        <v>0</v>
      </c>
      <c r="E60" s="178">
        <v>0</v>
      </c>
      <c r="F60" s="80">
        <f t="shared" si="23"/>
        <v>0</v>
      </c>
      <c r="G60" s="178">
        <v>0</v>
      </c>
      <c r="H60" s="80">
        <f t="shared" si="24"/>
        <v>0</v>
      </c>
      <c r="I60" s="178">
        <v>0</v>
      </c>
      <c r="J60" s="80">
        <f t="shared" si="25"/>
        <v>0</v>
      </c>
      <c r="K60" s="178">
        <v>0</v>
      </c>
      <c r="L60" s="80">
        <f t="shared" si="26"/>
        <v>0</v>
      </c>
      <c r="M60" s="178">
        <v>0</v>
      </c>
      <c r="N60" s="80">
        <f t="shared" si="27"/>
        <v>0</v>
      </c>
      <c r="O60" s="178">
        <v>0</v>
      </c>
      <c r="P60" s="80">
        <f t="shared" si="28"/>
        <v>0</v>
      </c>
      <c r="Q60" s="178">
        <v>0</v>
      </c>
      <c r="R60" s="80">
        <f t="shared" si="29"/>
        <v>0</v>
      </c>
      <c r="S60" s="178">
        <v>0</v>
      </c>
      <c r="T60" s="80">
        <f t="shared" si="30"/>
        <v>0</v>
      </c>
      <c r="U60" s="178">
        <v>0</v>
      </c>
      <c r="V60" s="80">
        <f t="shared" si="31"/>
        <v>0</v>
      </c>
      <c r="X60" s="192"/>
    </row>
    <row r="61" spans="1:24" ht="12.75" customHeight="1">
      <c r="A61" s="2" t="s">
        <v>405</v>
      </c>
      <c r="B61" s="35"/>
      <c r="C61" s="178">
        <v>0</v>
      </c>
      <c r="D61" s="80">
        <f t="shared" si="22"/>
        <v>0</v>
      </c>
      <c r="E61" s="178">
        <v>0</v>
      </c>
      <c r="F61" s="80">
        <f t="shared" si="23"/>
        <v>0</v>
      </c>
      <c r="G61" s="178">
        <v>0</v>
      </c>
      <c r="H61" s="80">
        <f t="shared" si="24"/>
        <v>0</v>
      </c>
      <c r="I61" s="178">
        <v>0</v>
      </c>
      <c r="J61" s="80">
        <f t="shared" si="25"/>
        <v>0</v>
      </c>
      <c r="K61" s="178">
        <v>0</v>
      </c>
      <c r="L61" s="80">
        <f t="shared" si="26"/>
        <v>0</v>
      </c>
      <c r="M61" s="178">
        <v>0</v>
      </c>
      <c r="N61" s="80">
        <f t="shared" si="27"/>
        <v>0</v>
      </c>
      <c r="O61" s="178">
        <v>0</v>
      </c>
      <c r="P61" s="80">
        <f t="shared" si="28"/>
        <v>0</v>
      </c>
      <c r="Q61" s="178">
        <v>0</v>
      </c>
      <c r="R61" s="80">
        <f t="shared" si="29"/>
        <v>0</v>
      </c>
      <c r="S61" s="178">
        <v>0</v>
      </c>
      <c r="T61" s="80">
        <f t="shared" si="30"/>
        <v>0</v>
      </c>
      <c r="U61" s="178">
        <v>0</v>
      </c>
      <c r="V61" s="80">
        <f t="shared" si="31"/>
        <v>0</v>
      </c>
      <c r="X61" s="192"/>
    </row>
    <row r="62" spans="1:24" ht="12.75" customHeight="1">
      <c r="A62" s="2" t="s">
        <v>406</v>
      </c>
      <c r="B62" s="35"/>
      <c r="C62" s="178">
        <v>0</v>
      </c>
      <c r="D62" s="80">
        <f t="shared" si="22"/>
        <v>0</v>
      </c>
      <c r="E62" s="178">
        <v>0</v>
      </c>
      <c r="F62" s="80">
        <f t="shared" si="23"/>
        <v>0</v>
      </c>
      <c r="G62" s="178">
        <v>0</v>
      </c>
      <c r="H62" s="80">
        <f t="shared" si="24"/>
        <v>0</v>
      </c>
      <c r="I62" s="178">
        <v>0</v>
      </c>
      <c r="J62" s="80">
        <f t="shared" si="25"/>
        <v>0</v>
      </c>
      <c r="K62" s="178">
        <v>0</v>
      </c>
      <c r="L62" s="80">
        <f t="shared" si="26"/>
        <v>0</v>
      </c>
      <c r="M62" s="178">
        <v>0</v>
      </c>
      <c r="N62" s="80">
        <f t="shared" si="27"/>
        <v>0</v>
      </c>
      <c r="O62" s="178">
        <v>0</v>
      </c>
      <c r="P62" s="80">
        <f t="shared" si="28"/>
        <v>0</v>
      </c>
      <c r="Q62" s="178">
        <v>0</v>
      </c>
      <c r="R62" s="80">
        <f t="shared" si="29"/>
        <v>0</v>
      </c>
      <c r="S62" s="178">
        <v>0</v>
      </c>
      <c r="T62" s="80">
        <f t="shared" si="30"/>
        <v>0</v>
      </c>
      <c r="U62" s="178">
        <v>0</v>
      </c>
      <c r="V62" s="80">
        <f t="shared" si="31"/>
        <v>0</v>
      </c>
      <c r="X62" s="192"/>
    </row>
    <row r="63" spans="1:24" ht="12.75" customHeight="1">
      <c r="A63" s="2" t="s">
        <v>407</v>
      </c>
      <c r="B63" s="35"/>
      <c r="C63" s="178">
        <v>14271.097945296846</v>
      </c>
      <c r="D63" s="80">
        <f t="shared" si="22"/>
        <v>1.2165679843630482E-2</v>
      </c>
      <c r="E63" s="178">
        <v>14320.537593126566</v>
      </c>
      <c r="F63" s="80">
        <f t="shared" si="23"/>
        <v>1.2345291028557385E-2</v>
      </c>
      <c r="G63" s="178">
        <v>12703.200911360642</v>
      </c>
      <c r="H63" s="80">
        <f t="shared" si="24"/>
        <v>1.2214616260923693E-2</v>
      </c>
      <c r="I63" s="178">
        <v>12990.536262931857</v>
      </c>
      <c r="J63" s="80">
        <f t="shared" si="25"/>
        <v>1.2245980640018719E-2</v>
      </c>
      <c r="K63" s="178">
        <v>13209.509904224698</v>
      </c>
      <c r="L63" s="80">
        <f t="shared" si="26"/>
        <v>1.2208238976341107E-2</v>
      </c>
      <c r="M63" s="178">
        <v>13496.415419715628</v>
      </c>
      <c r="N63" s="80">
        <f t="shared" si="27"/>
        <v>1.2228820852233807E-2</v>
      </c>
      <c r="O63" s="178">
        <v>13794.724530994445</v>
      </c>
      <c r="P63" s="80">
        <f t="shared" si="28"/>
        <v>1.2254031885822086E-2</v>
      </c>
      <c r="Q63" s="178">
        <v>14111.941954376127</v>
      </c>
      <c r="R63" s="80">
        <f t="shared" si="29"/>
        <v>1.2290019821740245E-2</v>
      </c>
      <c r="S63" s="178">
        <v>14435.300775243175</v>
      </c>
      <c r="T63" s="80">
        <f t="shared" si="30"/>
        <v>1.2325128828525087E-2</v>
      </c>
      <c r="U63" s="178">
        <v>14768.825760630072</v>
      </c>
      <c r="V63" s="80">
        <f t="shared" si="31"/>
        <v>1.2362645761626812E-2</v>
      </c>
      <c r="X63" s="192"/>
    </row>
    <row r="64" spans="1:24" ht="12.75" customHeight="1">
      <c r="A64" s="2" t="s">
        <v>408</v>
      </c>
      <c r="B64" s="35"/>
      <c r="C64" s="178">
        <v>5630.6980799999992</v>
      </c>
      <c r="D64" s="80">
        <f t="shared" si="22"/>
        <v>4.7999999999999987E-3</v>
      </c>
      <c r="E64" s="178">
        <v>5567.9999999999991</v>
      </c>
      <c r="F64" s="80">
        <f t="shared" si="23"/>
        <v>4.7999999999999996E-3</v>
      </c>
      <c r="G64" s="178">
        <v>4992</v>
      </c>
      <c r="H64" s="80">
        <f t="shared" si="24"/>
        <v>4.7999999999999996E-3</v>
      </c>
      <c r="I64" s="178">
        <v>5091.8399999999983</v>
      </c>
      <c r="J64" s="80">
        <f t="shared" si="25"/>
        <v>4.7999999999999987E-3</v>
      </c>
      <c r="K64" s="178">
        <v>5193.6767999999993</v>
      </c>
      <c r="L64" s="80">
        <f t="shared" si="26"/>
        <v>4.7999999999999996E-3</v>
      </c>
      <c r="M64" s="178">
        <v>5297.5503360000002</v>
      </c>
      <c r="N64" s="80">
        <f t="shared" si="27"/>
        <v>4.7999999999999996E-3</v>
      </c>
      <c r="O64" s="178">
        <v>5403.5013427200001</v>
      </c>
      <c r="P64" s="80">
        <f t="shared" si="28"/>
        <v>4.8000000000000004E-3</v>
      </c>
      <c r="Q64" s="178">
        <v>5511.5713695743998</v>
      </c>
      <c r="R64" s="80">
        <f t="shared" si="29"/>
        <v>4.7999999999999996E-3</v>
      </c>
      <c r="S64" s="178">
        <v>5621.8027969658879</v>
      </c>
      <c r="T64" s="80">
        <f t="shared" si="30"/>
        <v>4.7999999999999987E-3</v>
      </c>
      <c r="U64" s="178">
        <v>5734.2388529052068</v>
      </c>
      <c r="V64" s="80">
        <f t="shared" si="31"/>
        <v>4.8000000000000004E-3</v>
      </c>
      <c r="X64" s="192"/>
    </row>
    <row r="65" spans="1:24" ht="12.75" customHeight="1">
      <c r="A65" s="2" t="s">
        <v>409</v>
      </c>
      <c r="B65" s="35"/>
      <c r="C65" s="178">
        <v>586.53105000000005</v>
      </c>
      <c r="D65" s="80">
        <f t="shared" si="22"/>
        <v>5.0000000000000001E-4</v>
      </c>
      <c r="E65" s="178">
        <v>580</v>
      </c>
      <c r="F65" s="80">
        <f t="shared" si="23"/>
        <v>5.0000000000000001E-4</v>
      </c>
      <c r="G65" s="178">
        <v>520</v>
      </c>
      <c r="H65" s="80">
        <f t="shared" si="24"/>
        <v>5.0000000000000001E-4</v>
      </c>
      <c r="I65" s="178">
        <v>530.4</v>
      </c>
      <c r="J65" s="80">
        <f t="shared" si="25"/>
        <v>5.0000000000000001E-4</v>
      </c>
      <c r="K65" s="178">
        <v>541.00799999999992</v>
      </c>
      <c r="L65" s="80">
        <f t="shared" si="26"/>
        <v>4.999999999999999E-4</v>
      </c>
      <c r="M65" s="178">
        <v>551.82816000000003</v>
      </c>
      <c r="N65" s="80">
        <f t="shared" si="27"/>
        <v>5.0000000000000001E-4</v>
      </c>
      <c r="O65" s="178">
        <v>562.86472320000007</v>
      </c>
      <c r="P65" s="80">
        <f t="shared" si="28"/>
        <v>5.0000000000000001E-4</v>
      </c>
      <c r="Q65" s="178">
        <v>574.12201766400005</v>
      </c>
      <c r="R65" s="80">
        <f t="shared" si="29"/>
        <v>5.0000000000000001E-4</v>
      </c>
      <c r="S65" s="178">
        <v>585.60445801727997</v>
      </c>
      <c r="T65" s="80">
        <f t="shared" si="30"/>
        <v>4.999999999999999E-4</v>
      </c>
      <c r="U65" s="178">
        <v>597.31654717762569</v>
      </c>
      <c r="V65" s="80">
        <f t="shared" si="31"/>
        <v>5.0000000000000001E-4</v>
      </c>
      <c r="X65" s="192"/>
    </row>
    <row r="66" spans="1:24" ht="12.75" customHeight="1">
      <c r="A66" s="2" t="s">
        <v>410</v>
      </c>
      <c r="B66" s="35"/>
      <c r="C66" s="178">
        <v>3284.5738799999999</v>
      </c>
      <c r="D66" s="80">
        <f t="shared" si="22"/>
        <v>2.7999999999999995E-3</v>
      </c>
      <c r="E66" s="178">
        <v>3248</v>
      </c>
      <c r="F66" s="80">
        <f t="shared" si="23"/>
        <v>2.8E-3</v>
      </c>
      <c r="G66" s="178">
        <v>2912</v>
      </c>
      <c r="H66" s="80">
        <f t="shared" si="24"/>
        <v>2.8E-3</v>
      </c>
      <c r="I66" s="178">
        <v>2970.24</v>
      </c>
      <c r="J66" s="80">
        <f t="shared" si="25"/>
        <v>2.8E-3</v>
      </c>
      <c r="K66" s="178">
        <v>3029.6447999999996</v>
      </c>
      <c r="L66" s="80">
        <f t="shared" si="26"/>
        <v>2.7999999999999995E-3</v>
      </c>
      <c r="M66" s="178">
        <v>3090.2376960000006</v>
      </c>
      <c r="N66" s="80">
        <f t="shared" si="27"/>
        <v>2.8000000000000004E-3</v>
      </c>
      <c r="O66" s="178">
        <v>3152.0424499199999</v>
      </c>
      <c r="P66" s="80">
        <f t="shared" si="28"/>
        <v>2.8E-3</v>
      </c>
      <c r="Q66" s="178">
        <v>3215.0832989184005</v>
      </c>
      <c r="R66" s="80">
        <f t="shared" si="29"/>
        <v>2.8000000000000004E-3</v>
      </c>
      <c r="S66" s="178">
        <v>3279.384964896768</v>
      </c>
      <c r="T66" s="80">
        <f t="shared" si="30"/>
        <v>2.7999999999999995E-3</v>
      </c>
      <c r="U66" s="178">
        <v>3344.9726641947045</v>
      </c>
      <c r="V66" s="80">
        <f t="shared" si="31"/>
        <v>2.8000000000000004E-3</v>
      </c>
      <c r="X66" s="192"/>
    </row>
    <row r="67" spans="1:24" ht="12.75" customHeight="1">
      <c r="A67" s="2" t="s">
        <v>411</v>
      </c>
      <c r="B67" s="35"/>
      <c r="C67" s="178">
        <v>17595.931499999999</v>
      </c>
      <c r="D67" s="80">
        <f t="shared" si="22"/>
        <v>1.4999999999999998E-2</v>
      </c>
      <c r="E67" s="178">
        <v>17400</v>
      </c>
      <c r="F67" s="80">
        <f t="shared" si="23"/>
        <v>1.4999999999999999E-2</v>
      </c>
      <c r="G67" s="178">
        <v>15600</v>
      </c>
      <c r="H67" s="80">
        <f t="shared" si="24"/>
        <v>1.4999999999999999E-2</v>
      </c>
      <c r="I67" s="178">
        <v>15911.999999999998</v>
      </c>
      <c r="J67" s="80">
        <f t="shared" si="25"/>
        <v>1.4999999999999998E-2</v>
      </c>
      <c r="K67" s="178">
        <v>16230.239999999998</v>
      </c>
      <c r="L67" s="80">
        <f t="shared" si="26"/>
        <v>1.4999999999999998E-2</v>
      </c>
      <c r="M67" s="178">
        <v>16554.844799999999</v>
      </c>
      <c r="N67" s="80">
        <f t="shared" si="27"/>
        <v>1.4999999999999998E-2</v>
      </c>
      <c r="O67" s="178">
        <v>16885.941695999998</v>
      </c>
      <c r="P67" s="80">
        <f t="shared" si="28"/>
        <v>1.4999999999999998E-2</v>
      </c>
      <c r="Q67" s="178">
        <v>17223.660529920002</v>
      </c>
      <c r="R67" s="80">
        <f t="shared" si="29"/>
        <v>1.5000000000000001E-2</v>
      </c>
      <c r="S67" s="178">
        <v>17568.133740518402</v>
      </c>
      <c r="T67" s="80">
        <f t="shared" si="30"/>
        <v>1.4999999999999999E-2</v>
      </c>
      <c r="U67" s="178">
        <v>17919.496415328773</v>
      </c>
      <c r="V67" s="80">
        <f t="shared" si="31"/>
        <v>1.5000000000000001E-2</v>
      </c>
      <c r="X67" s="192"/>
    </row>
    <row r="68" spans="1:24" ht="12.75" customHeight="1">
      <c r="A68" s="2" t="s">
        <v>412</v>
      </c>
      <c r="B68" s="35"/>
      <c r="C68" s="178">
        <v>1994.2055699999999</v>
      </c>
      <c r="D68" s="80">
        <f t="shared" si="22"/>
        <v>1.6999999999999997E-3</v>
      </c>
      <c r="E68" s="178">
        <v>1971.9999999999998</v>
      </c>
      <c r="F68" s="80">
        <f t="shared" si="23"/>
        <v>1.6999999999999999E-3</v>
      </c>
      <c r="G68" s="178">
        <v>1768</v>
      </c>
      <c r="H68" s="80">
        <f t="shared" si="24"/>
        <v>1.6999999999999999E-3</v>
      </c>
      <c r="I68" s="178">
        <v>1803.3599999999997</v>
      </c>
      <c r="J68" s="80">
        <f t="shared" si="25"/>
        <v>1.6999999999999997E-3</v>
      </c>
      <c r="K68" s="178">
        <v>1839.4271999999996</v>
      </c>
      <c r="L68" s="80">
        <f t="shared" si="26"/>
        <v>1.6999999999999997E-3</v>
      </c>
      <c r="M68" s="178">
        <v>1876.2157440000001</v>
      </c>
      <c r="N68" s="80">
        <f t="shared" si="27"/>
        <v>1.6999999999999999E-3</v>
      </c>
      <c r="O68" s="178">
        <v>1913.7400588799999</v>
      </c>
      <c r="P68" s="80">
        <f t="shared" si="28"/>
        <v>1.6999999999999999E-3</v>
      </c>
      <c r="Q68" s="178">
        <v>1952.0148600576003</v>
      </c>
      <c r="R68" s="80">
        <f t="shared" si="29"/>
        <v>1.7000000000000001E-3</v>
      </c>
      <c r="S68" s="178">
        <v>1991.0551572587519</v>
      </c>
      <c r="T68" s="80">
        <f t="shared" si="30"/>
        <v>1.6999999999999997E-3</v>
      </c>
      <c r="U68" s="178">
        <v>2030.8762604039273</v>
      </c>
      <c r="V68" s="80">
        <f t="shared" si="31"/>
        <v>1.6999999999999999E-3</v>
      </c>
      <c r="X68" s="192"/>
    </row>
    <row r="69" spans="1:24" ht="12.75" customHeight="1">
      <c r="A69" s="2" t="s">
        <v>413</v>
      </c>
      <c r="B69" s="35"/>
      <c r="C69" s="178">
        <v>0</v>
      </c>
      <c r="D69" s="80">
        <f t="shared" si="22"/>
        <v>0</v>
      </c>
      <c r="E69" s="178">
        <v>0</v>
      </c>
      <c r="F69" s="80">
        <f t="shared" si="23"/>
        <v>0</v>
      </c>
      <c r="G69" s="178">
        <v>0</v>
      </c>
      <c r="H69" s="80">
        <f t="shared" si="24"/>
        <v>0</v>
      </c>
      <c r="I69" s="178">
        <v>0</v>
      </c>
      <c r="J69" s="80">
        <f t="shared" si="25"/>
        <v>0</v>
      </c>
      <c r="K69" s="178">
        <v>0</v>
      </c>
      <c r="L69" s="80">
        <f t="shared" si="26"/>
        <v>0</v>
      </c>
      <c r="M69" s="178">
        <v>0</v>
      </c>
      <c r="N69" s="80">
        <f t="shared" si="27"/>
        <v>0</v>
      </c>
      <c r="O69" s="178">
        <v>0</v>
      </c>
      <c r="P69" s="80">
        <f t="shared" si="28"/>
        <v>0</v>
      </c>
      <c r="Q69" s="178">
        <v>0</v>
      </c>
      <c r="R69" s="80">
        <f t="shared" si="29"/>
        <v>0</v>
      </c>
      <c r="S69" s="178">
        <v>0</v>
      </c>
      <c r="T69" s="80">
        <f t="shared" si="30"/>
        <v>0</v>
      </c>
      <c r="U69" s="178">
        <v>0</v>
      </c>
      <c r="V69" s="80">
        <f t="shared" si="31"/>
        <v>0</v>
      </c>
      <c r="X69" s="192"/>
    </row>
    <row r="70" spans="1:24" ht="12.75" customHeight="1">
      <c r="A70" s="2" t="s">
        <v>414</v>
      </c>
      <c r="B70" s="35"/>
      <c r="C70" s="178">
        <v>117.30621000000001</v>
      </c>
      <c r="D70" s="80">
        <f t="shared" si="22"/>
        <v>1E-4</v>
      </c>
      <c r="E70" s="178">
        <v>116.00000000000001</v>
      </c>
      <c r="F70" s="80">
        <f t="shared" si="23"/>
        <v>1.0000000000000002E-4</v>
      </c>
      <c r="G70" s="178">
        <v>104.00000000000001</v>
      </c>
      <c r="H70" s="80">
        <f t="shared" si="24"/>
        <v>1.0000000000000002E-4</v>
      </c>
      <c r="I70" s="178">
        <v>106.08</v>
      </c>
      <c r="J70" s="80">
        <f t="shared" si="25"/>
        <v>1E-4</v>
      </c>
      <c r="K70" s="178">
        <v>108.20159999999998</v>
      </c>
      <c r="L70" s="80">
        <f t="shared" si="26"/>
        <v>9.9999999999999991E-5</v>
      </c>
      <c r="M70" s="178">
        <v>110.36563200000001</v>
      </c>
      <c r="N70" s="80">
        <f t="shared" si="27"/>
        <v>1E-4</v>
      </c>
      <c r="O70" s="178">
        <v>112.57294464</v>
      </c>
      <c r="P70" s="80">
        <f t="shared" si="28"/>
        <v>1E-4</v>
      </c>
      <c r="Q70" s="178">
        <v>114.82440353280003</v>
      </c>
      <c r="R70" s="80">
        <f t="shared" si="29"/>
        <v>1.0000000000000002E-4</v>
      </c>
      <c r="S70" s="178">
        <v>117.12089160345602</v>
      </c>
      <c r="T70" s="80">
        <f t="shared" si="30"/>
        <v>9.9999999999999991E-5</v>
      </c>
      <c r="U70" s="178">
        <v>119.46330943552515</v>
      </c>
      <c r="V70" s="80">
        <f t="shared" si="31"/>
        <v>1E-4</v>
      </c>
      <c r="X70" s="192"/>
    </row>
    <row r="71" spans="1:24" ht="12.75" customHeight="1">
      <c r="A71" s="2" t="s">
        <v>415</v>
      </c>
      <c r="B71" s="35"/>
      <c r="C71" s="178">
        <v>0</v>
      </c>
      <c r="D71" s="80">
        <f t="shared" si="22"/>
        <v>0</v>
      </c>
      <c r="E71" s="178">
        <v>0</v>
      </c>
      <c r="F71" s="80">
        <f t="shared" si="23"/>
        <v>0</v>
      </c>
      <c r="G71" s="178">
        <v>0</v>
      </c>
      <c r="H71" s="80">
        <f t="shared" si="24"/>
        <v>0</v>
      </c>
      <c r="I71" s="178">
        <v>0</v>
      </c>
      <c r="J71" s="80">
        <f t="shared" si="25"/>
        <v>0</v>
      </c>
      <c r="K71" s="178">
        <v>0</v>
      </c>
      <c r="L71" s="80">
        <f t="shared" si="26"/>
        <v>0</v>
      </c>
      <c r="M71" s="178">
        <v>0</v>
      </c>
      <c r="N71" s="80">
        <f t="shared" si="27"/>
        <v>0</v>
      </c>
      <c r="O71" s="178">
        <v>0</v>
      </c>
      <c r="P71" s="80">
        <f t="shared" si="28"/>
        <v>0</v>
      </c>
      <c r="Q71" s="178">
        <v>0</v>
      </c>
      <c r="R71" s="80">
        <f t="shared" si="29"/>
        <v>0</v>
      </c>
      <c r="S71" s="178">
        <v>0</v>
      </c>
      <c r="T71" s="80">
        <f t="shared" si="30"/>
        <v>0</v>
      </c>
      <c r="U71" s="178">
        <v>0</v>
      </c>
      <c r="V71" s="80">
        <f t="shared" si="31"/>
        <v>0</v>
      </c>
      <c r="X71" s="192"/>
    </row>
    <row r="72" spans="1:24" ht="12.75" customHeight="1">
      <c r="A72" s="2" t="s">
        <v>416</v>
      </c>
      <c r="B72" s="35"/>
      <c r="C72" s="178">
        <v>0</v>
      </c>
      <c r="D72" s="80">
        <f t="shared" si="22"/>
        <v>0</v>
      </c>
      <c r="E72" s="178">
        <v>0</v>
      </c>
      <c r="F72" s="80">
        <f t="shared" si="23"/>
        <v>0</v>
      </c>
      <c r="G72" s="178">
        <v>0</v>
      </c>
      <c r="H72" s="80">
        <f t="shared" si="24"/>
        <v>0</v>
      </c>
      <c r="I72" s="178">
        <v>0</v>
      </c>
      <c r="J72" s="80">
        <f t="shared" si="25"/>
        <v>0</v>
      </c>
      <c r="K72" s="178">
        <v>0</v>
      </c>
      <c r="L72" s="80">
        <f t="shared" si="26"/>
        <v>0</v>
      </c>
      <c r="M72" s="178">
        <v>0</v>
      </c>
      <c r="N72" s="80">
        <f t="shared" si="27"/>
        <v>0</v>
      </c>
      <c r="O72" s="178">
        <v>0</v>
      </c>
      <c r="P72" s="80">
        <f t="shared" si="28"/>
        <v>0</v>
      </c>
      <c r="Q72" s="178">
        <v>0</v>
      </c>
      <c r="R72" s="80">
        <f t="shared" si="29"/>
        <v>0</v>
      </c>
      <c r="S72" s="178">
        <v>0</v>
      </c>
      <c r="T72" s="80">
        <f t="shared" si="30"/>
        <v>0</v>
      </c>
      <c r="U72" s="178">
        <v>0</v>
      </c>
      <c r="V72" s="80">
        <f t="shared" si="31"/>
        <v>0</v>
      </c>
      <c r="X72" s="192"/>
    </row>
    <row r="73" spans="1:24" ht="12.75" customHeight="1">
      <c r="A73" s="2" t="s">
        <v>417</v>
      </c>
      <c r="B73" s="35"/>
      <c r="C73" s="178">
        <v>0</v>
      </c>
      <c r="D73" s="80">
        <f t="shared" si="22"/>
        <v>0</v>
      </c>
      <c r="E73" s="178">
        <v>0</v>
      </c>
      <c r="F73" s="80">
        <f t="shared" si="23"/>
        <v>0</v>
      </c>
      <c r="G73" s="178">
        <v>0</v>
      </c>
      <c r="H73" s="80">
        <f t="shared" si="24"/>
        <v>0</v>
      </c>
      <c r="I73" s="178">
        <v>0</v>
      </c>
      <c r="J73" s="80">
        <f t="shared" si="25"/>
        <v>0</v>
      </c>
      <c r="K73" s="178">
        <v>0</v>
      </c>
      <c r="L73" s="80">
        <f t="shared" si="26"/>
        <v>0</v>
      </c>
      <c r="M73" s="178">
        <v>0</v>
      </c>
      <c r="N73" s="80">
        <f t="shared" si="27"/>
        <v>0</v>
      </c>
      <c r="O73" s="178">
        <v>0</v>
      </c>
      <c r="P73" s="80">
        <f t="shared" si="28"/>
        <v>0</v>
      </c>
      <c r="Q73" s="178">
        <v>0</v>
      </c>
      <c r="R73" s="80">
        <f t="shared" si="29"/>
        <v>0</v>
      </c>
      <c r="S73" s="178">
        <v>0</v>
      </c>
      <c r="T73" s="80">
        <f t="shared" si="30"/>
        <v>0</v>
      </c>
      <c r="U73" s="178">
        <v>0</v>
      </c>
      <c r="V73" s="80">
        <f t="shared" si="31"/>
        <v>0</v>
      </c>
      <c r="X73" s="192"/>
    </row>
    <row r="74" spans="1:24" ht="12.75" customHeight="1">
      <c r="A74" s="2" t="s">
        <v>418</v>
      </c>
      <c r="B74" s="35"/>
      <c r="C74" s="178">
        <v>0</v>
      </c>
      <c r="D74" s="80">
        <f t="shared" si="22"/>
        <v>0</v>
      </c>
      <c r="E74" s="178">
        <v>0</v>
      </c>
      <c r="F74" s="80">
        <f t="shared" si="23"/>
        <v>0</v>
      </c>
      <c r="G74" s="178">
        <v>0</v>
      </c>
      <c r="H74" s="80">
        <f t="shared" si="24"/>
        <v>0</v>
      </c>
      <c r="I74" s="178">
        <v>0</v>
      </c>
      <c r="J74" s="80">
        <f t="shared" si="25"/>
        <v>0</v>
      </c>
      <c r="K74" s="178">
        <v>0</v>
      </c>
      <c r="L74" s="80">
        <f t="shared" si="26"/>
        <v>0</v>
      </c>
      <c r="M74" s="178">
        <v>0</v>
      </c>
      <c r="N74" s="80">
        <f t="shared" si="27"/>
        <v>0</v>
      </c>
      <c r="O74" s="178">
        <v>0</v>
      </c>
      <c r="P74" s="80">
        <f t="shared" si="28"/>
        <v>0</v>
      </c>
      <c r="Q74" s="178">
        <v>0</v>
      </c>
      <c r="R74" s="80">
        <f t="shared" si="29"/>
        <v>0</v>
      </c>
      <c r="S74" s="178">
        <v>0</v>
      </c>
      <c r="T74" s="80">
        <f t="shared" si="30"/>
        <v>0</v>
      </c>
      <c r="U74" s="178">
        <v>0</v>
      </c>
      <c r="V74" s="80">
        <f t="shared" si="31"/>
        <v>0</v>
      </c>
      <c r="X74" s="192"/>
    </row>
    <row r="75" spans="1:24" ht="12.75" customHeight="1">
      <c r="A75" s="2" t="s">
        <v>419</v>
      </c>
      <c r="B75" s="35"/>
      <c r="C75" s="178">
        <v>5278.77945</v>
      </c>
      <c r="D75" s="80">
        <f t="shared" si="22"/>
        <v>4.4999999999999997E-3</v>
      </c>
      <c r="E75" s="178">
        <v>5220</v>
      </c>
      <c r="F75" s="80">
        <f t="shared" si="23"/>
        <v>4.4999999999999997E-3</v>
      </c>
      <c r="G75" s="178">
        <v>4680</v>
      </c>
      <c r="H75" s="80">
        <f t="shared" si="24"/>
        <v>4.4999999999999997E-3</v>
      </c>
      <c r="I75" s="178">
        <v>4773.5999999999995</v>
      </c>
      <c r="J75" s="80">
        <f t="shared" si="25"/>
        <v>4.4999999999999997E-3</v>
      </c>
      <c r="K75" s="178">
        <v>4869.0719999999992</v>
      </c>
      <c r="L75" s="80">
        <f t="shared" si="26"/>
        <v>4.4999999999999997E-3</v>
      </c>
      <c r="M75" s="178">
        <v>4966.4534400000002</v>
      </c>
      <c r="N75" s="80">
        <f t="shared" si="27"/>
        <v>4.4999999999999997E-3</v>
      </c>
      <c r="O75" s="178">
        <v>5065.7825088</v>
      </c>
      <c r="P75" s="80">
        <f t="shared" si="28"/>
        <v>4.4999999999999997E-3</v>
      </c>
      <c r="Q75" s="178">
        <v>5167.0981589760004</v>
      </c>
      <c r="R75" s="80">
        <f t="shared" si="29"/>
        <v>4.4999999999999997E-3</v>
      </c>
      <c r="S75" s="178">
        <v>5270.4401221555199</v>
      </c>
      <c r="T75" s="80">
        <f t="shared" si="30"/>
        <v>4.4999999999999997E-3</v>
      </c>
      <c r="U75" s="178">
        <v>5375.8489245986311</v>
      </c>
      <c r="V75" s="80">
        <f t="shared" si="31"/>
        <v>4.4999999999999997E-3</v>
      </c>
      <c r="X75" s="192"/>
    </row>
    <row r="76" spans="1:24" ht="12.75" customHeight="1">
      <c r="A76" s="2" t="s">
        <v>420</v>
      </c>
      <c r="B76" s="35"/>
      <c r="C76" s="178">
        <v>469.22484000000003</v>
      </c>
      <c r="D76" s="80">
        <f t="shared" si="22"/>
        <v>4.0000000000000002E-4</v>
      </c>
      <c r="E76" s="178">
        <v>464.00000000000006</v>
      </c>
      <c r="F76" s="80">
        <f t="shared" si="23"/>
        <v>4.0000000000000007E-4</v>
      </c>
      <c r="G76" s="178">
        <v>416.00000000000006</v>
      </c>
      <c r="H76" s="80">
        <f t="shared" si="24"/>
        <v>4.0000000000000007E-4</v>
      </c>
      <c r="I76" s="178">
        <v>424.32</v>
      </c>
      <c r="J76" s="80">
        <f t="shared" si="25"/>
        <v>4.0000000000000002E-4</v>
      </c>
      <c r="K76" s="178">
        <v>432.80639999999994</v>
      </c>
      <c r="L76" s="80">
        <f t="shared" si="26"/>
        <v>3.9999999999999996E-4</v>
      </c>
      <c r="M76" s="178">
        <v>441.46252800000002</v>
      </c>
      <c r="N76" s="80">
        <f t="shared" si="27"/>
        <v>4.0000000000000002E-4</v>
      </c>
      <c r="O76" s="178">
        <v>450.29177856000001</v>
      </c>
      <c r="P76" s="80">
        <f t="shared" si="28"/>
        <v>4.0000000000000002E-4</v>
      </c>
      <c r="Q76" s="178">
        <v>459.29761413120013</v>
      </c>
      <c r="R76" s="80">
        <f t="shared" si="29"/>
        <v>4.0000000000000007E-4</v>
      </c>
      <c r="S76" s="178">
        <v>468.48356641382406</v>
      </c>
      <c r="T76" s="80">
        <f t="shared" si="30"/>
        <v>3.9999999999999996E-4</v>
      </c>
      <c r="U76" s="178">
        <v>477.85323774210059</v>
      </c>
      <c r="V76" s="80">
        <f t="shared" si="31"/>
        <v>4.0000000000000002E-4</v>
      </c>
      <c r="X76" s="192"/>
    </row>
    <row r="77" spans="1:24" ht="12.75" customHeight="1">
      <c r="A77" s="2" t="s">
        <v>421</v>
      </c>
      <c r="B77" s="35"/>
      <c r="C77" s="178">
        <v>1524.98073</v>
      </c>
      <c r="D77" s="80">
        <f t="shared" si="22"/>
        <v>1.2999999999999999E-3</v>
      </c>
      <c r="E77" s="178">
        <v>1508</v>
      </c>
      <c r="F77" s="80">
        <f t="shared" si="23"/>
        <v>1.2999999999999999E-3</v>
      </c>
      <c r="G77" s="178">
        <v>1352</v>
      </c>
      <c r="H77" s="80">
        <f t="shared" si="24"/>
        <v>1.2999999999999999E-3</v>
      </c>
      <c r="I77" s="178">
        <v>1379.04</v>
      </c>
      <c r="J77" s="80">
        <f t="shared" si="25"/>
        <v>1.2999999999999999E-3</v>
      </c>
      <c r="K77" s="178">
        <v>1406.6207999999997</v>
      </c>
      <c r="L77" s="80">
        <f t="shared" si="26"/>
        <v>1.2999999999999997E-3</v>
      </c>
      <c r="M77" s="178">
        <v>1434.7532160000001</v>
      </c>
      <c r="N77" s="80">
        <f t="shared" si="27"/>
        <v>1.2999999999999999E-3</v>
      </c>
      <c r="O77" s="178">
        <v>1463.4482803199999</v>
      </c>
      <c r="P77" s="80">
        <f t="shared" si="28"/>
        <v>1.2999999999999999E-3</v>
      </c>
      <c r="Q77" s="178">
        <v>1492.7172459264</v>
      </c>
      <c r="R77" s="80">
        <f t="shared" si="29"/>
        <v>1.2999999999999999E-3</v>
      </c>
      <c r="S77" s="178">
        <v>1522.5715908449281</v>
      </c>
      <c r="T77" s="80">
        <f t="shared" si="30"/>
        <v>1.2999999999999999E-3</v>
      </c>
      <c r="U77" s="178">
        <v>1553.0230226618269</v>
      </c>
      <c r="V77" s="80">
        <f t="shared" si="31"/>
        <v>1.2999999999999999E-3</v>
      </c>
      <c r="X77" s="192"/>
    </row>
    <row r="78" spans="1:24" ht="12.75" customHeight="1">
      <c r="A78" s="2" t="s">
        <v>422</v>
      </c>
      <c r="B78" s="35"/>
      <c r="C78" s="178">
        <v>25807.3662</v>
      </c>
      <c r="D78" s="80">
        <f t="shared" si="22"/>
        <v>2.1999999999999999E-2</v>
      </c>
      <c r="E78" s="178">
        <v>25520</v>
      </c>
      <c r="F78" s="80">
        <f t="shared" si="23"/>
        <v>2.1999999999999999E-2</v>
      </c>
      <c r="G78" s="178">
        <v>22880</v>
      </c>
      <c r="H78" s="80">
        <f t="shared" si="24"/>
        <v>2.1999999999999999E-2</v>
      </c>
      <c r="I78" s="178">
        <v>23337.599999999995</v>
      </c>
      <c r="J78" s="80">
        <f t="shared" si="25"/>
        <v>2.1999999999999995E-2</v>
      </c>
      <c r="K78" s="178">
        <v>23804.351999999999</v>
      </c>
      <c r="L78" s="80">
        <f t="shared" si="26"/>
        <v>2.1999999999999999E-2</v>
      </c>
      <c r="M78" s="178">
        <v>24280.439040000001</v>
      </c>
      <c r="N78" s="80">
        <f t="shared" si="27"/>
        <v>2.1999999999999999E-2</v>
      </c>
      <c r="O78" s="178">
        <v>24766.047820799999</v>
      </c>
      <c r="P78" s="80">
        <f t="shared" si="28"/>
        <v>2.1999999999999999E-2</v>
      </c>
      <c r="Q78" s="178">
        <v>25261.368777216001</v>
      </c>
      <c r="R78" s="80">
        <f t="shared" si="29"/>
        <v>2.1999999999999999E-2</v>
      </c>
      <c r="S78" s="178">
        <v>25766.596152760321</v>
      </c>
      <c r="T78" s="80">
        <f t="shared" si="30"/>
        <v>2.1999999999999999E-2</v>
      </c>
      <c r="U78" s="178">
        <v>26281.928075815533</v>
      </c>
      <c r="V78" s="80">
        <f t="shared" si="31"/>
        <v>2.2000000000000002E-2</v>
      </c>
      <c r="X78" s="192"/>
    </row>
    <row r="79" spans="1:24" ht="12.75" customHeight="1">
      <c r="A79" s="2" t="s">
        <v>423</v>
      </c>
      <c r="B79" s="35"/>
      <c r="C79" s="178">
        <v>0</v>
      </c>
      <c r="D79" s="80">
        <f t="shared" si="22"/>
        <v>0</v>
      </c>
      <c r="E79" s="178">
        <v>0</v>
      </c>
      <c r="F79" s="80">
        <f t="shared" si="23"/>
        <v>0</v>
      </c>
      <c r="G79" s="178">
        <v>0</v>
      </c>
      <c r="H79" s="80">
        <f t="shared" si="24"/>
        <v>0</v>
      </c>
      <c r="I79" s="178">
        <v>0</v>
      </c>
      <c r="J79" s="80">
        <f t="shared" si="25"/>
        <v>0</v>
      </c>
      <c r="K79" s="178">
        <v>0</v>
      </c>
      <c r="L79" s="80">
        <f t="shared" si="26"/>
        <v>0</v>
      </c>
      <c r="M79" s="178">
        <v>0</v>
      </c>
      <c r="N79" s="80">
        <f t="shared" si="27"/>
        <v>0</v>
      </c>
      <c r="O79" s="178">
        <v>0</v>
      </c>
      <c r="P79" s="80">
        <f t="shared" si="28"/>
        <v>0</v>
      </c>
      <c r="Q79" s="178">
        <v>0</v>
      </c>
      <c r="R79" s="80">
        <f t="shared" si="29"/>
        <v>0</v>
      </c>
      <c r="S79" s="178">
        <v>0</v>
      </c>
      <c r="T79" s="80">
        <f t="shared" si="30"/>
        <v>0</v>
      </c>
      <c r="U79" s="178">
        <v>0</v>
      </c>
      <c r="V79" s="80">
        <f t="shared" si="31"/>
        <v>0</v>
      </c>
      <c r="X79" s="192"/>
    </row>
    <row r="80" spans="1:24" ht="12.75" customHeight="1">
      <c r="A80" s="2" t="s">
        <v>424</v>
      </c>
      <c r="B80" s="35"/>
      <c r="C80" s="178">
        <v>0</v>
      </c>
      <c r="D80" s="80">
        <f t="shared" si="22"/>
        <v>0</v>
      </c>
      <c r="E80" s="178">
        <v>0</v>
      </c>
      <c r="F80" s="80">
        <f t="shared" si="23"/>
        <v>0</v>
      </c>
      <c r="G80" s="178">
        <v>0</v>
      </c>
      <c r="H80" s="80">
        <f t="shared" si="24"/>
        <v>0</v>
      </c>
      <c r="I80" s="178">
        <v>0</v>
      </c>
      <c r="J80" s="80">
        <f t="shared" si="25"/>
        <v>0</v>
      </c>
      <c r="K80" s="178">
        <v>0</v>
      </c>
      <c r="L80" s="80">
        <f t="shared" si="26"/>
        <v>0</v>
      </c>
      <c r="M80" s="178">
        <v>0</v>
      </c>
      <c r="N80" s="80">
        <f t="shared" si="27"/>
        <v>0</v>
      </c>
      <c r="O80" s="178">
        <v>0</v>
      </c>
      <c r="P80" s="80">
        <f t="shared" si="28"/>
        <v>0</v>
      </c>
      <c r="Q80" s="178">
        <v>0</v>
      </c>
      <c r="R80" s="80">
        <f t="shared" si="29"/>
        <v>0</v>
      </c>
      <c r="S80" s="178">
        <v>0</v>
      </c>
      <c r="T80" s="80">
        <f t="shared" si="30"/>
        <v>0</v>
      </c>
      <c r="U80" s="178">
        <v>0</v>
      </c>
      <c r="V80" s="80">
        <f t="shared" si="31"/>
        <v>0</v>
      </c>
      <c r="X80" s="192"/>
    </row>
    <row r="81" spans="1:24" ht="12.75" customHeight="1">
      <c r="A81" s="2" t="s">
        <v>425</v>
      </c>
      <c r="B81" s="35"/>
      <c r="C81" s="178">
        <v>0</v>
      </c>
      <c r="D81" s="80">
        <f t="shared" si="22"/>
        <v>0</v>
      </c>
      <c r="E81" s="178">
        <v>0</v>
      </c>
      <c r="F81" s="80">
        <f t="shared" si="23"/>
        <v>0</v>
      </c>
      <c r="G81" s="178">
        <v>0</v>
      </c>
      <c r="H81" s="80">
        <f t="shared" si="24"/>
        <v>0</v>
      </c>
      <c r="I81" s="178">
        <v>0</v>
      </c>
      <c r="J81" s="80">
        <f t="shared" si="25"/>
        <v>0</v>
      </c>
      <c r="K81" s="178">
        <v>0</v>
      </c>
      <c r="L81" s="80">
        <f t="shared" si="26"/>
        <v>0</v>
      </c>
      <c r="M81" s="178">
        <v>0</v>
      </c>
      <c r="N81" s="80">
        <f t="shared" si="27"/>
        <v>0</v>
      </c>
      <c r="O81" s="178">
        <v>0</v>
      </c>
      <c r="P81" s="80">
        <f t="shared" si="28"/>
        <v>0</v>
      </c>
      <c r="Q81" s="178">
        <v>0</v>
      </c>
      <c r="R81" s="80">
        <f t="shared" si="29"/>
        <v>0</v>
      </c>
      <c r="S81" s="178">
        <v>0</v>
      </c>
      <c r="T81" s="80">
        <f t="shared" si="30"/>
        <v>0</v>
      </c>
      <c r="U81" s="178">
        <v>0</v>
      </c>
      <c r="V81" s="80">
        <f t="shared" si="31"/>
        <v>0</v>
      </c>
      <c r="X81" s="192"/>
    </row>
    <row r="82" spans="1:24" ht="12.75" customHeight="1">
      <c r="A82" s="2" t="s">
        <v>426</v>
      </c>
      <c r="B82" s="35"/>
      <c r="C82" s="178">
        <v>0</v>
      </c>
      <c r="D82" s="80">
        <f t="shared" si="22"/>
        <v>0</v>
      </c>
      <c r="E82" s="178">
        <v>0</v>
      </c>
      <c r="F82" s="80">
        <f t="shared" si="23"/>
        <v>0</v>
      </c>
      <c r="G82" s="178">
        <v>0</v>
      </c>
      <c r="H82" s="80">
        <f t="shared" si="24"/>
        <v>0</v>
      </c>
      <c r="I82" s="178">
        <v>0</v>
      </c>
      <c r="J82" s="80">
        <f t="shared" si="25"/>
        <v>0</v>
      </c>
      <c r="K82" s="178">
        <v>0</v>
      </c>
      <c r="L82" s="80">
        <f t="shared" si="26"/>
        <v>0</v>
      </c>
      <c r="M82" s="178">
        <v>0</v>
      </c>
      <c r="N82" s="80">
        <f t="shared" si="27"/>
        <v>0</v>
      </c>
      <c r="O82" s="178">
        <v>0</v>
      </c>
      <c r="P82" s="80">
        <f t="shared" si="28"/>
        <v>0</v>
      </c>
      <c r="Q82" s="178">
        <v>0</v>
      </c>
      <c r="R82" s="80">
        <f t="shared" si="29"/>
        <v>0</v>
      </c>
      <c r="S82" s="178">
        <v>0</v>
      </c>
      <c r="T82" s="80">
        <f t="shared" si="30"/>
        <v>0</v>
      </c>
      <c r="U82" s="178">
        <v>0</v>
      </c>
      <c r="V82" s="80">
        <f t="shared" si="31"/>
        <v>0</v>
      </c>
      <c r="X82" s="192"/>
    </row>
    <row r="83" spans="1:24" ht="12.75" customHeight="1">
      <c r="A83" s="2" t="s">
        <v>427</v>
      </c>
      <c r="B83" s="35"/>
      <c r="C83" s="178">
        <v>0</v>
      </c>
      <c r="D83" s="80">
        <f t="shared" si="22"/>
        <v>0</v>
      </c>
      <c r="E83" s="178">
        <v>0</v>
      </c>
      <c r="F83" s="80">
        <f t="shared" si="23"/>
        <v>0</v>
      </c>
      <c r="G83" s="178">
        <v>0</v>
      </c>
      <c r="H83" s="80">
        <f t="shared" si="24"/>
        <v>0</v>
      </c>
      <c r="I83" s="178">
        <v>0</v>
      </c>
      <c r="J83" s="80">
        <f t="shared" si="25"/>
        <v>0</v>
      </c>
      <c r="K83" s="178">
        <v>0</v>
      </c>
      <c r="L83" s="80">
        <f t="shared" si="26"/>
        <v>0</v>
      </c>
      <c r="M83" s="178">
        <v>0</v>
      </c>
      <c r="N83" s="80">
        <f t="shared" si="27"/>
        <v>0</v>
      </c>
      <c r="O83" s="178">
        <v>0</v>
      </c>
      <c r="P83" s="80">
        <f t="shared" si="28"/>
        <v>0</v>
      </c>
      <c r="Q83" s="178">
        <v>0</v>
      </c>
      <c r="R83" s="80">
        <f t="shared" si="29"/>
        <v>0</v>
      </c>
      <c r="S83" s="178">
        <v>0</v>
      </c>
      <c r="T83" s="80">
        <f t="shared" si="30"/>
        <v>0</v>
      </c>
      <c r="U83" s="178">
        <v>0</v>
      </c>
      <c r="V83" s="80">
        <f t="shared" si="31"/>
        <v>0</v>
      </c>
      <c r="X83" s="192"/>
    </row>
    <row r="84" spans="1:24" ht="12.75" customHeight="1">
      <c r="A84" s="2" t="s">
        <v>428</v>
      </c>
      <c r="B84" s="35"/>
      <c r="C84" s="178">
        <v>0</v>
      </c>
      <c r="D84" s="80">
        <f t="shared" si="22"/>
        <v>0</v>
      </c>
      <c r="E84" s="178">
        <v>0</v>
      </c>
      <c r="F84" s="80">
        <f t="shared" si="23"/>
        <v>0</v>
      </c>
      <c r="G84" s="178">
        <v>0</v>
      </c>
      <c r="H84" s="80">
        <f t="shared" si="24"/>
        <v>0</v>
      </c>
      <c r="I84" s="178">
        <v>0</v>
      </c>
      <c r="J84" s="80">
        <f t="shared" si="25"/>
        <v>0</v>
      </c>
      <c r="K84" s="178">
        <v>0</v>
      </c>
      <c r="L84" s="80">
        <f t="shared" si="26"/>
        <v>0</v>
      </c>
      <c r="M84" s="178">
        <v>0</v>
      </c>
      <c r="N84" s="80">
        <f t="shared" si="27"/>
        <v>0</v>
      </c>
      <c r="O84" s="178">
        <v>0</v>
      </c>
      <c r="P84" s="80">
        <f t="shared" si="28"/>
        <v>0</v>
      </c>
      <c r="Q84" s="178">
        <v>0</v>
      </c>
      <c r="R84" s="80">
        <f t="shared" si="29"/>
        <v>0</v>
      </c>
      <c r="S84" s="178">
        <v>0</v>
      </c>
      <c r="T84" s="80">
        <f t="shared" si="30"/>
        <v>0</v>
      </c>
      <c r="U84" s="178">
        <v>0</v>
      </c>
      <c r="V84" s="80">
        <f t="shared" si="31"/>
        <v>0</v>
      </c>
      <c r="X84" s="192"/>
    </row>
    <row r="85" spans="1:24" ht="12.75" customHeight="1">
      <c r="A85" s="2" t="s">
        <v>429</v>
      </c>
      <c r="B85" s="35"/>
      <c r="C85" s="178">
        <v>0</v>
      </c>
      <c r="D85" s="80">
        <f t="shared" si="22"/>
        <v>0</v>
      </c>
      <c r="E85" s="178">
        <v>0</v>
      </c>
      <c r="F85" s="80">
        <f t="shared" si="23"/>
        <v>0</v>
      </c>
      <c r="G85" s="178">
        <v>0</v>
      </c>
      <c r="H85" s="80">
        <f t="shared" si="24"/>
        <v>0</v>
      </c>
      <c r="I85" s="178">
        <v>0</v>
      </c>
      <c r="J85" s="80">
        <f t="shared" si="25"/>
        <v>0</v>
      </c>
      <c r="K85" s="178">
        <v>0</v>
      </c>
      <c r="L85" s="80">
        <f t="shared" si="26"/>
        <v>0</v>
      </c>
      <c r="M85" s="178">
        <v>0</v>
      </c>
      <c r="N85" s="80">
        <f t="shared" si="27"/>
        <v>0</v>
      </c>
      <c r="O85" s="178">
        <v>0</v>
      </c>
      <c r="P85" s="80">
        <f t="shared" si="28"/>
        <v>0</v>
      </c>
      <c r="Q85" s="178">
        <v>0</v>
      </c>
      <c r="R85" s="80">
        <f t="shared" si="29"/>
        <v>0</v>
      </c>
      <c r="S85" s="178">
        <v>0</v>
      </c>
      <c r="T85" s="80">
        <f t="shared" si="30"/>
        <v>0</v>
      </c>
      <c r="U85" s="178">
        <v>0</v>
      </c>
      <c r="V85" s="80">
        <f t="shared" si="31"/>
        <v>0</v>
      </c>
      <c r="X85" s="192"/>
    </row>
    <row r="86" spans="1:24" ht="12.75" customHeight="1">
      <c r="A86" s="2" t="s">
        <v>430</v>
      </c>
      <c r="B86" s="35"/>
      <c r="C86" s="178">
        <v>4692.2484000000004</v>
      </c>
      <c r="D86" s="80">
        <f t="shared" si="22"/>
        <v>4.0000000000000001E-3</v>
      </c>
      <c r="E86" s="178">
        <v>4640</v>
      </c>
      <c r="F86" s="80">
        <f t="shared" si="23"/>
        <v>4.0000000000000001E-3</v>
      </c>
      <c r="G86" s="178">
        <v>4160</v>
      </c>
      <c r="H86" s="80">
        <f t="shared" si="24"/>
        <v>4.0000000000000001E-3</v>
      </c>
      <c r="I86" s="178">
        <v>4243.2</v>
      </c>
      <c r="J86" s="80">
        <f t="shared" si="25"/>
        <v>4.0000000000000001E-3</v>
      </c>
      <c r="K86" s="178">
        <v>4328.0639999999994</v>
      </c>
      <c r="L86" s="80">
        <f t="shared" si="26"/>
        <v>3.9999999999999992E-3</v>
      </c>
      <c r="M86" s="178">
        <v>4414.6252800000002</v>
      </c>
      <c r="N86" s="80">
        <f t="shared" si="27"/>
        <v>4.0000000000000001E-3</v>
      </c>
      <c r="O86" s="178">
        <v>4502.9177856000006</v>
      </c>
      <c r="P86" s="80">
        <f t="shared" si="28"/>
        <v>4.0000000000000001E-3</v>
      </c>
      <c r="Q86" s="178">
        <v>4592.9761413120004</v>
      </c>
      <c r="R86" s="80">
        <f t="shared" si="29"/>
        <v>4.0000000000000001E-3</v>
      </c>
      <c r="S86" s="178">
        <v>4684.8356641382397</v>
      </c>
      <c r="T86" s="80">
        <f t="shared" si="30"/>
        <v>3.9999999999999992E-3</v>
      </c>
      <c r="U86" s="178">
        <v>4778.5323774210055</v>
      </c>
      <c r="V86" s="80">
        <f t="shared" si="31"/>
        <v>4.0000000000000001E-3</v>
      </c>
      <c r="X86" s="192"/>
    </row>
    <row r="87" spans="1:24" ht="12.75" customHeight="1">
      <c r="A87" s="2" t="s">
        <v>431</v>
      </c>
      <c r="B87" s="35"/>
      <c r="C87" s="178">
        <v>0</v>
      </c>
      <c r="D87" s="80">
        <f t="shared" si="22"/>
        <v>0</v>
      </c>
      <c r="E87" s="178">
        <v>0</v>
      </c>
      <c r="F87" s="80">
        <f t="shared" si="23"/>
        <v>0</v>
      </c>
      <c r="G87" s="178">
        <v>0</v>
      </c>
      <c r="H87" s="80">
        <f t="shared" si="24"/>
        <v>0</v>
      </c>
      <c r="I87" s="178">
        <v>0</v>
      </c>
      <c r="J87" s="80">
        <f t="shared" si="25"/>
        <v>0</v>
      </c>
      <c r="K87" s="178">
        <v>0</v>
      </c>
      <c r="L87" s="80">
        <f t="shared" si="26"/>
        <v>0</v>
      </c>
      <c r="M87" s="178">
        <v>0</v>
      </c>
      <c r="N87" s="80">
        <f t="shared" si="27"/>
        <v>0</v>
      </c>
      <c r="O87" s="178">
        <v>0</v>
      </c>
      <c r="P87" s="80">
        <f t="shared" si="28"/>
        <v>0</v>
      </c>
      <c r="Q87" s="178">
        <v>0</v>
      </c>
      <c r="R87" s="80">
        <f t="shared" si="29"/>
        <v>0</v>
      </c>
      <c r="S87" s="178">
        <v>0</v>
      </c>
      <c r="T87" s="80">
        <f t="shared" si="30"/>
        <v>0</v>
      </c>
      <c r="U87" s="178">
        <v>0</v>
      </c>
      <c r="V87" s="80">
        <f t="shared" si="31"/>
        <v>0</v>
      </c>
      <c r="X87" s="192"/>
    </row>
    <row r="88" spans="1:24" ht="12.75" customHeight="1">
      <c r="A88" s="2" t="s">
        <v>432</v>
      </c>
      <c r="B88" s="35"/>
      <c r="C88" s="178">
        <v>5982.6167100000002</v>
      </c>
      <c r="D88" s="80">
        <f t="shared" si="22"/>
        <v>5.0999999999999995E-3</v>
      </c>
      <c r="E88" s="178">
        <v>5916</v>
      </c>
      <c r="F88" s="80">
        <f t="shared" si="23"/>
        <v>5.1000000000000004E-3</v>
      </c>
      <c r="G88" s="178">
        <v>5304.0000000000009</v>
      </c>
      <c r="H88" s="80">
        <f t="shared" si="24"/>
        <v>5.1000000000000012E-3</v>
      </c>
      <c r="I88" s="178">
        <v>5410.08</v>
      </c>
      <c r="J88" s="80">
        <f t="shared" si="25"/>
        <v>5.0999999999999995E-3</v>
      </c>
      <c r="K88" s="178">
        <v>5518.2816000000003</v>
      </c>
      <c r="L88" s="80">
        <f t="shared" si="26"/>
        <v>5.1000000000000004E-3</v>
      </c>
      <c r="M88" s="178">
        <v>5628.6472320000012</v>
      </c>
      <c r="N88" s="80">
        <f t="shared" si="27"/>
        <v>5.1000000000000004E-3</v>
      </c>
      <c r="O88" s="178">
        <v>5741.2201766400003</v>
      </c>
      <c r="P88" s="80">
        <f t="shared" si="28"/>
        <v>5.1000000000000004E-3</v>
      </c>
      <c r="Q88" s="178">
        <v>5856.044580172801</v>
      </c>
      <c r="R88" s="80">
        <f t="shared" si="29"/>
        <v>5.1000000000000004E-3</v>
      </c>
      <c r="S88" s="178">
        <v>5973.1654717762567</v>
      </c>
      <c r="T88" s="80">
        <f t="shared" si="30"/>
        <v>5.0999999999999995E-3</v>
      </c>
      <c r="U88" s="178">
        <v>6092.6287812117826</v>
      </c>
      <c r="V88" s="80">
        <f t="shared" si="31"/>
        <v>5.1000000000000004E-3</v>
      </c>
      <c r="X88" s="192"/>
    </row>
    <row r="89" spans="1:24" ht="12.75" customHeight="1">
      <c r="A89" s="2" t="s">
        <v>433</v>
      </c>
      <c r="B89" s="35"/>
      <c r="C89" s="178">
        <v>0</v>
      </c>
      <c r="D89" s="80">
        <f t="shared" si="22"/>
        <v>0</v>
      </c>
      <c r="E89" s="178">
        <v>0</v>
      </c>
      <c r="F89" s="80">
        <f t="shared" si="23"/>
        <v>0</v>
      </c>
      <c r="G89" s="178">
        <v>0</v>
      </c>
      <c r="H89" s="80">
        <f t="shared" si="24"/>
        <v>0</v>
      </c>
      <c r="I89" s="178">
        <v>0</v>
      </c>
      <c r="J89" s="80">
        <f t="shared" si="25"/>
        <v>0</v>
      </c>
      <c r="K89" s="178">
        <v>0</v>
      </c>
      <c r="L89" s="80">
        <f t="shared" si="26"/>
        <v>0</v>
      </c>
      <c r="M89" s="178">
        <v>0</v>
      </c>
      <c r="N89" s="80">
        <f t="shared" si="27"/>
        <v>0</v>
      </c>
      <c r="O89" s="178">
        <v>0</v>
      </c>
      <c r="P89" s="80">
        <f t="shared" si="28"/>
        <v>0</v>
      </c>
      <c r="Q89" s="178">
        <v>0</v>
      </c>
      <c r="R89" s="80">
        <f t="shared" si="29"/>
        <v>0</v>
      </c>
      <c r="S89" s="178">
        <v>0</v>
      </c>
      <c r="T89" s="80">
        <f t="shared" si="30"/>
        <v>0</v>
      </c>
      <c r="U89" s="178">
        <v>0</v>
      </c>
      <c r="V89" s="80">
        <f t="shared" si="31"/>
        <v>0</v>
      </c>
      <c r="X89" s="192"/>
    </row>
    <row r="90" spans="1:24" ht="12.75" customHeight="1">
      <c r="A90" s="2" t="s">
        <v>434</v>
      </c>
      <c r="B90" s="35"/>
      <c r="C90" s="178">
        <v>234.61242000000001</v>
      </c>
      <c r="D90" s="80">
        <f t="shared" si="22"/>
        <v>2.0000000000000001E-4</v>
      </c>
      <c r="E90" s="178">
        <v>232.00000000000003</v>
      </c>
      <c r="F90" s="80">
        <f t="shared" si="23"/>
        <v>2.0000000000000004E-4</v>
      </c>
      <c r="G90" s="178">
        <v>208.00000000000003</v>
      </c>
      <c r="H90" s="80">
        <f t="shared" si="24"/>
        <v>2.0000000000000004E-4</v>
      </c>
      <c r="I90" s="178">
        <v>212.16</v>
      </c>
      <c r="J90" s="80">
        <f t="shared" si="25"/>
        <v>2.0000000000000001E-4</v>
      </c>
      <c r="K90" s="178">
        <v>216.40319999999997</v>
      </c>
      <c r="L90" s="80">
        <f t="shared" si="26"/>
        <v>1.9999999999999998E-4</v>
      </c>
      <c r="M90" s="178">
        <v>220.73126400000001</v>
      </c>
      <c r="N90" s="80">
        <f t="shared" si="27"/>
        <v>2.0000000000000001E-4</v>
      </c>
      <c r="O90" s="178">
        <v>225.14588928000001</v>
      </c>
      <c r="P90" s="80">
        <f t="shared" si="28"/>
        <v>2.0000000000000001E-4</v>
      </c>
      <c r="Q90" s="178">
        <v>229.64880706560007</v>
      </c>
      <c r="R90" s="80">
        <f t="shared" si="29"/>
        <v>2.0000000000000004E-4</v>
      </c>
      <c r="S90" s="178">
        <v>234.24178320691203</v>
      </c>
      <c r="T90" s="80">
        <f t="shared" si="30"/>
        <v>1.9999999999999998E-4</v>
      </c>
      <c r="U90" s="178">
        <v>238.92661887105029</v>
      </c>
      <c r="V90" s="80">
        <f t="shared" si="31"/>
        <v>2.0000000000000001E-4</v>
      </c>
      <c r="X90" s="192"/>
    </row>
    <row r="91" spans="1:24" ht="12.75" customHeight="1">
      <c r="A91" s="2" t="s">
        <v>435</v>
      </c>
      <c r="C91" s="178">
        <v>0</v>
      </c>
      <c r="D91" s="80">
        <f t="shared" si="22"/>
        <v>0</v>
      </c>
      <c r="E91" s="178">
        <v>0</v>
      </c>
      <c r="F91" s="80">
        <f t="shared" si="23"/>
        <v>0</v>
      </c>
      <c r="G91" s="178">
        <v>0</v>
      </c>
      <c r="H91" s="80">
        <f t="shared" si="24"/>
        <v>0</v>
      </c>
      <c r="I91" s="178">
        <v>0</v>
      </c>
      <c r="J91" s="80">
        <f t="shared" si="25"/>
        <v>0</v>
      </c>
      <c r="K91" s="178">
        <v>0</v>
      </c>
      <c r="L91" s="80">
        <f t="shared" si="26"/>
        <v>0</v>
      </c>
      <c r="M91" s="178">
        <v>0</v>
      </c>
      <c r="N91" s="80">
        <f t="shared" si="27"/>
        <v>0</v>
      </c>
      <c r="O91" s="178">
        <v>0</v>
      </c>
      <c r="P91" s="80">
        <f t="shared" si="28"/>
        <v>0</v>
      </c>
      <c r="Q91" s="178">
        <v>0</v>
      </c>
      <c r="R91" s="80">
        <f t="shared" si="29"/>
        <v>0</v>
      </c>
      <c r="S91" s="178">
        <v>0</v>
      </c>
      <c r="T91" s="80">
        <f t="shared" si="30"/>
        <v>0</v>
      </c>
      <c r="U91" s="178">
        <v>0</v>
      </c>
      <c r="V91" s="80">
        <f t="shared" si="31"/>
        <v>0</v>
      </c>
      <c r="X91" s="192"/>
    </row>
    <row r="92" spans="1:24" ht="12.75" customHeight="1">
      <c r="A92" s="2" t="s">
        <v>436</v>
      </c>
      <c r="B92" s="35"/>
      <c r="C92" s="178">
        <v>6099.92292</v>
      </c>
      <c r="D92" s="80">
        <f t="shared" si="22"/>
        <v>5.1999999999999998E-3</v>
      </c>
      <c r="E92" s="178">
        <v>6032</v>
      </c>
      <c r="F92" s="80">
        <f t="shared" si="23"/>
        <v>5.1999999999999998E-3</v>
      </c>
      <c r="G92" s="178">
        <v>5408</v>
      </c>
      <c r="H92" s="80">
        <f t="shared" si="24"/>
        <v>5.1999999999999998E-3</v>
      </c>
      <c r="I92" s="178">
        <v>5516.16</v>
      </c>
      <c r="J92" s="80">
        <f t="shared" si="25"/>
        <v>5.1999999999999998E-3</v>
      </c>
      <c r="K92" s="178">
        <v>5626.4831999999988</v>
      </c>
      <c r="L92" s="80">
        <f t="shared" si="26"/>
        <v>5.1999999999999989E-3</v>
      </c>
      <c r="M92" s="178">
        <v>5739.0128640000003</v>
      </c>
      <c r="N92" s="80">
        <f t="shared" si="27"/>
        <v>5.1999999999999998E-3</v>
      </c>
      <c r="O92" s="178">
        <v>5853.7931212799995</v>
      </c>
      <c r="P92" s="80">
        <f t="shared" si="28"/>
        <v>5.1999999999999998E-3</v>
      </c>
      <c r="Q92" s="178">
        <v>5970.8689837055999</v>
      </c>
      <c r="R92" s="80">
        <f t="shared" si="29"/>
        <v>5.1999999999999998E-3</v>
      </c>
      <c r="S92" s="178">
        <v>6090.2863633797124</v>
      </c>
      <c r="T92" s="80">
        <f t="shared" si="30"/>
        <v>5.1999999999999998E-3</v>
      </c>
      <c r="U92" s="178">
        <v>6212.0920906473075</v>
      </c>
      <c r="V92" s="80">
        <f t="shared" si="31"/>
        <v>5.1999999999999998E-3</v>
      </c>
      <c r="X92" s="192"/>
    </row>
    <row r="93" spans="1:24" ht="12.75" customHeight="1">
      <c r="A93" s="2" t="s">
        <v>437</v>
      </c>
      <c r="B93" s="35"/>
      <c r="C93" s="178">
        <v>0</v>
      </c>
      <c r="D93" s="80">
        <f t="shared" si="22"/>
        <v>0</v>
      </c>
      <c r="E93" s="178">
        <v>0</v>
      </c>
      <c r="F93" s="80">
        <f t="shared" si="23"/>
        <v>0</v>
      </c>
      <c r="G93" s="178">
        <v>0</v>
      </c>
      <c r="H93" s="80">
        <f t="shared" si="24"/>
        <v>0</v>
      </c>
      <c r="I93" s="178">
        <v>0</v>
      </c>
      <c r="J93" s="80">
        <f t="shared" si="25"/>
        <v>0</v>
      </c>
      <c r="K93" s="178">
        <v>0</v>
      </c>
      <c r="L93" s="80">
        <f t="shared" si="26"/>
        <v>0</v>
      </c>
      <c r="M93" s="178">
        <v>0</v>
      </c>
      <c r="N93" s="80">
        <f t="shared" si="27"/>
        <v>0</v>
      </c>
      <c r="O93" s="178">
        <v>0</v>
      </c>
      <c r="P93" s="80">
        <f t="shared" si="28"/>
        <v>0</v>
      </c>
      <c r="Q93" s="178">
        <v>0</v>
      </c>
      <c r="R93" s="80">
        <f t="shared" si="29"/>
        <v>0</v>
      </c>
      <c r="S93" s="178">
        <v>0</v>
      </c>
      <c r="T93" s="80">
        <f t="shared" si="30"/>
        <v>0</v>
      </c>
      <c r="U93" s="178">
        <v>0</v>
      </c>
      <c r="V93" s="80">
        <f t="shared" si="31"/>
        <v>0</v>
      </c>
      <c r="X93" s="192"/>
    </row>
    <row r="94" spans="1:24" ht="12.75" customHeight="1">
      <c r="A94" s="2" t="s">
        <v>438</v>
      </c>
      <c r="B94" s="35"/>
      <c r="C94" s="178">
        <v>0</v>
      </c>
      <c r="D94" s="80">
        <f t="shared" si="22"/>
        <v>0</v>
      </c>
      <c r="E94" s="178">
        <v>0</v>
      </c>
      <c r="F94" s="80">
        <f t="shared" si="23"/>
        <v>0</v>
      </c>
      <c r="G94" s="178">
        <v>0</v>
      </c>
      <c r="H94" s="80">
        <f t="shared" si="24"/>
        <v>0</v>
      </c>
      <c r="I94" s="178">
        <v>0</v>
      </c>
      <c r="J94" s="80">
        <f t="shared" si="25"/>
        <v>0</v>
      </c>
      <c r="K94" s="178">
        <v>0</v>
      </c>
      <c r="L94" s="80">
        <f t="shared" si="26"/>
        <v>0</v>
      </c>
      <c r="M94" s="178">
        <v>0</v>
      </c>
      <c r="N94" s="80">
        <f t="shared" si="27"/>
        <v>0</v>
      </c>
      <c r="O94" s="178">
        <v>0</v>
      </c>
      <c r="P94" s="80">
        <f t="shared" si="28"/>
        <v>0</v>
      </c>
      <c r="Q94" s="178">
        <v>0</v>
      </c>
      <c r="R94" s="80">
        <f t="shared" si="29"/>
        <v>0</v>
      </c>
      <c r="S94" s="178">
        <v>0</v>
      </c>
      <c r="T94" s="80">
        <f t="shared" si="30"/>
        <v>0</v>
      </c>
      <c r="U94" s="178">
        <v>0</v>
      </c>
      <c r="V94" s="80">
        <f t="shared" si="31"/>
        <v>0</v>
      </c>
      <c r="X94" s="192"/>
    </row>
    <row r="95" spans="1:24" ht="12.75" customHeight="1">
      <c r="A95" s="2" t="s">
        <v>439</v>
      </c>
      <c r="B95" s="35"/>
      <c r="C95" s="178">
        <v>0</v>
      </c>
      <c r="D95" s="80">
        <f t="shared" si="22"/>
        <v>0</v>
      </c>
      <c r="E95" s="178">
        <v>0</v>
      </c>
      <c r="F95" s="80">
        <f t="shared" si="23"/>
        <v>0</v>
      </c>
      <c r="G95" s="178">
        <v>0</v>
      </c>
      <c r="H95" s="80">
        <f t="shared" si="24"/>
        <v>0</v>
      </c>
      <c r="I95" s="178">
        <v>0</v>
      </c>
      <c r="J95" s="80">
        <f t="shared" si="25"/>
        <v>0</v>
      </c>
      <c r="K95" s="178">
        <v>0</v>
      </c>
      <c r="L95" s="80">
        <f t="shared" si="26"/>
        <v>0</v>
      </c>
      <c r="M95" s="178">
        <v>0</v>
      </c>
      <c r="N95" s="80">
        <f t="shared" si="27"/>
        <v>0</v>
      </c>
      <c r="O95" s="178">
        <v>0</v>
      </c>
      <c r="P95" s="80">
        <f t="shared" si="28"/>
        <v>0</v>
      </c>
      <c r="Q95" s="178">
        <v>0</v>
      </c>
      <c r="R95" s="80">
        <f t="shared" si="29"/>
        <v>0</v>
      </c>
      <c r="S95" s="178">
        <v>0</v>
      </c>
      <c r="T95" s="80">
        <f t="shared" si="30"/>
        <v>0</v>
      </c>
      <c r="U95" s="178">
        <v>0</v>
      </c>
      <c r="V95" s="80">
        <f t="shared" si="31"/>
        <v>0</v>
      </c>
      <c r="X95" s="192"/>
    </row>
    <row r="96" spans="1:24" ht="12.75" customHeight="1">
      <c r="A96" s="2" t="s">
        <v>440</v>
      </c>
      <c r="B96" s="35"/>
      <c r="C96" s="178">
        <v>0</v>
      </c>
      <c r="D96" s="80">
        <f t="shared" si="22"/>
        <v>0</v>
      </c>
      <c r="E96" s="178">
        <v>0</v>
      </c>
      <c r="F96" s="80">
        <f t="shared" si="23"/>
        <v>0</v>
      </c>
      <c r="G96" s="178">
        <v>0</v>
      </c>
      <c r="H96" s="80">
        <f t="shared" si="24"/>
        <v>0</v>
      </c>
      <c r="I96" s="178">
        <v>0</v>
      </c>
      <c r="J96" s="80">
        <f t="shared" si="25"/>
        <v>0</v>
      </c>
      <c r="K96" s="178">
        <v>0</v>
      </c>
      <c r="L96" s="80">
        <f t="shared" si="26"/>
        <v>0</v>
      </c>
      <c r="M96" s="178">
        <v>0</v>
      </c>
      <c r="N96" s="80">
        <f t="shared" si="27"/>
        <v>0</v>
      </c>
      <c r="O96" s="178">
        <v>0</v>
      </c>
      <c r="P96" s="80">
        <f t="shared" si="28"/>
        <v>0</v>
      </c>
      <c r="Q96" s="178">
        <v>0</v>
      </c>
      <c r="R96" s="80">
        <f t="shared" si="29"/>
        <v>0</v>
      </c>
      <c r="S96" s="178">
        <v>0</v>
      </c>
      <c r="T96" s="80">
        <f t="shared" si="30"/>
        <v>0</v>
      </c>
      <c r="U96" s="178">
        <v>0</v>
      </c>
      <c r="V96" s="80">
        <f t="shared" si="31"/>
        <v>0</v>
      </c>
      <c r="X96" s="192"/>
    </row>
    <row r="97" spans="1:24" ht="12.75" customHeight="1">
      <c r="A97" s="2" t="s">
        <v>441</v>
      </c>
      <c r="B97" s="35"/>
      <c r="C97" s="178">
        <v>19004.257000000001</v>
      </c>
      <c r="D97" s="80">
        <f t="shared" si="22"/>
        <v>1.620055494078276E-2</v>
      </c>
      <c r="E97" s="178">
        <v>20921.684331200006</v>
      </c>
      <c r="F97" s="80">
        <f t="shared" si="23"/>
        <v>1.8035934768275867E-2</v>
      </c>
      <c r="G97" s="178">
        <v>21528.030565856003</v>
      </c>
      <c r="H97" s="80">
        <f t="shared" si="24"/>
        <v>2.0700029390246157E-2</v>
      </c>
      <c r="I97" s="178">
        <v>22190.851086540672</v>
      </c>
      <c r="J97" s="80">
        <f t="shared" si="25"/>
        <v>2.091897726860923E-2</v>
      </c>
      <c r="K97" s="178">
        <v>22634.668108271486</v>
      </c>
      <c r="L97" s="80">
        <f t="shared" si="26"/>
        <v>2.091897726860923E-2</v>
      </c>
      <c r="M97" s="178">
        <v>23189.230666685526</v>
      </c>
      <c r="N97" s="80">
        <f t="shared" si="27"/>
        <v>2.1011278825174059E-2</v>
      </c>
      <c r="O97" s="178">
        <v>23757.431206174053</v>
      </c>
      <c r="P97" s="80">
        <f t="shared" si="28"/>
        <v>2.1104032840349493E-2</v>
      </c>
      <c r="Q97" s="178">
        <v>24339.60615460623</v>
      </c>
      <c r="R97" s="80">
        <f t="shared" si="29"/>
        <v>2.1197241532069908E-2</v>
      </c>
      <c r="S97" s="178">
        <v>24826.398277698358</v>
      </c>
      <c r="T97" s="80">
        <f t="shared" si="30"/>
        <v>2.1197241532069908E-2</v>
      </c>
      <c r="U97" s="178">
        <v>25434.822265317063</v>
      </c>
      <c r="V97" s="80">
        <f t="shared" si="31"/>
        <v>2.1290907129141893E-2</v>
      </c>
      <c r="X97" s="192"/>
    </row>
    <row r="98" spans="1:24" ht="12.75" customHeight="1">
      <c r="A98" s="117" t="s">
        <v>444</v>
      </c>
      <c r="B98" s="35"/>
      <c r="C98" s="178">
        <v>1407.6745199999998</v>
      </c>
      <c r="D98" s="80">
        <f t="shared" si="22"/>
        <v>1.1999999999999997E-3</v>
      </c>
      <c r="E98" s="178">
        <v>1391.9999999999998</v>
      </c>
      <c r="F98" s="80">
        <f t="shared" si="23"/>
        <v>1.1999999999999999E-3</v>
      </c>
      <c r="G98" s="178">
        <v>1248</v>
      </c>
      <c r="H98" s="80">
        <f t="shared" si="24"/>
        <v>1.1999999999999999E-3</v>
      </c>
      <c r="I98" s="178">
        <v>1272.9599999999996</v>
      </c>
      <c r="J98" s="80">
        <f t="shared" si="25"/>
        <v>1.1999999999999997E-3</v>
      </c>
      <c r="K98" s="178">
        <v>1298.4191999999998</v>
      </c>
      <c r="L98" s="80">
        <f t="shared" si="26"/>
        <v>1.1999999999999999E-3</v>
      </c>
      <c r="M98" s="178">
        <v>1324.3875840000001</v>
      </c>
      <c r="N98" s="80">
        <f t="shared" si="27"/>
        <v>1.1999999999999999E-3</v>
      </c>
      <c r="O98" s="178">
        <v>1350.87533568</v>
      </c>
      <c r="P98" s="80">
        <f t="shared" si="28"/>
        <v>1.2000000000000001E-3</v>
      </c>
      <c r="Q98" s="178">
        <v>1377.8928423935999</v>
      </c>
      <c r="R98" s="80">
        <f t="shared" si="29"/>
        <v>1.1999999999999999E-3</v>
      </c>
      <c r="S98" s="178">
        <v>1405.450699241472</v>
      </c>
      <c r="T98" s="80">
        <f t="shared" si="30"/>
        <v>1.1999999999999997E-3</v>
      </c>
      <c r="U98" s="178">
        <v>1433.5597132263017</v>
      </c>
      <c r="V98" s="80">
        <f t="shared" si="31"/>
        <v>1.2000000000000001E-3</v>
      </c>
      <c r="X98" s="192"/>
    </row>
    <row r="99" spans="1:24" ht="12.75" customHeight="1">
      <c r="A99" s="117" t="s">
        <v>444</v>
      </c>
      <c r="B99" s="35"/>
      <c r="C99" s="178">
        <v>0</v>
      </c>
      <c r="D99" s="80">
        <f t="shared" si="22"/>
        <v>0</v>
      </c>
      <c r="E99" s="178">
        <v>0</v>
      </c>
      <c r="F99" s="80">
        <f t="shared" si="23"/>
        <v>0</v>
      </c>
      <c r="G99" s="178">
        <v>0</v>
      </c>
      <c r="H99" s="80">
        <f t="shared" si="24"/>
        <v>0</v>
      </c>
      <c r="I99" s="178">
        <v>0</v>
      </c>
      <c r="J99" s="80">
        <f t="shared" si="25"/>
        <v>0</v>
      </c>
      <c r="K99" s="178">
        <v>0</v>
      </c>
      <c r="L99" s="80">
        <f t="shared" si="26"/>
        <v>0</v>
      </c>
      <c r="M99" s="178">
        <v>0</v>
      </c>
      <c r="N99" s="80">
        <f t="shared" si="27"/>
        <v>0</v>
      </c>
      <c r="O99" s="178">
        <v>0</v>
      </c>
      <c r="P99" s="80">
        <f t="shared" si="28"/>
        <v>0</v>
      </c>
      <c r="Q99" s="178">
        <v>0</v>
      </c>
      <c r="R99" s="80">
        <f t="shared" si="29"/>
        <v>0</v>
      </c>
      <c r="S99" s="178">
        <v>0</v>
      </c>
      <c r="T99" s="80">
        <f t="shared" si="30"/>
        <v>0</v>
      </c>
      <c r="U99" s="178">
        <v>0</v>
      </c>
      <c r="V99" s="80">
        <f t="shared" si="31"/>
        <v>0</v>
      </c>
      <c r="X99" s="192"/>
    </row>
    <row r="100" spans="1:24" ht="12.75" customHeight="1">
      <c r="A100" s="117" t="s">
        <v>444</v>
      </c>
      <c r="B100" s="35"/>
      <c r="C100" s="178">
        <v>0</v>
      </c>
      <c r="D100" s="80">
        <f t="shared" si="22"/>
        <v>0</v>
      </c>
      <c r="E100" s="178">
        <v>0</v>
      </c>
      <c r="F100" s="80">
        <f t="shared" si="23"/>
        <v>0</v>
      </c>
      <c r="G100" s="178">
        <v>0</v>
      </c>
      <c r="H100" s="80">
        <f t="shared" si="24"/>
        <v>0</v>
      </c>
      <c r="I100" s="178">
        <v>0</v>
      </c>
      <c r="J100" s="80">
        <f t="shared" si="25"/>
        <v>0</v>
      </c>
      <c r="K100" s="178">
        <v>0</v>
      </c>
      <c r="L100" s="80">
        <f t="shared" si="26"/>
        <v>0</v>
      </c>
      <c r="M100" s="178">
        <v>0</v>
      </c>
      <c r="N100" s="80">
        <f t="shared" si="27"/>
        <v>0</v>
      </c>
      <c r="O100" s="178">
        <v>0</v>
      </c>
      <c r="P100" s="80">
        <f t="shared" si="28"/>
        <v>0</v>
      </c>
      <c r="Q100" s="178">
        <v>0</v>
      </c>
      <c r="R100" s="80">
        <f t="shared" si="29"/>
        <v>0</v>
      </c>
      <c r="S100" s="178">
        <v>0</v>
      </c>
      <c r="T100" s="80">
        <f t="shared" si="30"/>
        <v>0</v>
      </c>
      <c r="U100" s="178">
        <v>0</v>
      </c>
      <c r="V100" s="80">
        <f t="shared" si="31"/>
        <v>0</v>
      </c>
      <c r="X100" s="192"/>
    </row>
    <row r="101" spans="1:24" ht="12.75" customHeight="1">
      <c r="A101" s="2" t="s">
        <v>445</v>
      </c>
      <c r="B101" s="35"/>
      <c r="C101" s="178"/>
      <c r="D101" s="80">
        <f t="shared" si="22"/>
        <v>0</v>
      </c>
      <c r="E101" s="178"/>
      <c r="F101" s="80">
        <f t="shared" si="23"/>
        <v>0</v>
      </c>
      <c r="G101" s="178"/>
      <c r="H101" s="80">
        <f t="shared" si="24"/>
        <v>0</v>
      </c>
      <c r="I101" s="178">
        <v>0</v>
      </c>
      <c r="J101" s="80">
        <f t="shared" si="25"/>
        <v>0</v>
      </c>
      <c r="K101" s="178">
        <v>0</v>
      </c>
      <c r="L101" s="80">
        <f t="shared" si="26"/>
        <v>0</v>
      </c>
      <c r="M101" s="178">
        <v>0</v>
      </c>
      <c r="N101" s="80">
        <f t="shared" si="27"/>
        <v>0</v>
      </c>
      <c r="O101" s="178">
        <v>0</v>
      </c>
      <c r="P101" s="80">
        <f t="shared" si="28"/>
        <v>0</v>
      </c>
      <c r="Q101" s="178">
        <v>0</v>
      </c>
      <c r="R101" s="80">
        <f t="shared" si="29"/>
        <v>0</v>
      </c>
      <c r="S101" s="178">
        <v>0</v>
      </c>
      <c r="T101" s="80">
        <f t="shared" si="30"/>
        <v>0</v>
      </c>
      <c r="U101" s="178">
        <v>0</v>
      </c>
      <c r="V101" s="80">
        <f t="shared" si="31"/>
        <v>0</v>
      </c>
      <c r="X101" s="192"/>
    </row>
    <row r="102" spans="1:24" ht="12.75" customHeight="1">
      <c r="A102" s="117" t="s">
        <v>446</v>
      </c>
      <c r="B102" s="35"/>
      <c r="C102" s="178">
        <v>11730.621000000001</v>
      </c>
      <c r="D102" s="80">
        <f t="shared" si="22"/>
        <v>0.01</v>
      </c>
      <c r="E102" s="178">
        <v>11600</v>
      </c>
      <c r="F102" s="80">
        <f t="shared" si="23"/>
        <v>0.01</v>
      </c>
      <c r="G102" s="178">
        <v>10400</v>
      </c>
      <c r="H102" s="80">
        <f t="shared" si="24"/>
        <v>0.01</v>
      </c>
      <c r="I102" s="178">
        <v>10608</v>
      </c>
      <c r="J102" s="80">
        <f t="shared" si="25"/>
        <v>0.01</v>
      </c>
      <c r="K102" s="178">
        <v>10820.16</v>
      </c>
      <c r="L102" s="80">
        <f t="shared" si="26"/>
        <v>0.01</v>
      </c>
      <c r="M102" s="178">
        <v>11036.563200000001</v>
      </c>
      <c r="N102" s="80">
        <f t="shared" si="27"/>
        <v>0.01</v>
      </c>
      <c r="O102" s="178">
        <v>11257.294464000001</v>
      </c>
      <c r="P102" s="80">
        <f t="shared" si="28"/>
        <v>0.01</v>
      </c>
      <c r="Q102" s="178">
        <v>11482.440353280002</v>
      </c>
      <c r="R102" s="80">
        <f t="shared" si="29"/>
        <v>1.0000000000000002E-2</v>
      </c>
      <c r="S102" s="178">
        <v>11712.089160345602</v>
      </c>
      <c r="T102" s="80">
        <f t="shared" si="30"/>
        <v>0.01</v>
      </c>
      <c r="U102" s="178">
        <v>11946.330943552513</v>
      </c>
      <c r="V102" s="80">
        <f t="shared" si="31"/>
        <v>0.01</v>
      </c>
      <c r="X102" s="192"/>
    </row>
    <row r="103" spans="1:24" ht="12.75" customHeight="1">
      <c r="A103" s="117" t="s">
        <v>446</v>
      </c>
      <c r="B103" s="35"/>
      <c r="C103" s="178">
        <v>0</v>
      </c>
      <c r="D103" s="80">
        <f t="shared" si="22"/>
        <v>0</v>
      </c>
      <c r="E103" s="178">
        <v>0</v>
      </c>
      <c r="F103" s="80">
        <f t="shared" si="23"/>
        <v>0</v>
      </c>
      <c r="G103" s="178">
        <v>0</v>
      </c>
      <c r="H103" s="80">
        <f t="shared" si="24"/>
        <v>0</v>
      </c>
      <c r="I103" s="178">
        <v>0</v>
      </c>
      <c r="J103" s="80">
        <f t="shared" si="25"/>
        <v>0</v>
      </c>
      <c r="K103" s="178">
        <v>0</v>
      </c>
      <c r="L103" s="80">
        <f t="shared" si="26"/>
        <v>0</v>
      </c>
      <c r="M103" s="178">
        <v>0</v>
      </c>
      <c r="N103" s="80">
        <f t="shared" si="27"/>
        <v>0</v>
      </c>
      <c r="O103" s="178">
        <v>0</v>
      </c>
      <c r="P103" s="80">
        <f t="shared" si="28"/>
        <v>0</v>
      </c>
      <c r="Q103" s="178">
        <v>0</v>
      </c>
      <c r="R103" s="80">
        <f t="shared" si="29"/>
        <v>0</v>
      </c>
      <c r="S103" s="178">
        <v>0</v>
      </c>
      <c r="T103" s="80">
        <f t="shared" si="30"/>
        <v>0</v>
      </c>
      <c r="U103" s="178">
        <v>0</v>
      </c>
      <c r="V103" s="80">
        <f t="shared" si="31"/>
        <v>0</v>
      </c>
      <c r="X103" s="192"/>
    </row>
    <row r="104" spans="1:24" ht="12.75" customHeight="1">
      <c r="A104" s="117" t="s">
        <v>446</v>
      </c>
      <c r="B104" s="1"/>
      <c r="C104" s="178">
        <v>0</v>
      </c>
      <c r="D104" s="80">
        <f t="shared" si="22"/>
        <v>0</v>
      </c>
      <c r="E104" s="178">
        <v>0</v>
      </c>
      <c r="F104" s="80">
        <f t="shared" si="23"/>
        <v>0</v>
      </c>
      <c r="G104" s="178">
        <v>0</v>
      </c>
      <c r="H104" s="80">
        <f t="shared" si="24"/>
        <v>0</v>
      </c>
      <c r="I104" s="178">
        <v>0</v>
      </c>
      <c r="J104" s="80">
        <f t="shared" si="25"/>
        <v>0</v>
      </c>
      <c r="K104" s="178">
        <v>0</v>
      </c>
      <c r="L104" s="80">
        <f t="shared" si="26"/>
        <v>0</v>
      </c>
      <c r="M104" s="178">
        <v>0</v>
      </c>
      <c r="N104" s="80">
        <f t="shared" si="27"/>
        <v>0</v>
      </c>
      <c r="O104" s="178">
        <v>0</v>
      </c>
      <c r="P104" s="80">
        <f t="shared" si="28"/>
        <v>0</v>
      </c>
      <c r="Q104" s="178">
        <v>0</v>
      </c>
      <c r="R104" s="80">
        <f t="shared" si="29"/>
        <v>0</v>
      </c>
      <c r="S104" s="178">
        <v>0</v>
      </c>
      <c r="T104" s="80">
        <f t="shared" si="30"/>
        <v>0</v>
      </c>
      <c r="U104" s="178">
        <v>0</v>
      </c>
      <c r="V104" s="80">
        <f t="shared" si="31"/>
        <v>0</v>
      </c>
      <c r="X104" s="192"/>
    </row>
    <row r="105" spans="1:24" ht="12.75" customHeight="1">
      <c r="A105" s="1" t="s">
        <v>447</v>
      </c>
      <c r="B105" s="53"/>
      <c r="C105" s="82">
        <f>SUM(C52:C104)</f>
        <v>220977.0215662969</v>
      </c>
      <c r="D105" s="83">
        <f t="shared" ref="D105" si="32">IFERROR(C105/C$28,0)</f>
        <v>0.18837623478441326</v>
      </c>
      <c r="E105" s="82">
        <f>SUM(E52:E104)</f>
        <v>220853.82192432656</v>
      </c>
      <c r="F105" s="83">
        <f t="shared" ref="F105" si="33">IFERROR(E105/E$28,0)</f>
        <v>0.19039122579683324</v>
      </c>
      <c r="G105" s="82">
        <f>SUM(G52:G104)</f>
        <v>200641.63147721664</v>
      </c>
      <c r="H105" s="83">
        <f t="shared" ref="H105" si="34">IFERROR(G105/G$28,0)</f>
        <v>0.19292464565116985</v>
      </c>
      <c r="I105" s="82">
        <f>SUM(I52:I104)</f>
        <v>204919.99534947253</v>
      </c>
      <c r="J105" s="83">
        <f t="shared" ref="J105" si="35">IFERROR(I105/I$28,0)</f>
        <v>0.19317495790862796</v>
      </c>
      <c r="K105" s="82">
        <f>SUM(K52:K104)</f>
        <v>208977.55817249621</v>
      </c>
      <c r="L105" s="83">
        <f t="shared" ref="L105" si="36">IFERROR(K105/K$28,0)</f>
        <v>0.19313721624495037</v>
      </c>
      <c r="M105" s="82">
        <f>SUM(M52:M104)</f>
        <v>213281.69384960117</v>
      </c>
      <c r="N105" s="83">
        <f t="shared" ref="N105" si="37">IFERROR(M105/M$28,0)</f>
        <v>0.19325009967740786</v>
      </c>
      <c r="O105" s="82">
        <f>SUM(O52:O104)</f>
        <v>217680.12445563253</v>
      </c>
      <c r="P105" s="83">
        <f t="shared" ref="P105" si="38">IFERROR(O105/O$28,0)</f>
        <v>0.1933680647261716</v>
      </c>
      <c r="Q105" s="82">
        <f>SUM(Q52:Q104)</f>
        <v>222182.07620181568</v>
      </c>
      <c r="R105" s="83">
        <f t="shared" ref="R105" si="39">IFERROR(Q105/Q$28,0)</f>
        <v>0.19349726135381018</v>
      </c>
      <c r="S105" s="82">
        <f>SUM(S52:S104)</f>
        <v>226666.83770763149</v>
      </c>
      <c r="T105" s="83">
        <f t="shared" ref="T105" si="40">IFERROR(S105/S$28,0)</f>
        <v>0.19353237036059498</v>
      </c>
      <c r="U105" s="82">
        <f>SUM(U52:U104)</f>
        <v>231356.88945373092</v>
      </c>
      <c r="V105" s="83">
        <f t="shared" si="31"/>
        <v>0.19366355289076873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448</v>
      </c>
      <c r="B107" s="53"/>
      <c r="C107" s="82">
        <f>C28-C33-C46-C105</f>
        <v>80967.344933703105</v>
      </c>
      <c r="D107" s="83">
        <f>IFERROR(C107/C$28,0)</f>
        <v>6.9022215391412872E-2</v>
      </c>
      <c r="E107" s="82">
        <f>E28-E33-E46-E105</f>
        <v>21766.119739673362</v>
      </c>
      <c r="F107" s="83">
        <f>IFERROR(E107/E$28,0)</f>
        <v>1.8763896327304623E-2</v>
      </c>
      <c r="G107" s="82">
        <f>G28-G33-G46-G105</f>
        <v>-56195.343670496746</v>
      </c>
      <c r="H107" s="83">
        <f>IFERROR(G107/G$28,0)</f>
        <v>-5.4033984298554563E-2</v>
      </c>
      <c r="I107" s="82">
        <f>I28-I33-I46-I105</f>
        <v>-63683.270912150299</v>
      </c>
      <c r="J107" s="83">
        <f>IFERROR(I107/I$28,0)</f>
        <v>-6.0033249351574565E-2</v>
      </c>
      <c r="K107" s="82">
        <f>K28-K33-K46-K105</f>
        <v>-64916.099246427591</v>
      </c>
      <c r="L107" s="83">
        <f>IFERROR(K107/K$28,0)</f>
        <v>-5.9995507687897028E-2</v>
      </c>
      <c r="M107" s="82">
        <f>M28-M33-M46-M105</f>
        <v>-69013.803075469536</v>
      </c>
      <c r="N107" s="83">
        <f>IFERROR(M107/M$28,0)</f>
        <v>-6.253196925966005E-2</v>
      </c>
      <c r="O107" s="82">
        <f>O28-O33-O46-O105</f>
        <v>-73268.543129737955</v>
      </c>
      <c r="P107" s="83">
        <f>IFERROR(O107/O$28,0)</f>
        <v>-6.5085392732725761E-2</v>
      </c>
      <c r="Q107" s="82">
        <f>Q28-Q33-Q46-Q105</f>
        <v>-77692.472194716043</v>
      </c>
      <c r="R107" s="83">
        <f>IFERROR(Q107/Q$28,0)</f>
        <v>-6.7661986306354213E-2</v>
      </c>
      <c r="S107" s="82">
        <f>S28-S33-S46-S105</f>
        <v>-79287.441620390018</v>
      </c>
      <c r="T107" s="83">
        <f>IFERROR(S107/S$28,0)</f>
        <v>-6.7697095313139152E-2</v>
      </c>
      <c r="U107" s="82">
        <f>U28-U33-U46-U105</f>
        <v>-83967.978897069028</v>
      </c>
      <c r="V107" s="83">
        <f>IFERROR(U107/U$28,0)</f>
        <v>-7.0287671833155527E-2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449</v>
      </c>
      <c r="B110" s="40"/>
      <c r="C110" s="86" t="str">
        <f>C50</f>
        <v>FY 2018-19</v>
      </c>
      <c r="D110" s="86" t="s">
        <v>366</v>
      </c>
      <c r="E110" s="86" t="str">
        <f>E50</f>
        <v>FY 2019-20</v>
      </c>
      <c r="F110" s="86" t="s">
        <v>366</v>
      </c>
      <c r="G110" s="86" t="str">
        <f>G50</f>
        <v>FY 2020-21</v>
      </c>
      <c r="H110" s="86" t="s">
        <v>366</v>
      </c>
      <c r="I110" s="86" t="str">
        <f>I50</f>
        <v>FY 2021-22</v>
      </c>
      <c r="J110" s="86" t="s">
        <v>366</v>
      </c>
      <c r="K110" s="86" t="str">
        <f>K50</f>
        <v>FY 2022-23</v>
      </c>
      <c r="L110" s="86" t="s">
        <v>366</v>
      </c>
      <c r="M110" s="86" t="str">
        <f>M50</f>
        <v>FY 2023-24</v>
      </c>
      <c r="N110" s="86" t="s">
        <v>366</v>
      </c>
      <c r="O110" s="86" t="str">
        <f>O50</f>
        <v>FY 2024-25</v>
      </c>
      <c r="P110" s="86" t="s">
        <v>366</v>
      </c>
      <c r="Q110" s="86" t="str">
        <f>Q50</f>
        <v>FY 2025-26</v>
      </c>
      <c r="R110" s="86" t="s">
        <v>366</v>
      </c>
      <c r="S110" s="86" t="str">
        <f>S50</f>
        <v>FY 2026-27</v>
      </c>
      <c r="T110" s="86" t="s">
        <v>366</v>
      </c>
      <c r="U110" s="86" t="str">
        <f>U50</f>
        <v>FY 2027-28</v>
      </c>
      <c r="V110" s="86" t="s">
        <v>366</v>
      </c>
    </row>
    <row r="111" spans="1:24" ht="12.75" customHeight="1">
      <c r="A111" s="2" t="s">
        <v>403</v>
      </c>
      <c r="B111" s="35"/>
      <c r="C111" s="79">
        <f>C59</f>
        <v>0</v>
      </c>
      <c r="D111" s="80">
        <f t="shared" ref="D111:D116" si="41">IFERROR(C111/C$28,0)</f>
        <v>0</v>
      </c>
      <c r="E111" s="79">
        <f>E59</f>
        <v>0</v>
      </c>
      <c r="F111" s="80">
        <f t="shared" ref="F111:F116" si="42">IFERROR(E111/E$28,0)</f>
        <v>0</v>
      </c>
      <c r="G111" s="79">
        <f>G59</f>
        <v>0</v>
      </c>
      <c r="H111" s="80">
        <f t="shared" ref="H111:H116" si="43">IFERROR(G111/G$28,0)</f>
        <v>0</v>
      </c>
      <c r="I111" s="79">
        <f>I59</f>
        <v>0</v>
      </c>
      <c r="J111" s="80">
        <f t="shared" ref="J111:J116" si="44">IFERROR(I111/I$28,0)</f>
        <v>0</v>
      </c>
      <c r="K111" s="79">
        <f>K59</f>
        <v>0</v>
      </c>
      <c r="L111" s="80">
        <f t="shared" ref="L111:L116" si="45">IFERROR(K111/K$28,0)</f>
        <v>0</v>
      </c>
      <c r="M111" s="79">
        <f>M59</f>
        <v>0</v>
      </c>
      <c r="N111" s="80">
        <f t="shared" ref="N111:N116" si="46">IFERROR(M111/M$28,0)</f>
        <v>0</v>
      </c>
      <c r="O111" s="79">
        <f>O59</f>
        <v>0</v>
      </c>
      <c r="P111" s="80">
        <f t="shared" ref="P111:P116" si="47">IFERROR(O111/O$28,0)</f>
        <v>0</v>
      </c>
      <c r="Q111" s="79">
        <f>Q59</f>
        <v>0</v>
      </c>
      <c r="R111" s="80">
        <f t="shared" ref="R111:R116" si="48">IFERROR(Q111/Q$28,0)</f>
        <v>0</v>
      </c>
      <c r="S111" s="79">
        <f>S59</f>
        <v>0</v>
      </c>
      <c r="T111" s="80">
        <f t="shared" ref="T111:T116" si="49">IFERROR(S111/S$28,0)</f>
        <v>0</v>
      </c>
      <c r="U111" s="79">
        <f>U59</f>
        <v>0</v>
      </c>
      <c r="V111" s="80">
        <f t="shared" ref="V111:V116" si="50">IFERROR(U111/U$28,0)</f>
        <v>0</v>
      </c>
    </row>
    <row r="112" spans="1:24" ht="12.75" customHeight="1">
      <c r="A112" s="2" t="s">
        <v>450</v>
      </c>
      <c r="B112" s="35"/>
      <c r="C112" s="79">
        <f>C62</f>
        <v>0</v>
      </c>
      <c r="D112" s="80">
        <f t="shared" si="41"/>
        <v>0</v>
      </c>
      <c r="E112" s="79">
        <f>E62</f>
        <v>0</v>
      </c>
      <c r="F112" s="80">
        <f t="shared" si="42"/>
        <v>0</v>
      </c>
      <c r="G112" s="79">
        <f>G62</f>
        <v>0</v>
      </c>
      <c r="H112" s="80">
        <f t="shared" si="43"/>
        <v>0</v>
      </c>
      <c r="I112" s="79">
        <f>I62</f>
        <v>0</v>
      </c>
      <c r="J112" s="80">
        <f t="shared" si="44"/>
        <v>0</v>
      </c>
      <c r="K112" s="79">
        <f>K62</f>
        <v>0</v>
      </c>
      <c r="L112" s="80">
        <f t="shared" si="45"/>
        <v>0</v>
      </c>
      <c r="M112" s="79">
        <f>M62</f>
        <v>0</v>
      </c>
      <c r="N112" s="80">
        <f t="shared" si="46"/>
        <v>0</v>
      </c>
      <c r="O112" s="79">
        <f>O62</f>
        <v>0</v>
      </c>
      <c r="P112" s="80">
        <f t="shared" si="47"/>
        <v>0</v>
      </c>
      <c r="Q112" s="79">
        <f>Q62</f>
        <v>0</v>
      </c>
      <c r="R112" s="80">
        <f t="shared" si="48"/>
        <v>0</v>
      </c>
      <c r="S112" s="79">
        <f>S62</f>
        <v>0</v>
      </c>
      <c r="T112" s="80">
        <f t="shared" si="49"/>
        <v>0</v>
      </c>
      <c r="U112" s="79">
        <f>U62</f>
        <v>0</v>
      </c>
      <c r="V112" s="80">
        <f t="shared" si="50"/>
        <v>0</v>
      </c>
    </row>
    <row r="113" spans="1:22" ht="12.75" customHeight="1">
      <c r="A113" s="117" t="s">
        <v>446</v>
      </c>
      <c r="B113" s="41"/>
      <c r="C113" s="111">
        <v>0</v>
      </c>
      <c r="D113" s="80">
        <f t="shared" si="41"/>
        <v>0</v>
      </c>
      <c r="E113" s="111">
        <v>0</v>
      </c>
      <c r="F113" s="80">
        <f t="shared" si="42"/>
        <v>0</v>
      </c>
      <c r="G113" s="111">
        <v>0</v>
      </c>
      <c r="H113" s="80">
        <f t="shared" si="43"/>
        <v>0</v>
      </c>
      <c r="I113" s="111">
        <v>0</v>
      </c>
      <c r="J113" s="80">
        <f t="shared" si="44"/>
        <v>0</v>
      </c>
      <c r="K113" s="111">
        <v>0</v>
      </c>
      <c r="L113" s="80">
        <f t="shared" si="45"/>
        <v>0</v>
      </c>
      <c r="M113" s="111">
        <v>0</v>
      </c>
      <c r="N113" s="80">
        <f t="shared" si="46"/>
        <v>0</v>
      </c>
      <c r="O113" s="111">
        <v>0</v>
      </c>
      <c r="P113" s="80">
        <f t="shared" si="47"/>
        <v>0</v>
      </c>
      <c r="Q113" s="111">
        <v>0</v>
      </c>
      <c r="R113" s="80">
        <f t="shared" si="48"/>
        <v>0</v>
      </c>
      <c r="S113" s="111">
        <v>0</v>
      </c>
      <c r="T113" s="80">
        <f t="shared" si="49"/>
        <v>0</v>
      </c>
      <c r="U113" s="111">
        <v>0</v>
      </c>
      <c r="V113" s="80">
        <f t="shared" si="50"/>
        <v>0</v>
      </c>
    </row>
    <row r="114" spans="1:22" ht="12.75" customHeight="1">
      <c r="A114" s="117" t="s">
        <v>446</v>
      </c>
      <c r="B114" s="41"/>
      <c r="C114" s="111">
        <v>0</v>
      </c>
      <c r="D114" s="80">
        <f t="shared" si="41"/>
        <v>0</v>
      </c>
      <c r="E114" s="111">
        <v>0</v>
      </c>
      <c r="F114" s="80">
        <f t="shared" si="42"/>
        <v>0</v>
      </c>
      <c r="G114" s="111">
        <v>0</v>
      </c>
      <c r="H114" s="80">
        <f t="shared" si="43"/>
        <v>0</v>
      </c>
      <c r="I114" s="111">
        <v>0</v>
      </c>
      <c r="J114" s="80">
        <f t="shared" si="44"/>
        <v>0</v>
      </c>
      <c r="K114" s="111">
        <v>0</v>
      </c>
      <c r="L114" s="80">
        <f t="shared" si="45"/>
        <v>0</v>
      </c>
      <c r="M114" s="111">
        <v>0</v>
      </c>
      <c r="N114" s="80">
        <f t="shared" si="46"/>
        <v>0</v>
      </c>
      <c r="O114" s="111">
        <v>0</v>
      </c>
      <c r="P114" s="80">
        <f t="shared" si="47"/>
        <v>0</v>
      </c>
      <c r="Q114" s="111">
        <v>0</v>
      </c>
      <c r="R114" s="80">
        <f t="shared" si="48"/>
        <v>0</v>
      </c>
      <c r="S114" s="111">
        <v>0</v>
      </c>
      <c r="T114" s="80">
        <f t="shared" si="49"/>
        <v>0</v>
      </c>
      <c r="U114" s="111">
        <v>0</v>
      </c>
      <c r="V114" s="80">
        <f t="shared" si="50"/>
        <v>0</v>
      </c>
    </row>
    <row r="115" spans="1:22" ht="12.75" customHeight="1">
      <c r="A115" s="117" t="s">
        <v>446</v>
      </c>
      <c r="B115" s="41"/>
      <c r="C115" s="112">
        <v>0</v>
      </c>
      <c r="D115" s="80">
        <f t="shared" si="41"/>
        <v>0</v>
      </c>
      <c r="E115" s="112">
        <v>0</v>
      </c>
      <c r="F115" s="80">
        <f t="shared" si="42"/>
        <v>0</v>
      </c>
      <c r="G115" s="112">
        <v>0</v>
      </c>
      <c r="H115" s="80">
        <f t="shared" si="43"/>
        <v>0</v>
      </c>
      <c r="I115" s="112">
        <v>0</v>
      </c>
      <c r="J115" s="80">
        <f t="shared" si="44"/>
        <v>0</v>
      </c>
      <c r="K115" s="112">
        <v>0</v>
      </c>
      <c r="L115" s="80">
        <f t="shared" si="45"/>
        <v>0</v>
      </c>
      <c r="M115" s="112">
        <v>0</v>
      </c>
      <c r="N115" s="80">
        <f t="shared" si="46"/>
        <v>0</v>
      </c>
      <c r="O115" s="112">
        <v>0</v>
      </c>
      <c r="P115" s="80">
        <f t="shared" si="47"/>
        <v>0</v>
      </c>
      <c r="Q115" s="112">
        <v>0</v>
      </c>
      <c r="R115" s="80">
        <f t="shared" si="48"/>
        <v>0</v>
      </c>
      <c r="S115" s="112">
        <v>0</v>
      </c>
      <c r="T115" s="80">
        <f t="shared" si="49"/>
        <v>0</v>
      </c>
      <c r="U115" s="112">
        <v>0</v>
      </c>
      <c r="V115" s="80">
        <f t="shared" si="50"/>
        <v>0</v>
      </c>
    </row>
    <row r="116" spans="1:22" ht="12.75" customHeight="1">
      <c r="A116" s="40" t="s">
        <v>451</v>
      </c>
      <c r="B116" s="42"/>
      <c r="C116" s="85">
        <f>SUM(C111:C115)</f>
        <v>0</v>
      </c>
      <c r="D116" s="83">
        <f t="shared" si="41"/>
        <v>0</v>
      </c>
      <c r="E116" s="85">
        <f>SUM(E111:E115)</f>
        <v>0</v>
      </c>
      <c r="F116" s="83">
        <f t="shared" si="42"/>
        <v>0</v>
      </c>
      <c r="G116" s="85">
        <f>SUM(G111:G115)</f>
        <v>0</v>
      </c>
      <c r="H116" s="83">
        <f t="shared" si="43"/>
        <v>0</v>
      </c>
      <c r="I116" s="85">
        <f>SUM(I111:I115)</f>
        <v>0</v>
      </c>
      <c r="J116" s="83">
        <f t="shared" si="44"/>
        <v>0</v>
      </c>
      <c r="K116" s="85">
        <f>SUM(K111:K115)</f>
        <v>0</v>
      </c>
      <c r="L116" s="83">
        <f t="shared" si="45"/>
        <v>0</v>
      </c>
      <c r="M116" s="85">
        <f>SUM(M111:M115)</f>
        <v>0</v>
      </c>
      <c r="N116" s="83">
        <f t="shared" si="46"/>
        <v>0</v>
      </c>
      <c r="O116" s="85">
        <f>SUM(O111:O115)</f>
        <v>0</v>
      </c>
      <c r="P116" s="83">
        <f t="shared" si="47"/>
        <v>0</v>
      </c>
      <c r="Q116" s="85">
        <f>SUM(Q111:Q115)</f>
        <v>0</v>
      </c>
      <c r="R116" s="83">
        <f t="shared" si="48"/>
        <v>0</v>
      </c>
      <c r="S116" s="85">
        <f>SUM(S111:S115)</f>
        <v>0</v>
      </c>
      <c r="T116" s="83">
        <f t="shared" si="49"/>
        <v>0</v>
      </c>
      <c r="U116" s="85">
        <f>SUM(U111:U115)</f>
        <v>0</v>
      </c>
      <c r="V116" s="83">
        <f t="shared" si="50"/>
        <v>0</v>
      </c>
    </row>
    <row r="118" spans="1:22" ht="12.75" customHeight="1">
      <c r="A118" s="43" t="s">
        <v>452</v>
      </c>
      <c r="B118" s="43"/>
    </row>
    <row r="119" spans="1:22" ht="12.75" customHeight="1">
      <c r="A119" s="47" t="s">
        <v>453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7" tint="0.59999389629810485"/>
  </sheetPr>
  <dimension ref="A1:X119"/>
  <sheetViews>
    <sheetView topLeftCell="A9" zoomScale="70" zoomScaleNormal="70" workbookViewId="0" xr3:uid="{731C365F-4EDE-5636-9D2D-917179ED8537}">
      <selection activeCell="W59" sqref="W59"/>
    </sheetView>
  </sheetViews>
  <sheetFormatPr defaultColWidth="9.140625" defaultRowHeight="12.75" customHeight="1"/>
  <cols>
    <col min="1" max="1" width="9.5703125" style="2" customWidth="1"/>
    <col min="2" max="2" width="43.140625" style="2" customWidth="1"/>
    <col min="3" max="3" width="12.7109375" style="2" customWidth="1"/>
    <col min="4" max="4" width="8.7109375" style="2" customWidth="1"/>
    <col min="5" max="5" width="12.7109375" style="2" customWidth="1"/>
    <col min="6" max="6" width="8.7109375" style="2" customWidth="1"/>
    <col min="7" max="7" width="12.710937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355</v>
      </c>
      <c r="G2" s="33" t="s">
        <v>42</v>
      </c>
      <c r="H2" s="34"/>
      <c r="I2" s="34"/>
      <c r="V2" s="32"/>
    </row>
    <row r="3" spans="1:22" ht="12.75" customHeight="1">
      <c r="A3" s="1" t="s">
        <v>357</v>
      </c>
      <c r="D3" s="118" t="s">
        <v>358</v>
      </c>
      <c r="G3" s="115" t="str">
        <f>+G2</f>
        <v>Einstein Bros. Bagels (Graham Center)</v>
      </c>
      <c r="H3" s="116"/>
      <c r="I3" s="116"/>
      <c r="V3" s="32"/>
    </row>
    <row r="4" spans="1:22" ht="12.75" customHeight="1">
      <c r="A4" s="1" t="s">
        <v>359</v>
      </c>
      <c r="B4" s="109" t="s">
        <v>221</v>
      </c>
      <c r="D4" s="118" t="s">
        <v>360</v>
      </c>
      <c r="G4" s="115" t="s">
        <v>65</v>
      </c>
      <c r="H4" s="116"/>
      <c r="I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361</v>
      </c>
      <c r="B7" s="1"/>
    </row>
    <row r="8" spans="1:22" ht="12.75" customHeight="1">
      <c r="A8" s="2" t="s">
        <v>362</v>
      </c>
      <c r="C8" s="109">
        <v>228</v>
      </c>
      <c r="E8" s="109">
        <f>+C8</f>
        <v>228</v>
      </c>
      <c r="G8" s="109">
        <f>+E8</f>
        <v>228</v>
      </c>
      <c r="I8" s="109">
        <f>+G8</f>
        <v>228</v>
      </c>
      <c r="K8" s="109">
        <f>+I8</f>
        <v>228</v>
      </c>
      <c r="M8" s="109">
        <f>+K8</f>
        <v>228</v>
      </c>
      <c r="O8" s="109">
        <f>+M8</f>
        <v>228</v>
      </c>
      <c r="Q8" s="109">
        <f>+O8</f>
        <v>228</v>
      </c>
      <c r="S8" s="109">
        <f>+Q8</f>
        <v>228</v>
      </c>
      <c r="U8" s="109">
        <f>+S8</f>
        <v>228</v>
      </c>
    </row>
    <row r="10" spans="1:22" ht="12.75" customHeight="1">
      <c r="A10" s="2" t="s">
        <v>462</v>
      </c>
      <c r="C10" s="109">
        <v>400</v>
      </c>
      <c r="E10" s="109"/>
      <c r="G10" s="109"/>
      <c r="I10" s="109"/>
      <c r="K10" s="109"/>
      <c r="M10" s="109"/>
      <c r="O10" s="109"/>
      <c r="Q10" s="109"/>
      <c r="S10" s="109"/>
      <c r="U10" s="109"/>
    </row>
    <row r="12" spans="1:22" ht="12.75" customHeight="1">
      <c r="A12" s="2" t="s">
        <v>463</v>
      </c>
      <c r="C12" s="110">
        <v>5.12</v>
      </c>
      <c r="E12" s="110"/>
      <c r="G12" s="110"/>
      <c r="I12" s="110"/>
      <c r="K12" s="110"/>
      <c r="M12" s="110"/>
      <c r="O12" s="110"/>
      <c r="Q12" s="110"/>
      <c r="S12" s="110"/>
      <c r="U12" s="110"/>
    </row>
    <row r="14" spans="1:22" ht="12.75" customHeight="1">
      <c r="A14" s="2" t="s">
        <v>464</v>
      </c>
      <c r="C14" s="198">
        <f>C12*C10*C8</f>
        <v>466944</v>
      </c>
      <c r="E14" s="121">
        <f>E12*E10*E8</f>
        <v>0</v>
      </c>
      <c r="G14" s="121">
        <f>G12*G10*G8</f>
        <v>0</v>
      </c>
      <c r="I14" s="121">
        <f>I12*I10*I8</f>
        <v>0</v>
      </c>
      <c r="K14" s="121">
        <f>K12*K10*K8</f>
        <v>0</v>
      </c>
      <c r="M14" s="121">
        <f>M12*M10*M8</f>
        <v>0</v>
      </c>
      <c r="O14" s="121">
        <f>O12*O10*O8</f>
        <v>0</v>
      </c>
      <c r="Q14" s="121">
        <f>Q12*Q10*Q8</f>
        <v>0</v>
      </c>
      <c r="S14" s="121">
        <f>S12*S10*S8</f>
        <v>0</v>
      </c>
      <c r="U14" s="121">
        <f>U12*U10*U8</f>
        <v>0</v>
      </c>
    </row>
    <row r="15" spans="1:22" ht="12.75" customHeight="1">
      <c r="A15" s="39">
        <v>0.05</v>
      </c>
    </row>
    <row r="16" spans="1:22" ht="12.75" customHeight="1">
      <c r="B16" s="35"/>
      <c r="C16" s="86" t="str">
        <f>C6</f>
        <v>FY 2018-19</v>
      </c>
      <c r="D16" s="86" t="s">
        <v>366</v>
      </c>
      <c r="E16" s="86" t="str">
        <f>E6</f>
        <v>FY 2019-20</v>
      </c>
      <c r="F16" s="86" t="s">
        <v>366</v>
      </c>
      <c r="G16" s="86" t="str">
        <f>G6</f>
        <v>FY 2020-21</v>
      </c>
      <c r="H16" s="86" t="s">
        <v>366</v>
      </c>
      <c r="I16" s="86" t="str">
        <f>I6</f>
        <v>FY 2021-22</v>
      </c>
      <c r="J16" s="86" t="s">
        <v>366</v>
      </c>
      <c r="K16" s="86" t="str">
        <f>K6</f>
        <v>FY 2022-23</v>
      </c>
      <c r="L16" s="86" t="s">
        <v>366</v>
      </c>
      <c r="M16" s="86" t="str">
        <f>M6</f>
        <v>FY 2023-24</v>
      </c>
      <c r="N16" s="86" t="s">
        <v>366</v>
      </c>
      <c r="O16" s="86" t="str">
        <f>O6</f>
        <v>FY 2024-25</v>
      </c>
      <c r="P16" s="86" t="s">
        <v>366</v>
      </c>
      <c r="Q16" s="86" t="str">
        <f>Q6</f>
        <v>FY 2025-26</v>
      </c>
      <c r="R16" s="86" t="s">
        <v>366</v>
      </c>
      <c r="S16" s="86" t="str">
        <f>S6</f>
        <v>FY 2026-27</v>
      </c>
      <c r="T16" s="86" t="s">
        <v>366</v>
      </c>
      <c r="U16" s="86" t="str">
        <f>U6</f>
        <v>FY 2027-28</v>
      </c>
      <c r="V16" s="86" t="s">
        <v>366</v>
      </c>
    </row>
    <row r="17" spans="1:24" ht="12.75" customHeight="1">
      <c r="A17" s="1" t="s">
        <v>367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368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369</v>
      </c>
      <c r="B19" s="35"/>
      <c r="C19" s="196">
        <f>+C14-C20-C21</f>
        <v>400731.34079999995</v>
      </c>
      <c r="D19" s="80">
        <f>IFERROR(C19/C$28,0)</f>
        <v>0.85819999999999985</v>
      </c>
      <c r="E19" s="200">
        <f>+E14-E20</f>
        <v>0</v>
      </c>
      <c r="F19" s="80">
        <f>IFERROR(E19/E$28,0)</f>
        <v>0</v>
      </c>
      <c r="G19" s="111">
        <f>E19*1.02</f>
        <v>0</v>
      </c>
      <c r="H19" s="80">
        <f>IFERROR(G19/G$28,0)</f>
        <v>0</v>
      </c>
      <c r="I19" s="111">
        <f>G19*1.02</f>
        <v>0</v>
      </c>
      <c r="J19" s="80">
        <f>IFERROR(I19/I$28,0)</f>
        <v>0</v>
      </c>
      <c r="K19" s="111">
        <f>I19*1.02</f>
        <v>0</v>
      </c>
      <c r="L19" s="80">
        <f>IFERROR(K19/K$28,0)</f>
        <v>0</v>
      </c>
      <c r="M19" s="111">
        <f>K19*1.02</f>
        <v>0</v>
      </c>
      <c r="N19" s="80">
        <f>IFERROR(M19/M$28,0)</f>
        <v>0</v>
      </c>
      <c r="O19" s="111">
        <f>M19*1.02</f>
        <v>0</v>
      </c>
      <c r="P19" s="80">
        <f>IFERROR(O19/O$28,0)</f>
        <v>0</v>
      </c>
      <c r="Q19" s="111">
        <f>O19*1.02</f>
        <v>0</v>
      </c>
      <c r="R19" s="80">
        <f>IFERROR(Q19/Q$28,0)</f>
        <v>0</v>
      </c>
      <c r="S19" s="111">
        <f>Q19*1.02</f>
        <v>0</v>
      </c>
      <c r="T19" s="80">
        <f>IFERROR(S19/S$28,0)</f>
        <v>0</v>
      </c>
      <c r="U19" s="111">
        <f>S19*1.02</f>
        <v>0</v>
      </c>
      <c r="V19" s="80">
        <f>IFERROR(U19/U$28,0)</f>
        <v>0</v>
      </c>
    </row>
    <row r="20" spans="1:24" ht="12.75" customHeight="1">
      <c r="A20" s="2" t="s">
        <v>370</v>
      </c>
      <c r="B20" s="35"/>
      <c r="C20" s="111">
        <f>+C14*12.38%</f>
        <v>57807.667200000004</v>
      </c>
      <c r="D20" s="80">
        <f>IFERROR(C20/C$28,0)</f>
        <v>0.12380000000000001</v>
      </c>
      <c r="E20" s="111">
        <f>+E14*53.27%</f>
        <v>0</v>
      </c>
      <c r="F20" s="80">
        <f>IFERROR(E20/E$28,0)</f>
        <v>0</v>
      </c>
      <c r="G20" s="111">
        <f t="shared" ref="G20:U21" si="0">E20*1.02</f>
        <v>0</v>
      </c>
      <c r="H20" s="80">
        <f>IFERROR(G20/G$28,0)</f>
        <v>0</v>
      </c>
      <c r="I20" s="111">
        <f t="shared" si="0"/>
        <v>0</v>
      </c>
      <c r="J20" s="80">
        <f>IFERROR(I20/I$28,0)</f>
        <v>0</v>
      </c>
      <c r="K20" s="111">
        <f t="shared" si="0"/>
        <v>0</v>
      </c>
      <c r="L20" s="80">
        <f>IFERROR(K20/K$28,0)</f>
        <v>0</v>
      </c>
      <c r="M20" s="111">
        <f t="shared" si="0"/>
        <v>0</v>
      </c>
      <c r="N20" s="80">
        <f>IFERROR(M20/M$28,0)</f>
        <v>0</v>
      </c>
      <c r="O20" s="111">
        <f t="shared" si="0"/>
        <v>0</v>
      </c>
      <c r="P20" s="80">
        <f>IFERROR(O20/O$28,0)</f>
        <v>0</v>
      </c>
      <c r="Q20" s="111">
        <f t="shared" si="0"/>
        <v>0</v>
      </c>
      <c r="R20" s="80">
        <f>IFERROR(Q20/Q$28,0)</f>
        <v>0</v>
      </c>
      <c r="S20" s="111">
        <f t="shared" si="0"/>
        <v>0</v>
      </c>
      <c r="T20" s="80">
        <f>IFERROR(S20/S$28,0)</f>
        <v>0</v>
      </c>
      <c r="U20" s="111">
        <f t="shared" si="0"/>
        <v>0</v>
      </c>
      <c r="V20" s="80">
        <f>IFERROR(U20/U$28,0)</f>
        <v>0</v>
      </c>
    </row>
    <row r="21" spans="1:24" ht="12.75" customHeight="1">
      <c r="A21" s="186" t="s">
        <v>371</v>
      </c>
      <c r="B21" s="195"/>
      <c r="C21" s="111">
        <f>+C14*0.018</f>
        <v>8404.9920000000002</v>
      </c>
      <c r="D21" s="80">
        <f>IFERROR(C21/C$28,0)</f>
        <v>1.8000000000000002E-2</v>
      </c>
      <c r="E21" s="111">
        <v>0</v>
      </c>
      <c r="F21" s="80">
        <f>IFERROR(E21/E$28,0)</f>
        <v>0</v>
      </c>
      <c r="G21" s="111">
        <f t="shared" si="0"/>
        <v>0</v>
      </c>
      <c r="H21" s="80">
        <f>IFERROR(G21/G$28,0)</f>
        <v>0</v>
      </c>
      <c r="I21" s="111">
        <f t="shared" si="0"/>
        <v>0</v>
      </c>
      <c r="J21" s="80">
        <f>IFERROR(I21/I$28,0)</f>
        <v>0</v>
      </c>
      <c r="K21" s="111">
        <f t="shared" si="0"/>
        <v>0</v>
      </c>
      <c r="L21" s="80">
        <f>IFERROR(K21/K$28,0)</f>
        <v>0</v>
      </c>
      <c r="M21" s="111">
        <f t="shared" si="0"/>
        <v>0</v>
      </c>
      <c r="N21" s="80">
        <f>IFERROR(M21/M$28,0)</f>
        <v>0</v>
      </c>
      <c r="O21" s="111">
        <f t="shared" si="0"/>
        <v>0</v>
      </c>
      <c r="P21" s="80">
        <f>IFERROR(O21/O$28,0)</f>
        <v>0</v>
      </c>
      <c r="Q21" s="111">
        <f t="shared" si="0"/>
        <v>0</v>
      </c>
      <c r="R21" s="80">
        <f>IFERROR(Q21/Q$28,0)</f>
        <v>0</v>
      </c>
      <c r="S21" s="111">
        <f t="shared" si="0"/>
        <v>0</v>
      </c>
      <c r="T21" s="80">
        <f>IFERROR(S21/S$28,0)</f>
        <v>0</v>
      </c>
      <c r="U21" s="111">
        <f t="shared" si="0"/>
        <v>0</v>
      </c>
      <c r="V21" s="80">
        <f>IFERROR(U21/U$28,0)</f>
        <v>0</v>
      </c>
    </row>
    <row r="22" spans="1:24" ht="12.75" customHeight="1">
      <c r="A22" s="2" t="s">
        <v>372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373</v>
      </c>
      <c r="B23" s="123"/>
      <c r="C23" s="79"/>
      <c r="D23" s="80">
        <f t="shared" ref="D23:D28" si="1">IFERROR(C23/C$28,0)</f>
        <v>0</v>
      </c>
      <c r="E23" s="79"/>
      <c r="F23" s="80">
        <f t="shared" ref="F23:F28" si="2">IFERROR(E23/E$28,0)</f>
        <v>0</v>
      </c>
      <c r="G23" s="79"/>
      <c r="H23" s="80">
        <f t="shared" ref="H23:H28" si="3">IFERROR(G23/G$28,0)</f>
        <v>0</v>
      </c>
      <c r="I23" s="79"/>
      <c r="J23" s="80">
        <f t="shared" ref="J23:J28" si="4">IFERROR(I23/I$28,0)</f>
        <v>0</v>
      </c>
      <c r="K23" s="79"/>
      <c r="L23" s="80">
        <f t="shared" ref="L23:L28" si="5">IFERROR(K23/K$28,0)</f>
        <v>0</v>
      </c>
      <c r="M23" s="79"/>
      <c r="N23" s="80">
        <f t="shared" ref="N23:N28" si="6">IFERROR(M23/M$28,0)</f>
        <v>0</v>
      </c>
      <c r="O23" s="79"/>
      <c r="P23" s="80">
        <f t="shared" ref="P23:P28" si="7">IFERROR(O23/O$28,0)</f>
        <v>0</v>
      </c>
      <c r="Q23" s="79"/>
      <c r="R23" s="80">
        <f t="shared" ref="R23:R28" si="8">IFERROR(Q23/Q$28,0)</f>
        <v>0</v>
      </c>
      <c r="S23" s="79"/>
      <c r="T23" s="80">
        <f t="shared" ref="T23:T28" si="9">IFERROR(S23/S$28,0)</f>
        <v>0</v>
      </c>
      <c r="U23" s="79"/>
      <c r="V23" s="80">
        <f t="shared" ref="V23:V28" si="10">IFERROR(U23/U$28,0)</f>
        <v>0</v>
      </c>
    </row>
    <row r="24" spans="1:24" ht="12.75" customHeight="1">
      <c r="A24" s="122" t="s">
        <v>374</v>
      </c>
      <c r="B24" s="123"/>
      <c r="C24" s="79"/>
      <c r="D24" s="80">
        <f t="shared" si="1"/>
        <v>0</v>
      </c>
      <c r="E24" s="79"/>
      <c r="F24" s="80">
        <f t="shared" si="2"/>
        <v>0</v>
      </c>
      <c r="G24" s="79"/>
      <c r="H24" s="80">
        <f t="shared" si="3"/>
        <v>0</v>
      </c>
      <c r="I24" s="79"/>
      <c r="J24" s="80">
        <f t="shared" si="4"/>
        <v>0</v>
      </c>
      <c r="K24" s="79"/>
      <c r="L24" s="80">
        <f t="shared" si="5"/>
        <v>0</v>
      </c>
      <c r="M24" s="79"/>
      <c r="N24" s="80">
        <f t="shared" si="6"/>
        <v>0</v>
      </c>
      <c r="O24" s="79"/>
      <c r="P24" s="80">
        <f t="shared" si="7"/>
        <v>0</v>
      </c>
      <c r="Q24" s="79"/>
      <c r="R24" s="80">
        <f t="shared" si="8"/>
        <v>0</v>
      </c>
      <c r="S24" s="79"/>
      <c r="T24" s="80">
        <f t="shared" si="9"/>
        <v>0</v>
      </c>
      <c r="U24" s="79"/>
      <c r="V24" s="80">
        <f t="shared" si="10"/>
        <v>0</v>
      </c>
      <c r="X24" s="79"/>
    </row>
    <row r="25" spans="1:24" ht="12.75" customHeight="1">
      <c r="A25" s="2" t="s">
        <v>375</v>
      </c>
      <c r="B25" s="35"/>
      <c r="C25" s="111"/>
      <c r="D25" s="80">
        <f t="shared" si="1"/>
        <v>0</v>
      </c>
      <c r="E25" s="111"/>
      <c r="F25" s="80">
        <f t="shared" si="2"/>
        <v>0</v>
      </c>
      <c r="G25" s="111"/>
      <c r="H25" s="80">
        <f t="shared" si="3"/>
        <v>0</v>
      </c>
      <c r="I25" s="111"/>
      <c r="J25" s="80">
        <f t="shared" si="4"/>
        <v>0</v>
      </c>
      <c r="K25" s="111"/>
      <c r="L25" s="80">
        <f t="shared" si="5"/>
        <v>0</v>
      </c>
      <c r="M25" s="111"/>
      <c r="N25" s="80">
        <f t="shared" si="6"/>
        <v>0</v>
      </c>
      <c r="O25" s="111"/>
      <c r="P25" s="80">
        <f t="shared" si="7"/>
        <v>0</v>
      </c>
      <c r="Q25" s="111"/>
      <c r="R25" s="80">
        <f t="shared" si="8"/>
        <v>0</v>
      </c>
      <c r="S25" s="111"/>
      <c r="T25" s="80">
        <f t="shared" si="9"/>
        <v>0</v>
      </c>
      <c r="U25" s="111"/>
      <c r="V25" s="80">
        <f t="shared" si="10"/>
        <v>0</v>
      </c>
      <c r="X25" s="79"/>
    </row>
    <row r="26" spans="1:24" ht="12.75" customHeight="1">
      <c r="A26" s="122" t="s">
        <v>376</v>
      </c>
      <c r="B26" s="35"/>
      <c r="C26" s="79"/>
      <c r="D26" s="80">
        <f t="shared" si="1"/>
        <v>0</v>
      </c>
      <c r="E26" s="79"/>
      <c r="F26" s="80">
        <f t="shared" si="2"/>
        <v>0</v>
      </c>
      <c r="G26" s="79"/>
      <c r="H26" s="80">
        <f t="shared" si="3"/>
        <v>0</v>
      </c>
      <c r="I26" s="79"/>
      <c r="J26" s="80">
        <f t="shared" si="4"/>
        <v>0</v>
      </c>
      <c r="K26" s="79"/>
      <c r="L26" s="80">
        <f t="shared" si="5"/>
        <v>0</v>
      </c>
      <c r="M26" s="79"/>
      <c r="N26" s="80">
        <f t="shared" si="6"/>
        <v>0</v>
      </c>
      <c r="O26" s="79"/>
      <c r="P26" s="80">
        <f t="shared" si="7"/>
        <v>0</v>
      </c>
      <c r="Q26" s="79"/>
      <c r="R26" s="80">
        <f t="shared" si="8"/>
        <v>0</v>
      </c>
      <c r="S26" s="79"/>
      <c r="T26" s="80">
        <f t="shared" si="9"/>
        <v>0</v>
      </c>
      <c r="U26" s="79"/>
      <c r="V26" s="80">
        <f t="shared" si="10"/>
        <v>0</v>
      </c>
    </row>
    <row r="27" spans="1:24" ht="12.75" customHeight="1">
      <c r="A27" s="2" t="s">
        <v>377</v>
      </c>
      <c r="B27" s="35"/>
      <c r="C27" s="112"/>
      <c r="D27" s="80">
        <f t="shared" si="1"/>
        <v>0</v>
      </c>
      <c r="E27" s="112"/>
      <c r="F27" s="80">
        <f t="shared" si="2"/>
        <v>0</v>
      </c>
      <c r="G27" s="112"/>
      <c r="H27" s="80">
        <f t="shared" si="3"/>
        <v>0</v>
      </c>
      <c r="I27" s="112"/>
      <c r="J27" s="80">
        <f t="shared" si="4"/>
        <v>0</v>
      </c>
      <c r="K27" s="112"/>
      <c r="L27" s="80">
        <f t="shared" si="5"/>
        <v>0</v>
      </c>
      <c r="M27" s="112"/>
      <c r="N27" s="80">
        <f t="shared" si="6"/>
        <v>0</v>
      </c>
      <c r="O27" s="112"/>
      <c r="P27" s="80">
        <f t="shared" si="7"/>
        <v>0</v>
      </c>
      <c r="Q27" s="112"/>
      <c r="R27" s="80">
        <f t="shared" si="8"/>
        <v>0</v>
      </c>
      <c r="S27" s="112"/>
      <c r="T27" s="80">
        <f t="shared" si="9"/>
        <v>0</v>
      </c>
      <c r="U27" s="112"/>
      <c r="V27" s="80">
        <f t="shared" si="10"/>
        <v>0</v>
      </c>
    </row>
    <row r="28" spans="1:24" ht="12.75" customHeight="1">
      <c r="A28" s="1" t="s">
        <v>378</v>
      </c>
      <c r="B28" s="53"/>
      <c r="C28" s="82">
        <f>SUM(C19:C27)</f>
        <v>466944</v>
      </c>
      <c r="D28" s="83">
        <f t="shared" si="1"/>
        <v>1</v>
      </c>
      <c r="E28" s="82">
        <f>SUM(E19:E27)</f>
        <v>0</v>
      </c>
      <c r="F28" s="83">
        <f t="shared" si="2"/>
        <v>0</v>
      </c>
      <c r="G28" s="82">
        <f>SUM(G19:G27)</f>
        <v>0</v>
      </c>
      <c r="H28" s="83">
        <f t="shared" si="3"/>
        <v>0</v>
      </c>
      <c r="I28" s="82">
        <f>SUM(I19:I27)</f>
        <v>0</v>
      </c>
      <c r="J28" s="83">
        <f t="shared" si="4"/>
        <v>0</v>
      </c>
      <c r="K28" s="82">
        <f>SUM(K19:K27)</f>
        <v>0</v>
      </c>
      <c r="L28" s="83">
        <f t="shared" si="5"/>
        <v>0</v>
      </c>
      <c r="M28" s="82">
        <f>SUM(M19:M27)</f>
        <v>0</v>
      </c>
      <c r="N28" s="83">
        <f t="shared" si="6"/>
        <v>0</v>
      </c>
      <c r="O28" s="82">
        <f>SUM(O19:O27)</f>
        <v>0</v>
      </c>
      <c r="P28" s="83">
        <f t="shared" si="7"/>
        <v>0</v>
      </c>
      <c r="Q28" s="82">
        <f>SUM(Q19:Q27)</f>
        <v>0</v>
      </c>
      <c r="R28" s="83">
        <f t="shared" si="8"/>
        <v>0</v>
      </c>
      <c r="S28" s="82">
        <f>SUM(S19:S27)</f>
        <v>0</v>
      </c>
      <c r="T28" s="83">
        <f t="shared" si="9"/>
        <v>0</v>
      </c>
      <c r="U28" s="82">
        <f>SUM(U19:U27)</f>
        <v>0</v>
      </c>
      <c r="V28" s="83">
        <f t="shared" si="10"/>
        <v>0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379</v>
      </c>
      <c r="B30" s="53"/>
      <c r="C30" s="197">
        <v>0.313</v>
      </c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380</v>
      </c>
      <c r="B31" s="35"/>
      <c r="C31" s="178">
        <f>$C$30*C14</f>
        <v>146153.47200000001</v>
      </c>
      <c r="D31" s="80">
        <f>IFERROR(C31/C$28,0)</f>
        <v>0.313</v>
      </c>
      <c r="E31" s="178">
        <f>$C$30*E14</f>
        <v>0</v>
      </c>
      <c r="F31" s="80">
        <f>IFERROR(E31/E$28,0)</f>
        <v>0</v>
      </c>
      <c r="G31" s="178">
        <f>$C$30*G14</f>
        <v>0</v>
      </c>
      <c r="H31" s="80">
        <f>IFERROR(G31/G$28,0)</f>
        <v>0</v>
      </c>
      <c r="I31" s="178">
        <f>$C$30*I14</f>
        <v>0</v>
      </c>
      <c r="J31" s="80">
        <f>IFERROR(I31/I$28,0)</f>
        <v>0</v>
      </c>
      <c r="K31" s="178">
        <f>$C$30*K14</f>
        <v>0</v>
      </c>
      <c r="L31" s="80">
        <f>IFERROR(K31/K$28,0)</f>
        <v>0</v>
      </c>
      <c r="M31" s="178">
        <f>$C$30*M14</f>
        <v>0</v>
      </c>
      <c r="N31" s="80">
        <f>IFERROR(M31/M$28,0)</f>
        <v>0</v>
      </c>
      <c r="O31" s="178">
        <f>$C$30*O14</f>
        <v>0</v>
      </c>
      <c r="P31" s="80">
        <f>IFERROR(O31/O$28,0)</f>
        <v>0</v>
      </c>
      <c r="Q31" s="178">
        <f>$C$30*Q14</f>
        <v>0</v>
      </c>
      <c r="R31" s="80">
        <f>IFERROR(Q31/Q$28,0)</f>
        <v>0</v>
      </c>
      <c r="S31" s="178">
        <f>$C$30*S14</f>
        <v>0</v>
      </c>
      <c r="T31" s="80">
        <f>IFERROR(S31/S$28,0)</f>
        <v>0</v>
      </c>
      <c r="U31" s="178">
        <f>$C$30*U14</f>
        <v>0</v>
      </c>
      <c r="V31" s="80">
        <f>IFERROR(U31/U$28,0)</f>
        <v>0</v>
      </c>
    </row>
    <row r="32" spans="1:24" ht="12.75" customHeight="1">
      <c r="A32" s="8" t="s">
        <v>381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382</v>
      </c>
      <c r="B33" s="53"/>
      <c r="C33" s="82">
        <f>SUM(C31:C32)</f>
        <v>146153.47200000001</v>
      </c>
      <c r="D33" s="83">
        <f>IFERROR(C33/C$28,0)</f>
        <v>0.313</v>
      </c>
      <c r="E33" s="82">
        <f>SUM(E31:E32)</f>
        <v>0</v>
      </c>
      <c r="F33" s="83">
        <f>IFERROR(E33/E$28,0)</f>
        <v>0</v>
      </c>
      <c r="G33" s="82">
        <f>SUM(G31:G32)</f>
        <v>0</v>
      </c>
      <c r="H33" s="83">
        <f>IFERROR(G33/G$28,0)</f>
        <v>0</v>
      </c>
      <c r="I33" s="82">
        <f>SUM(I31:I32)</f>
        <v>0</v>
      </c>
      <c r="J33" s="83">
        <f>IFERROR(I33/I$28,0)</f>
        <v>0</v>
      </c>
      <c r="K33" s="82">
        <f>SUM(K31:K32)</f>
        <v>0</v>
      </c>
      <c r="L33" s="83">
        <f>IFERROR(K33/K$28,0)</f>
        <v>0</v>
      </c>
      <c r="M33" s="82">
        <f>SUM(M31:M32)</f>
        <v>0</v>
      </c>
      <c r="N33" s="83">
        <f>IFERROR(M33/M$28,0)</f>
        <v>0</v>
      </c>
      <c r="O33" s="82">
        <f>SUM(O31:O32)</f>
        <v>0</v>
      </c>
      <c r="P33" s="83">
        <f>IFERROR(O33/O$28,0)</f>
        <v>0</v>
      </c>
      <c r="Q33" s="82">
        <f>SUM(Q31:Q32)</f>
        <v>0</v>
      </c>
      <c r="R33" s="83">
        <f>IFERROR(Q33/Q$28,0)</f>
        <v>0</v>
      </c>
      <c r="S33" s="82">
        <f>SUM(S31:S32)</f>
        <v>0</v>
      </c>
      <c r="T33" s="83">
        <f>IFERROR(S33/S$28,0)</f>
        <v>0</v>
      </c>
      <c r="U33" s="82">
        <f>SUM(U31:U32)</f>
        <v>0</v>
      </c>
      <c r="V33" s="83">
        <f>IFERROR(U33/U$28,0)</f>
        <v>0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383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384</v>
      </c>
      <c r="B36" s="35"/>
      <c r="C36" s="178"/>
      <c r="D36" s="80">
        <f t="shared" ref="D36:D46" si="11">IFERROR(C36/C$28,0)</f>
        <v>0</v>
      </c>
      <c r="E36" s="178"/>
      <c r="F36" s="80">
        <f t="shared" ref="F36:F46" si="12">IFERROR(E36/E$28,0)</f>
        <v>0</v>
      </c>
      <c r="G36" s="178"/>
      <c r="H36" s="80">
        <f t="shared" ref="H36:H46" si="13">IFERROR(G36/G$28,0)</f>
        <v>0</v>
      </c>
      <c r="I36" s="178"/>
      <c r="J36" s="80">
        <f t="shared" ref="J36:J46" si="14">IFERROR(I36/I$28,0)</f>
        <v>0</v>
      </c>
      <c r="K36" s="178"/>
      <c r="L36" s="80">
        <f t="shared" ref="L36:L46" si="15">IFERROR(K36/K$28,0)</f>
        <v>0</v>
      </c>
      <c r="M36" s="178"/>
      <c r="N36" s="80">
        <f t="shared" ref="N36:N46" si="16">IFERROR(M36/M$28,0)</f>
        <v>0</v>
      </c>
      <c r="O36" s="178"/>
      <c r="P36" s="80">
        <f t="shared" ref="P36:P46" si="17">IFERROR(O36/O$28,0)</f>
        <v>0</v>
      </c>
      <c r="Q36" s="178"/>
      <c r="R36" s="80">
        <f t="shared" ref="R36:R46" si="18">IFERROR(Q36/Q$28,0)</f>
        <v>0</v>
      </c>
      <c r="S36" s="178"/>
      <c r="T36" s="80">
        <f t="shared" ref="T36:T46" si="19">IFERROR(S36/S$28,0)</f>
        <v>0</v>
      </c>
      <c r="U36" s="178"/>
      <c r="V36" s="80">
        <f t="shared" ref="V36:V46" si="20">IFERROR(U36/U$28,0)</f>
        <v>0</v>
      </c>
    </row>
    <row r="37" spans="1:22" ht="12.75" customHeight="1">
      <c r="A37" s="2" t="s">
        <v>385</v>
      </c>
      <c r="B37" s="35"/>
      <c r="C37" s="178">
        <v>91879</v>
      </c>
      <c r="D37" s="80">
        <f t="shared" si="11"/>
        <v>0.19676663582785087</v>
      </c>
      <c r="E37" s="178"/>
      <c r="F37" s="80">
        <f t="shared" si="12"/>
        <v>0</v>
      </c>
      <c r="G37" s="178">
        <f>+E37*1.035</f>
        <v>0</v>
      </c>
      <c r="H37" s="80">
        <f t="shared" si="13"/>
        <v>0</v>
      </c>
      <c r="I37" s="178">
        <f>+G37*1.032</f>
        <v>0</v>
      </c>
      <c r="J37" s="80">
        <f t="shared" si="14"/>
        <v>0</v>
      </c>
      <c r="K37" s="178">
        <f>+I37*1.025</f>
        <v>0</v>
      </c>
      <c r="L37" s="80">
        <f t="shared" si="15"/>
        <v>0</v>
      </c>
      <c r="M37" s="178">
        <f>+K37*1.025</f>
        <v>0</v>
      </c>
      <c r="N37" s="80">
        <f t="shared" si="16"/>
        <v>0</v>
      </c>
      <c r="O37" s="178">
        <f>+M37*1.025</f>
        <v>0</v>
      </c>
      <c r="P37" s="80">
        <f t="shared" si="17"/>
        <v>0</v>
      </c>
      <c r="Q37" s="178">
        <f>+O37*1.025</f>
        <v>0</v>
      </c>
      <c r="R37" s="80">
        <f t="shared" si="18"/>
        <v>0</v>
      </c>
      <c r="S37" s="178">
        <f>+Q37*1.025</f>
        <v>0</v>
      </c>
      <c r="T37" s="80">
        <f t="shared" si="19"/>
        <v>0</v>
      </c>
      <c r="U37" s="178">
        <f>+S37*1.025</f>
        <v>0</v>
      </c>
      <c r="V37" s="80">
        <f t="shared" si="20"/>
        <v>0</v>
      </c>
    </row>
    <row r="38" spans="1:22" ht="12.75" customHeight="1">
      <c r="A38" s="2" t="s">
        <v>386</v>
      </c>
      <c r="B38" s="35"/>
      <c r="C38" s="178"/>
      <c r="D38" s="80">
        <f t="shared" si="11"/>
        <v>0</v>
      </c>
      <c r="E38" s="178"/>
      <c r="F38" s="80">
        <f t="shared" si="12"/>
        <v>0</v>
      </c>
      <c r="G38" s="178">
        <f>+E38*1.035</f>
        <v>0</v>
      </c>
      <c r="H38" s="80">
        <f t="shared" si="13"/>
        <v>0</v>
      </c>
      <c r="I38" s="178">
        <f>+G38*1.032</f>
        <v>0</v>
      </c>
      <c r="J38" s="80">
        <f t="shared" si="14"/>
        <v>0</v>
      </c>
      <c r="K38" s="178">
        <f>+I38*1.025</f>
        <v>0</v>
      </c>
      <c r="L38" s="80">
        <f t="shared" si="15"/>
        <v>0</v>
      </c>
      <c r="M38" s="178">
        <f>+K38*1.025</f>
        <v>0</v>
      </c>
      <c r="N38" s="80">
        <f t="shared" si="16"/>
        <v>0</v>
      </c>
      <c r="O38" s="178">
        <f>+M38*1.025</f>
        <v>0</v>
      </c>
      <c r="P38" s="80">
        <f t="shared" si="17"/>
        <v>0</v>
      </c>
      <c r="Q38" s="178">
        <f>+O38*1.025</f>
        <v>0</v>
      </c>
      <c r="R38" s="80">
        <f t="shared" si="18"/>
        <v>0</v>
      </c>
      <c r="S38" s="178">
        <f>+Q38*1.025</f>
        <v>0</v>
      </c>
      <c r="T38" s="80">
        <f t="shared" si="19"/>
        <v>0</v>
      </c>
      <c r="U38" s="178">
        <f>+S38*1.025</f>
        <v>0</v>
      </c>
      <c r="V38" s="80">
        <f t="shared" si="20"/>
        <v>0</v>
      </c>
    </row>
    <row r="39" spans="1:22" ht="12.75" customHeight="1">
      <c r="A39" s="2" t="s">
        <v>387</v>
      </c>
      <c r="B39" s="35"/>
      <c r="C39" s="178">
        <v>52895</v>
      </c>
      <c r="D39" s="80">
        <f t="shared" si="11"/>
        <v>0.11327910841557018</v>
      </c>
      <c r="E39" s="178"/>
      <c r="F39" s="80">
        <f t="shared" si="12"/>
        <v>0</v>
      </c>
      <c r="G39" s="178">
        <f>+E39*1.035</f>
        <v>0</v>
      </c>
      <c r="H39" s="80">
        <f t="shared" si="13"/>
        <v>0</v>
      </c>
      <c r="I39" s="178">
        <f>+G39*1.032</f>
        <v>0</v>
      </c>
      <c r="J39" s="80">
        <f t="shared" si="14"/>
        <v>0</v>
      </c>
      <c r="K39" s="178">
        <f>+I39*1.025</f>
        <v>0</v>
      </c>
      <c r="L39" s="80">
        <f t="shared" si="15"/>
        <v>0</v>
      </c>
      <c r="M39" s="178">
        <f>+K39*1.025</f>
        <v>0</v>
      </c>
      <c r="N39" s="80">
        <f t="shared" si="16"/>
        <v>0</v>
      </c>
      <c r="O39" s="178">
        <f>+M39*1.025</f>
        <v>0</v>
      </c>
      <c r="P39" s="80">
        <f t="shared" si="17"/>
        <v>0</v>
      </c>
      <c r="Q39" s="178">
        <f>+O39*1.025</f>
        <v>0</v>
      </c>
      <c r="R39" s="80">
        <f t="shared" si="18"/>
        <v>0</v>
      </c>
      <c r="S39" s="178">
        <f>+Q39*1.025</f>
        <v>0</v>
      </c>
      <c r="T39" s="80">
        <f t="shared" si="19"/>
        <v>0</v>
      </c>
      <c r="U39" s="178">
        <f>+S39*1.025</f>
        <v>0</v>
      </c>
      <c r="V39" s="80">
        <f t="shared" si="20"/>
        <v>0</v>
      </c>
    </row>
    <row r="40" spans="1:22" ht="12.75" customHeight="1">
      <c r="A40" s="2" t="s">
        <v>388</v>
      </c>
      <c r="B40" s="35"/>
      <c r="C40" s="178">
        <f>C36*0.124</f>
        <v>0</v>
      </c>
      <c r="D40" s="80">
        <f t="shared" si="11"/>
        <v>0</v>
      </c>
      <c r="E40" s="178"/>
      <c r="F40" s="80">
        <f t="shared" si="12"/>
        <v>0</v>
      </c>
      <c r="G40" s="178">
        <f>G36*0.124</f>
        <v>0</v>
      </c>
      <c r="H40" s="80">
        <f t="shared" si="13"/>
        <v>0</v>
      </c>
      <c r="I40" s="178">
        <f>I36*0.124</f>
        <v>0</v>
      </c>
      <c r="J40" s="80">
        <f t="shared" si="14"/>
        <v>0</v>
      </c>
      <c r="K40" s="178">
        <f>K36*0.124</f>
        <v>0</v>
      </c>
      <c r="L40" s="80">
        <f t="shared" si="15"/>
        <v>0</v>
      </c>
      <c r="M40" s="178">
        <f>M36*0.124</f>
        <v>0</v>
      </c>
      <c r="N40" s="80">
        <f t="shared" si="16"/>
        <v>0</v>
      </c>
      <c r="O40" s="178">
        <f>O36*0.124</f>
        <v>0</v>
      </c>
      <c r="P40" s="80">
        <f t="shared" si="17"/>
        <v>0</v>
      </c>
      <c r="Q40" s="178">
        <f>Q36*0.124</f>
        <v>0</v>
      </c>
      <c r="R40" s="80">
        <f t="shared" si="18"/>
        <v>0</v>
      </c>
      <c r="S40" s="178">
        <f>S36*0.124</f>
        <v>0</v>
      </c>
      <c r="T40" s="80">
        <f t="shared" si="19"/>
        <v>0</v>
      </c>
      <c r="U40" s="178">
        <f>U36*0.124</f>
        <v>0</v>
      </c>
      <c r="V40" s="80">
        <f t="shared" si="20"/>
        <v>0</v>
      </c>
    </row>
    <row r="41" spans="1:22" ht="12.75" customHeight="1">
      <c r="A41" s="2" t="s">
        <v>389</v>
      </c>
      <c r="B41" s="35"/>
      <c r="C41" s="178">
        <f>C37*0.124</f>
        <v>11392.995999999999</v>
      </c>
      <c r="D41" s="80">
        <f t="shared" si="11"/>
        <v>2.4399062842653509E-2</v>
      </c>
      <c r="E41" s="178"/>
      <c r="F41" s="80">
        <f t="shared" si="12"/>
        <v>0</v>
      </c>
      <c r="G41" s="178">
        <f>G37*0.124</f>
        <v>0</v>
      </c>
      <c r="H41" s="80">
        <f t="shared" si="13"/>
        <v>0</v>
      </c>
      <c r="I41" s="178">
        <f>I37*0.124</f>
        <v>0</v>
      </c>
      <c r="J41" s="80">
        <f t="shared" si="14"/>
        <v>0</v>
      </c>
      <c r="K41" s="178">
        <f>K37*0.124</f>
        <v>0</v>
      </c>
      <c r="L41" s="80">
        <f t="shared" si="15"/>
        <v>0</v>
      </c>
      <c r="M41" s="178">
        <f>M37*0.124</f>
        <v>0</v>
      </c>
      <c r="N41" s="80">
        <f t="shared" si="16"/>
        <v>0</v>
      </c>
      <c r="O41" s="178">
        <f>O37*0.124</f>
        <v>0</v>
      </c>
      <c r="P41" s="80">
        <f t="shared" si="17"/>
        <v>0</v>
      </c>
      <c r="Q41" s="178">
        <f>Q37*0.124</f>
        <v>0</v>
      </c>
      <c r="R41" s="80">
        <f t="shared" si="18"/>
        <v>0</v>
      </c>
      <c r="S41" s="178">
        <f>S37*0.124</f>
        <v>0</v>
      </c>
      <c r="T41" s="80">
        <f t="shared" si="19"/>
        <v>0</v>
      </c>
      <c r="U41" s="178">
        <f>U37*0.124</f>
        <v>0</v>
      </c>
      <c r="V41" s="80">
        <f t="shared" si="20"/>
        <v>0</v>
      </c>
    </row>
    <row r="42" spans="1:22" ht="12.75" customHeight="1">
      <c r="A42" s="2" t="s">
        <v>390</v>
      </c>
      <c r="B42" s="35"/>
      <c r="C42" s="178"/>
      <c r="D42" s="80">
        <f t="shared" si="11"/>
        <v>0</v>
      </c>
      <c r="E42" s="178"/>
      <c r="F42" s="80">
        <f t="shared" si="12"/>
        <v>0</v>
      </c>
      <c r="G42" s="178"/>
      <c r="H42" s="80">
        <f t="shared" si="13"/>
        <v>0</v>
      </c>
      <c r="I42" s="178"/>
      <c r="J42" s="80">
        <f t="shared" si="14"/>
        <v>0</v>
      </c>
      <c r="K42" s="178"/>
      <c r="L42" s="80">
        <f t="shared" si="15"/>
        <v>0</v>
      </c>
      <c r="M42" s="178"/>
      <c r="N42" s="80">
        <f t="shared" si="16"/>
        <v>0</v>
      </c>
      <c r="O42" s="178"/>
      <c r="P42" s="80">
        <f t="shared" si="17"/>
        <v>0</v>
      </c>
      <c r="Q42" s="178"/>
      <c r="R42" s="80">
        <f t="shared" si="18"/>
        <v>0</v>
      </c>
      <c r="S42" s="178"/>
      <c r="T42" s="80">
        <f t="shared" si="19"/>
        <v>0</v>
      </c>
      <c r="U42" s="178"/>
      <c r="V42" s="80">
        <f t="shared" si="20"/>
        <v>0</v>
      </c>
    </row>
    <row r="43" spans="1:22" ht="12.75" customHeight="1">
      <c r="A43" s="2" t="s">
        <v>391</v>
      </c>
      <c r="B43" s="35"/>
      <c r="C43" s="178"/>
      <c r="D43" s="80">
        <f t="shared" si="11"/>
        <v>0</v>
      </c>
      <c r="E43" s="178"/>
      <c r="F43" s="80">
        <f t="shared" si="12"/>
        <v>0</v>
      </c>
      <c r="G43" s="178"/>
      <c r="H43" s="80">
        <f t="shared" si="13"/>
        <v>0</v>
      </c>
      <c r="I43" s="178"/>
      <c r="J43" s="80">
        <f t="shared" si="14"/>
        <v>0</v>
      </c>
      <c r="K43" s="178"/>
      <c r="L43" s="80">
        <f t="shared" si="15"/>
        <v>0</v>
      </c>
      <c r="M43" s="178"/>
      <c r="N43" s="80">
        <f t="shared" si="16"/>
        <v>0</v>
      </c>
      <c r="O43" s="178"/>
      <c r="P43" s="80">
        <f t="shared" si="17"/>
        <v>0</v>
      </c>
      <c r="Q43" s="178"/>
      <c r="R43" s="80">
        <f t="shared" si="18"/>
        <v>0</v>
      </c>
      <c r="S43" s="178"/>
      <c r="T43" s="80">
        <f t="shared" si="19"/>
        <v>0</v>
      </c>
      <c r="U43" s="178"/>
      <c r="V43" s="80">
        <f t="shared" si="20"/>
        <v>0</v>
      </c>
    </row>
    <row r="44" spans="1:22" ht="12.75" customHeight="1">
      <c r="A44" s="2" t="s">
        <v>392</v>
      </c>
      <c r="B44" s="35"/>
      <c r="C44" s="178"/>
      <c r="D44" s="80">
        <f t="shared" si="11"/>
        <v>0</v>
      </c>
      <c r="E44" s="178"/>
      <c r="F44" s="80">
        <f t="shared" si="12"/>
        <v>0</v>
      </c>
      <c r="G44" s="178"/>
      <c r="H44" s="80">
        <f t="shared" si="13"/>
        <v>0</v>
      </c>
      <c r="I44" s="178"/>
      <c r="J44" s="80">
        <f t="shared" si="14"/>
        <v>0</v>
      </c>
      <c r="K44" s="178"/>
      <c r="L44" s="80">
        <f t="shared" si="15"/>
        <v>0</v>
      </c>
      <c r="M44" s="178"/>
      <c r="N44" s="80">
        <f t="shared" si="16"/>
        <v>0</v>
      </c>
      <c r="O44" s="178"/>
      <c r="P44" s="80">
        <f t="shared" si="17"/>
        <v>0</v>
      </c>
      <c r="Q44" s="178"/>
      <c r="R44" s="80">
        <f t="shared" si="18"/>
        <v>0</v>
      </c>
      <c r="S44" s="178"/>
      <c r="T44" s="80">
        <f t="shared" si="19"/>
        <v>0</v>
      </c>
      <c r="U44" s="178"/>
      <c r="V44" s="80">
        <f t="shared" si="20"/>
        <v>0</v>
      </c>
    </row>
    <row r="45" spans="1:22" ht="12.75" customHeight="1">
      <c r="A45" s="2" t="s">
        <v>393</v>
      </c>
      <c r="B45" s="35"/>
      <c r="C45" s="181">
        <f>SUM(C36:C39)*0.094</f>
        <v>13608.755999999999</v>
      </c>
      <c r="D45" s="80">
        <f t="shared" si="11"/>
        <v>2.9144299958881577E-2</v>
      </c>
      <c r="E45" s="181"/>
      <c r="F45" s="80">
        <f t="shared" si="12"/>
        <v>0</v>
      </c>
      <c r="G45" s="181">
        <f>SUM(G36:G39)*0.094</f>
        <v>0</v>
      </c>
      <c r="H45" s="80">
        <f t="shared" si="13"/>
        <v>0</v>
      </c>
      <c r="I45" s="181">
        <f>SUM(I36:I39)*0.094</f>
        <v>0</v>
      </c>
      <c r="J45" s="80">
        <f t="shared" si="14"/>
        <v>0</v>
      </c>
      <c r="K45" s="181">
        <f>SUM(K36:K39)*0.094</f>
        <v>0</v>
      </c>
      <c r="L45" s="80">
        <f t="shared" si="15"/>
        <v>0</v>
      </c>
      <c r="M45" s="181">
        <f>SUM(M36:M39)*0.094</f>
        <v>0</v>
      </c>
      <c r="N45" s="80">
        <f t="shared" si="16"/>
        <v>0</v>
      </c>
      <c r="O45" s="181">
        <f>SUM(O36:O39)*0.094</f>
        <v>0</v>
      </c>
      <c r="P45" s="80">
        <f t="shared" si="17"/>
        <v>0</v>
      </c>
      <c r="Q45" s="181">
        <f>SUM(Q36:Q39)*0.094</f>
        <v>0</v>
      </c>
      <c r="R45" s="80">
        <f t="shared" si="18"/>
        <v>0</v>
      </c>
      <c r="S45" s="181">
        <f>SUM(S36:S39)*0.094</f>
        <v>0</v>
      </c>
      <c r="T45" s="80">
        <f t="shared" si="19"/>
        <v>0</v>
      </c>
      <c r="U45" s="181">
        <f>SUM(U36:U39)*0.094</f>
        <v>0</v>
      </c>
      <c r="V45" s="80">
        <f t="shared" si="20"/>
        <v>0</v>
      </c>
    </row>
    <row r="46" spans="1:22" ht="12.75" customHeight="1">
      <c r="A46" s="1" t="s">
        <v>394</v>
      </c>
      <c r="B46" s="53"/>
      <c r="C46" s="82">
        <f>SUM(C36:C45)</f>
        <v>169775.75199999998</v>
      </c>
      <c r="D46" s="83">
        <f t="shared" si="11"/>
        <v>0.36358910704495612</v>
      </c>
      <c r="E46" s="82">
        <f>SUM(E36:E45)</f>
        <v>0</v>
      </c>
      <c r="F46" s="83">
        <f t="shared" si="12"/>
        <v>0</v>
      </c>
      <c r="G46" s="82">
        <f>SUM(G36:G45)</f>
        <v>0</v>
      </c>
      <c r="H46" s="83">
        <f t="shared" si="13"/>
        <v>0</v>
      </c>
      <c r="I46" s="82">
        <f>SUM(I36:I45)</f>
        <v>0</v>
      </c>
      <c r="J46" s="83">
        <f t="shared" si="14"/>
        <v>0</v>
      </c>
      <c r="K46" s="82">
        <f>SUM(K36:K45)</f>
        <v>0</v>
      </c>
      <c r="L46" s="83">
        <f t="shared" si="15"/>
        <v>0</v>
      </c>
      <c r="M46" s="82">
        <f>SUM(M36:M45)</f>
        <v>0</v>
      </c>
      <c r="N46" s="83">
        <f t="shared" si="16"/>
        <v>0</v>
      </c>
      <c r="O46" s="82">
        <f>SUM(O36:O45)</f>
        <v>0</v>
      </c>
      <c r="P46" s="83">
        <f t="shared" si="17"/>
        <v>0</v>
      </c>
      <c r="Q46" s="82">
        <f>SUM(Q36:Q45)</f>
        <v>0</v>
      </c>
      <c r="R46" s="83">
        <f t="shared" si="18"/>
        <v>0</v>
      </c>
      <c r="S46" s="82">
        <f>SUM(S36:S45)</f>
        <v>0</v>
      </c>
      <c r="T46" s="83">
        <f t="shared" si="19"/>
        <v>0</v>
      </c>
      <c r="U46" s="82">
        <f>SUM(U36:U45)</f>
        <v>0</v>
      </c>
      <c r="V46" s="83">
        <f t="shared" si="20"/>
        <v>0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366</v>
      </c>
      <c r="E50" s="86" t="str">
        <f>E6</f>
        <v>FY 2019-20</v>
      </c>
      <c r="F50" s="86" t="s">
        <v>366</v>
      </c>
      <c r="G50" s="86" t="str">
        <f>G6</f>
        <v>FY 2020-21</v>
      </c>
      <c r="H50" s="86" t="s">
        <v>366</v>
      </c>
      <c r="I50" s="86" t="str">
        <f>I6</f>
        <v>FY 2021-22</v>
      </c>
      <c r="J50" s="86" t="s">
        <v>366</v>
      </c>
      <c r="K50" s="86" t="str">
        <f>K6</f>
        <v>FY 2022-23</v>
      </c>
      <c r="L50" s="86" t="s">
        <v>366</v>
      </c>
      <c r="M50" s="86" t="str">
        <f>M6</f>
        <v>FY 2023-24</v>
      </c>
      <c r="N50" s="86" t="s">
        <v>366</v>
      </c>
      <c r="O50" s="86" t="str">
        <f>O6</f>
        <v>FY 2024-25</v>
      </c>
      <c r="P50" s="86" t="s">
        <v>366</v>
      </c>
      <c r="Q50" s="86" t="str">
        <f>Q6</f>
        <v>FY 2025-26</v>
      </c>
      <c r="R50" s="86" t="s">
        <v>366</v>
      </c>
      <c r="S50" s="86" t="str">
        <f>S6</f>
        <v>FY 2026-27</v>
      </c>
      <c r="T50" s="86" t="s">
        <v>366</v>
      </c>
      <c r="U50" s="86" t="str">
        <f>U6</f>
        <v>FY 2027-28</v>
      </c>
      <c r="V50" s="86" t="s">
        <v>366</v>
      </c>
    </row>
    <row r="51" spans="1:24" ht="12.75" customHeight="1">
      <c r="A51" s="1" t="s">
        <v>395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396</v>
      </c>
      <c r="B52" s="35"/>
      <c r="C52" s="178">
        <v>0</v>
      </c>
      <c r="D52" s="80">
        <f t="shared" ref="D52:D104" si="21">IFERROR(C52/C$28,0)</f>
        <v>0</v>
      </c>
      <c r="E52" s="178">
        <v>0</v>
      </c>
      <c r="F52" s="80">
        <f t="shared" ref="F52:F104" si="22">IFERROR(E52/E$28,0)</f>
        <v>0</v>
      </c>
      <c r="G52" s="178">
        <v>0</v>
      </c>
      <c r="H52" s="80">
        <f t="shared" ref="H52:H104" si="23">IFERROR(G52/G$28,0)</f>
        <v>0</v>
      </c>
      <c r="I52" s="178">
        <v>0</v>
      </c>
      <c r="J52" s="80">
        <f t="shared" ref="J52:J104" si="24">IFERROR(I52/I$28,0)</f>
        <v>0</v>
      </c>
      <c r="K52" s="178">
        <v>0</v>
      </c>
      <c r="L52" s="80">
        <f t="shared" ref="L52:L104" si="25">IFERROR(K52/K$28,0)</f>
        <v>0</v>
      </c>
      <c r="M52" s="178">
        <v>0</v>
      </c>
      <c r="N52" s="80">
        <f t="shared" ref="N52:N104" si="26">IFERROR(M52/M$28,0)</f>
        <v>0</v>
      </c>
      <c r="O52" s="178">
        <v>0</v>
      </c>
      <c r="P52" s="80">
        <f t="shared" ref="P52:P104" si="27">IFERROR(O52/O$28,0)</f>
        <v>0</v>
      </c>
      <c r="Q52" s="178">
        <v>0</v>
      </c>
      <c r="R52" s="80">
        <f t="shared" ref="R52:R104" si="28">IFERROR(Q52/Q$28,0)</f>
        <v>0</v>
      </c>
      <c r="S52" s="178">
        <v>0</v>
      </c>
      <c r="T52" s="80">
        <f t="shared" ref="T52:T104" si="29">IFERROR(S52/S$28,0)</f>
        <v>0</v>
      </c>
      <c r="U52" s="178">
        <v>0</v>
      </c>
      <c r="V52" s="80">
        <f t="shared" ref="V52:V105" si="30">IFERROR(U52/U$28,0)</f>
        <v>0</v>
      </c>
      <c r="X52" s="192"/>
    </row>
    <row r="53" spans="1:24" ht="12.75" customHeight="1">
      <c r="A53" s="2" t="s">
        <v>397</v>
      </c>
      <c r="B53" s="35"/>
      <c r="C53" s="178">
        <v>0</v>
      </c>
      <c r="D53" s="80">
        <f t="shared" si="21"/>
        <v>0</v>
      </c>
      <c r="E53" s="178">
        <v>0</v>
      </c>
      <c r="F53" s="80">
        <f t="shared" si="22"/>
        <v>0</v>
      </c>
      <c r="G53" s="178">
        <v>0</v>
      </c>
      <c r="H53" s="80">
        <f t="shared" si="23"/>
        <v>0</v>
      </c>
      <c r="I53" s="178">
        <v>0</v>
      </c>
      <c r="J53" s="80">
        <f t="shared" si="24"/>
        <v>0</v>
      </c>
      <c r="K53" s="178">
        <v>0</v>
      </c>
      <c r="L53" s="80">
        <f t="shared" si="25"/>
        <v>0</v>
      </c>
      <c r="M53" s="178">
        <v>0</v>
      </c>
      <c r="N53" s="80">
        <f t="shared" si="26"/>
        <v>0</v>
      </c>
      <c r="O53" s="178">
        <v>0</v>
      </c>
      <c r="P53" s="80">
        <f t="shared" si="27"/>
        <v>0</v>
      </c>
      <c r="Q53" s="178">
        <v>0</v>
      </c>
      <c r="R53" s="80">
        <f t="shared" si="28"/>
        <v>0</v>
      </c>
      <c r="S53" s="178">
        <v>0</v>
      </c>
      <c r="T53" s="80">
        <f t="shared" si="29"/>
        <v>0</v>
      </c>
      <c r="U53" s="178">
        <v>0</v>
      </c>
      <c r="V53" s="80">
        <f t="shared" si="30"/>
        <v>0</v>
      </c>
      <c r="X53" s="192"/>
    </row>
    <row r="54" spans="1:24" ht="12.75" customHeight="1">
      <c r="A54" s="2" t="s">
        <v>398</v>
      </c>
      <c r="B54" s="35"/>
      <c r="C54" s="178">
        <v>326.86079999999998</v>
      </c>
      <c r="D54" s="80">
        <f t="shared" si="21"/>
        <v>6.9999999999999999E-4</v>
      </c>
      <c r="E54" s="178">
        <v>0</v>
      </c>
      <c r="F54" s="80">
        <f t="shared" si="22"/>
        <v>0</v>
      </c>
      <c r="G54" s="178">
        <v>0</v>
      </c>
      <c r="H54" s="80">
        <f t="shared" si="23"/>
        <v>0</v>
      </c>
      <c r="I54" s="178">
        <v>0</v>
      </c>
      <c r="J54" s="80">
        <f t="shared" si="24"/>
        <v>0</v>
      </c>
      <c r="K54" s="178">
        <v>0</v>
      </c>
      <c r="L54" s="80">
        <f t="shared" si="25"/>
        <v>0</v>
      </c>
      <c r="M54" s="178">
        <v>0</v>
      </c>
      <c r="N54" s="80">
        <f t="shared" si="26"/>
        <v>0</v>
      </c>
      <c r="O54" s="178">
        <v>0</v>
      </c>
      <c r="P54" s="80">
        <f t="shared" si="27"/>
        <v>0</v>
      </c>
      <c r="Q54" s="178">
        <v>0</v>
      </c>
      <c r="R54" s="80">
        <f t="shared" si="28"/>
        <v>0</v>
      </c>
      <c r="S54" s="178">
        <v>0</v>
      </c>
      <c r="T54" s="80">
        <f t="shared" si="29"/>
        <v>0</v>
      </c>
      <c r="U54" s="178">
        <v>0</v>
      </c>
      <c r="V54" s="80">
        <f t="shared" si="30"/>
        <v>0</v>
      </c>
      <c r="X54" s="192"/>
    </row>
    <row r="55" spans="1:24" ht="12.75" customHeight="1">
      <c r="A55" s="2" t="s">
        <v>399</v>
      </c>
      <c r="B55" s="35"/>
      <c r="C55" s="178">
        <v>32686.080000000002</v>
      </c>
      <c r="D55" s="80">
        <f t="shared" si="21"/>
        <v>7.0000000000000007E-2</v>
      </c>
      <c r="E55" s="178">
        <v>0</v>
      </c>
      <c r="F55" s="80">
        <f t="shared" si="22"/>
        <v>0</v>
      </c>
      <c r="G55" s="178">
        <v>0</v>
      </c>
      <c r="H55" s="80">
        <f t="shared" si="23"/>
        <v>0</v>
      </c>
      <c r="I55" s="178">
        <v>0</v>
      </c>
      <c r="J55" s="80">
        <f t="shared" si="24"/>
        <v>0</v>
      </c>
      <c r="K55" s="178">
        <v>0</v>
      </c>
      <c r="L55" s="80">
        <f t="shared" si="25"/>
        <v>0</v>
      </c>
      <c r="M55" s="178">
        <v>0</v>
      </c>
      <c r="N55" s="80">
        <f t="shared" si="26"/>
        <v>0</v>
      </c>
      <c r="O55" s="178">
        <v>0</v>
      </c>
      <c r="P55" s="80">
        <f t="shared" si="27"/>
        <v>0</v>
      </c>
      <c r="Q55" s="178">
        <v>0</v>
      </c>
      <c r="R55" s="80">
        <f t="shared" si="28"/>
        <v>0</v>
      </c>
      <c r="S55" s="178">
        <v>0</v>
      </c>
      <c r="T55" s="80">
        <f t="shared" si="29"/>
        <v>0</v>
      </c>
      <c r="U55" s="178">
        <v>0</v>
      </c>
      <c r="V55" s="80">
        <f t="shared" si="30"/>
        <v>0</v>
      </c>
      <c r="X55" s="192"/>
    </row>
    <row r="56" spans="1:24" ht="12.75" customHeight="1">
      <c r="A56" s="2" t="s">
        <v>400</v>
      </c>
      <c r="B56" s="35"/>
      <c r="C56" s="178">
        <v>238.14144000000002</v>
      </c>
      <c r="D56" s="80">
        <f t="shared" si="21"/>
        <v>5.1000000000000004E-4</v>
      </c>
      <c r="E56" s="178">
        <v>0</v>
      </c>
      <c r="F56" s="80">
        <f t="shared" si="22"/>
        <v>0</v>
      </c>
      <c r="G56" s="178">
        <v>0</v>
      </c>
      <c r="H56" s="80">
        <f t="shared" si="23"/>
        <v>0</v>
      </c>
      <c r="I56" s="178">
        <v>0</v>
      </c>
      <c r="J56" s="80">
        <f t="shared" si="24"/>
        <v>0</v>
      </c>
      <c r="K56" s="178">
        <v>0</v>
      </c>
      <c r="L56" s="80">
        <f t="shared" si="25"/>
        <v>0</v>
      </c>
      <c r="M56" s="178">
        <v>0</v>
      </c>
      <c r="N56" s="80">
        <f t="shared" si="26"/>
        <v>0</v>
      </c>
      <c r="O56" s="178">
        <v>0</v>
      </c>
      <c r="P56" s="80">
        <f t="shared" si="27"/>
        <v>0</v>
      </c>
      <c r="Q56" s="178">
        <v>0</v>
      </c>
      <c r="R56" s="80">
        <f t="shared" si="28"/>
        <v>0</v>
      </c>
      <c r="S56" s="178">
        <v>0</v>
      </c>
      <c r="T56" s="80">
        <f t="shared" si="29"/>
        <v>0</v>
      </c>
      <c r="U56" s="178">
        <v>0</v>
      </c>
      <c r="V56" s="80">
        <f t="shared" si="30"/>
        <v>0</v>
      </c>
      <c r="X56" s="192"/>
    </row>
    <row r="57" spans="1:24" ht="12.75" customHeight="1">
      <c r="A57" s="2" t="s">
        <v>401</v>
      </c>
      <c r="B57" s="35"/>
      <c r="C57" s="178">
        <v>0</v>
      </c>
      <c r="D57" s="80">
        <f t="shared" si="21"/>
        <v>0</v>
      </c>
      <c r="E57" s="178">
        <v>0</v>
      </c>
      <c r="F57" s="80">
        <f t="shared" si="22"/>
        <v>0</v>
      </c>
      <c r="G57" s="178">
        <v>0</v>
      </c>
      <c r="H57" s="80">
        <f t="shared" si="23"/>
        <v>0</v>
      </c>
      <c r="I57" s="178">
        <v>0</v>
      </c>
      <c r="J57" s="80">
        <f t="shared" si="24"/>
        <v>0</v>
      </c>
      <c r="K57" s="178">
        <v>0</v>
      </c>
      <c r="L57" s="80">
        <f t="shared" si="25"/>
        <v>0</v>
      </c>
      <c r="M57" s="178">
        <v>0</v>
      </c>
      <c r="N57" s="80">
        <f t="shared" si="26"/>
        <v>0</v>
      </c>
      <c r="O57" s="178">
        <v>0</v>
      </c>
      <c r="P57" s="80">
        <f t="shared" si="27"/>
        <v>0</v>
      </c>
      <c r="Q57" s="178">
        <v>0</v>
      </c>
      <c r="R57" s="80">
        <f t="shared" si="28"/>
        <v>0</v>
      </c>
      <c r="S57" s="178">
        <v>0</v>
      </c>
      <c r="T57" s="80">
        <f t="shared" si="29"/>
        <v>0</v>
      </c>
      <c r="U57" s="178">
        <v>0</v>
      </c>
      <c r="V57" s="80">
        <f t="shared" si="30"/>
        <v>0</v>
      </c>
      <c r="X57" s="192"/>
    </row>
    <row r="58" spans="1:24" ht="12.75" customHeight="1">
      <c r="A58" s="2" t="s">
        <v>402</v>
      </c>
      <c r="B58" s="35"/>
      <c r="C58" s="178">
        <v>0</v>
      </c>
      <c r="D58" s="80">
        <f t="shared" si="21"/>
        <v>0</v>
      </c>
      <c r="E58" s="178">
        <v>0</v>
      </c>
      <c r="F58" s="80">
        <f t="shared" si="22"/>
        <v>0</v>
      </c>
      <c r="G58" s="178">
        <v>0</v>
      </c>
      <c r="H58" s="80">
        <f t="shared" si="23"/>
        <v>0</v>
      </c>
      <c r="I58" s="178">
        <v>0</v>
      </c>
      <c r="J58" s="80">
        <f t="shared" si="24"/>
        <v>0</v>
      </c>
      <c r="K58" s="178">
        <v>0</v>
      </c>
      <c r="L58" s="80">
        <f t="shared" si="25"/>
        <v>0</v>
      </c>
      <c r="M58" s="178">
        <v>0</v>
      </c>
      <c r="N58" s="80">
        <f t="shared" si="26"/>
        <v>0</v>
      </c>
      <c r="O58" s="178">
        <v>0</v>
      </c>
      <c r="P58" s="80">
        <f t="shared" si="27"/>
        <v>0</v>
      </c>
      <c r="Q58" s="178">
        <v>0</v>
      </c>
      <c r="R58" s="80">
        <f t="shared" si="28"/>
        <v>0</v>
      </c>
      <c r="S58" s="178">
        <v>0</v>
      </c>
      <c r="T58" s="80">
        <f t="shared" si="29"/>
        <v>0</v>
      </c>
      <c r="U58" s="178">
        <v>0</v>
      </c>
      <c r="V58" s="80">
        <f t="shared" si="30"/>
        <v>0</v>
      </c>
      <c r="X58" s="192"/>
    </row>
    <row r="59" spans="1:24" ht="12.75" customHeight="1">
      <c r="A59" s="2" t="s">
        <v>403</v>
      </c>
      <c r="B59" s="35"/>
      <c r="C59" s="178"/>
      <c r="D59" s="80">
        <f t="shared" si="21"/>
        <v>0</v>
      </c>
      <c r="E59" s="178"/>
      <c r="F59" s="80">
        <f t="shared" si="22"/>
        <v>0</v>
      </c>
      <c r="G59" s="178"/>
      <c r="H59" s="80">
        <f t="shared" si="23"/>
        <v>0</v>
      </c>
      <c r="I59" s="178"/>
      <c r="J59" s="80">
        <f t="shared" si="24"/>
        <v>0</v>
      </c>
      <c r="K59" s="178"/>
      <c r="L59" s="80">
        <f t="shared" si="25"/>
        <v>0</v>
      </c>
      <c r="M59" s="178"/>
      <c r="N59" s="80">
        <f t="shared" si="26"/>
        <v>0</v>
      </c>
      <c r="O59" s="178"/>
      <c r="P59" s="80">
        <f t="shared" si="27"/>
        <v>0</v>
      </c>
      <c r="Q59" s="178"/>
      <c r="R59" s="80">
        <f t="shared" si="28"/>
        <v>0</v>
      </c>
      <c r="S59" s="178"/>
      <c r="T59" s="80">
        <f t="shared" si="29"/>
        <v>0</v>
      </c>
      <c r="U59" s="178"/>
      <c r="V59" s="80">
        <f t="shared" si="30"/>
        <v>0</v>
      </c>
      <c r="X59" s="192"/>
    </row>
    <row r="60" spans="1:24" ht="12.75" customHeight="1">
      <c r="A60" s="2" t="s">
        <v>404</v>
      </c>
      <c r="B60" s="35"/>
      <c r="C60" s="178">
        <v>0</v>
      </c>
      <c r="D60" s="80">
        <f t="shared" si="21"/>
        <v>0</v>
      </c>
      <c r="E60" s="178">
        <v>0</v>
      </c>
      <c r="F60" s="80">
        <f t="shared" si="22"/>
        <v>0</v>
      </c>
      <c r="G60" s="178">
        <v>0</v>
      </c>
      <c r="H60" s="80">
        <f t="shared" si="23"/>
        <v>0</v>
      </c>
      <c r="I60" s="178">
        <v>0</v>
      </c>
      <c r="J60" s="80">
        <f t="shared" si="24"/>
        <v>0</v>
      </c>
      <c r="K60" s="178">
        <v>0</v>
      </c>
      <c r="L60" s="80">
        <f t="shared" si="25"/>
        <v>0</v>
      </c>
      <c r="M60" s="178">
        <v>0</v>
      </c>
      <c r="N60" s="80">
        <f t="shared" si="26"/>
        <v>0</v>
      </c>
      <c r="O60" s="178">
        <v>0</v>
      </c>
      <c r="P60" s="80">
        <f t="shared" si="27"/>
        <v>0</v>
      </c>
      <c r="Q60" s="178">
        <v>0</v>
      </c>
      <c r="R60" s="80">
        <f t="shared" si="28"/>
        <v>0</v>
      </c>
      <c r="S60" s="178">
        <v>0</v>
      </c>
      <c r="T60" s="80">
        <f t="shared" si="29"/>
        <v>0</v>
      </c>
      <c r="U60" s="178">
        <v>0</v>
      </c>
      <c r="V60" s="80">
        <f t="shared" si="30"/>
        <v>0</v>
      </c>
      <c r="X60" s="192"/>
    </row>
    <row r="61" spans="1:24" ht="12.75" customHeight="1">
      <c r="A61" s="2" t="s">
        <v>405</v>
      </c>
      <c r="B61" s="35"/>
      <c r="C61" s="178">
        <v>0</v>
      </c>
      <c r="D61" s="80">
        <f t="shared" si="21"/>
        <v>0</v>
      </c>
      <c r="E61" s="178">
        <v>0</v>
      </c>
      <c r="F61" s="80">
        <f t="shared" si="22"/>
        <v>0</v>
      </c>
      <c r="G61" s="178">
        <v>0</v>
      </c>
      <c r="H61" s="80">
        <f t="shared" si="23"/>
        <v>0</v>
      </c>
      <c r="I61" s="178">
        <v>0</v>
      </c>
      <c r="J61" s="80">
        <f t="shared" si="24"/>
        <v>0</v>
      </c>
      <c r="K61" s="178">
        <v>0</v>
      </c>
      <c r="L61" s="80">
        <f t="shared" si="25"/>
        <v>0</v>
      </c>
      <c r="M61" s="178">
        <v>0</v>
      </c>
      <c r="N61" s="80">
        <f t="shared" si="26"/>
        <v>0</v>
      </c>
      <c r="O61" s="178">
        <v>0</v>
      </c>
      <c r="P61" s="80">
        <f t="shared" si="27"/>
        <v>0</v>
      </c>
      <c r="Q61" s="178">
        <v>0</v>
      </c>
      <c r="R61" s="80">
        <f t="shared" si="28"/>
        <v>0</v>
      </c>
      <c r="S61" s="178">
        <v>0</v>
      </c>
      <c r="T61" s="80">
        <f t="shared" si="29"/>
        <v>0</v>
      </c>
      <c r="U61" s="178">
        <v>0</v>
      </c>
      <c r="V61" s="80">
        <f t="shared" si="30"/>
        <v>0</v>
      </c>
      <c r="X61" s="192"/>
    </row>
    <row r="62" spans="1:24" ht="12.75" customHeight="1">
      <c r="A62" s="2" t="s">
        <v>406</v>
      </c>
      <c r="B62" s="35"/>
      <c r="C62" s="178">
        <v>0</v>
      </c>
      <c r="D62" s="80">
        <f t="shared" si="21"/>
        <v>0</v>
      </c>
      <c r="E62" s="178">
        <v>0</v>
      </c>
      <c r="F62" s="80">
        <f t="shared" si="22"/>
        <v>0</v>
      </c>
      <c r="G62" s="178">
        <v>0</v>
      </c>
      <c r="H62" s="80">
        <f t="shared" si="23"/>
        <v>0</v>
      </c>
      <c r="I62" s="178">
        <v>0</v>
      </c>
      <c r="J62" s="80">
        <f t="shared" si="24"/>
        <v>0</v>
      </c>
      <c r="K62" s="178">
        <v>0</v>
      </c>
      <c r="L62" s="80">
        <f t="shared" si="25"/>
        <v>0</v>
      </c>
      <c r="M62" s="178">
        <v>0</v>
      </c>
      <c r="N62" s="80">
        <f t="shared" si="26"/>
        <v>0</v>
      </c>
      <c r="O62" s="178">
        <v>0</v>
      </c>
      <c r="P62" s="80">
        <f t="shared" si="27"/>
        <v>0</v>
      </c>
      <c r="Q62" s="178">
        <v>0</v>
      </c>
      <c r="R62" s="80">
        <f t="shared" si="28"/>
        <v>0</v>
      </c>
      <c r="S62" s="178">
        <v>0</v>
      </c>
      <c r="T62" s="80">
        <f t="shared" si="29"/>
        <v>0</v>
      </c>
      <c r="U62" s="178">
        <v>0</v>
      </c>
      <c r="V62" s="80">
        <f t="shared" si="30"/>
        <v>0</v>
      </c>
      <c r="X62" s="192"/>
    </row>
    <row r="63" spans="1:24" ht="12.75" customHeight="1">
      <c r="A63" s="2" t="s">
        <v>407</v>
      </c>
      <c r="B63" s="35"/>
      <c r="C63" s="178">
        <v>5680.6912089041925</v>
      </c>
      <c r="D63" s="80">
        <f t="shared" si="21"/>
        <v>1.2165679843630484E-2</v>
      </c>
      <c r="E63" s="178">
        <v>0</v>
      </c>
      <c r="F63" s="80">
        <f t="shared" si="22"/>
        <v>0</v>
      </c>
      <c r="G63" s="178">
        <v>0</v>
      </c>
      <c r="H63" s="80">
        <f t="shared" si="23"/>
        <v>0</v>
      </c>
      <c r="I63" s="178">
        <v>0</v>
      </c>
      <c r="J63" s="80">
        <f t="shared" si="24"/>
        <v>0</v>
      </c>
      <c r="K63" s="178">
        <v>0</v>
      </c>
      <c r="L63" s="80">
        <f t="shared" si="25"/>
        <v>0</v>
      </c>
      <c r="M63" s="178">
        <v>0</v>
      </c>
      <c r="N63" s="80">
        <f t="shared" si="26"/>
        <v>0</v>
      </c>
      <c r="O63" s="178">
        <v>0</v>
      </c>
      <c r="P63" s="80">
        <f t="shared" si="27"/>
        <v>0</v>
      </c>
      <c r="Q63" s="178">
        <v>0</v>
      </c>
      <c r="R63" s="80">
        <f t="shared" si="28"/>
        <v>0</v>
      </c>
      <c r="S63" s="178">
        <v>0</v>
      </c>
      <c r="T63" s="80">
        <f t="shared" si="29"/>
        <v>0</v>
      </c>
      <c r="U63" s="178">
        <v>0</v>
      </c>
      <c r="V63" s="80">
        <f t="shared" si="30"/>
        <v>0</v>
      </c>
      <c r="X63" s="192"/>
    </row>
    <row r="64" spans="1:24" ht="12.75" customHeight="1">
      <c r="A64" s="2" t="s">
        <v>408</v>
      </c>
      <c r="B64" s="35"/>
      <c r="C64" s="178">
        <v>2241.3311999999996</v>
      </c>
      <c r="D64" s="80">
        <f t="shared" si="21"/>
        <v>4.7999999999999996E-3</v>
      </c>
      <c r="E64" s="178">
        <v>0</v>
      </c>
      <c r="F64" s="80">
        <f t="shared" si="22"/>
        <v>0</v>
      </c>
      <c r="G64" s="178">
        <v>0</v>
      </c>
      <c r="H64" s="80">
        <f t="shared" si="23"/>
        <v>0</v>
      </c>
      <c r="I64" s="178">
        <v>0</v>
      </c>
      <c r="J64" s="80">
        <f t="shared" si="24"/>
        <v>0</v>
      </c>
      <c r="K64" s="178">
        <v>0</v>
      </c>
      <c r="L64" s="80">
        <f t="shared" si="25"/>
        <v>0</v>
      </c>
      <c r="M64" s="178">
        <v>0</v>
      </c>
      <c r="N64" s="80">
        <f t="shared" si="26"/>
        <v>0</v>
      </c>
      <c r="O64" s="178">
        <v>0</v>
      </c>
      <c r="P64" s="80">
        <f t="shared" si="27"/>
        <v>0</v>
      </c>
      <c r="Q64" s="178">
        <v>0</v>
      </c>
      <c r="R64" s="80">
        <f t="shared" si="28"/>
        <v>0</v>
      </c>
      <c r="S64" s="178">
        <v>0</v>
      </c>
      <c r="T64" s="80">
        <f t="shared" si="29"/>
        <v>0</v>
      </c>
      <c r="U64" s="178">
        <v>0</v>
      </c>
      <c r="V64" s="80">
        <f t="shared" si="30"/>
        <v>0</v>
      </c>
      <c r="X64" s="192"/>
    </row>
    <row r="65" spans="1:24" ht="12.75" customHeight="1">
      <c r="A65" s="2" t="s">
        <v>409</v>
      </c>
      <c r="B65" s="35"/>
      <c r="C65" s="178">
        <v>233.47200000000001</v>
      </c>
      <c r="D65" s="80">
        <f t="shared" si="21"/>
        <v>5.0000000000000001E-4</v>
      </c>
      <c r="E65" s="178">
        <v>0</v>
      </c>
      <c r="F65" s="80">
        <f t="shared" si="22"/>
        <v>0</v>
      </c>
      <c r="G65" s="178">
        <v>0</v>
      </c>
      <c r="H65" s="80">
        <f t="shared" si="23"/>
        <v>0</v>
      </c>
      <c r="I65" s="178">
        <v>0</v>
      </c>
      <c r="J65" s="80">
        <f t="shared" si="24"/>
        <v>0</v>
      </c>
      <c r="K65" s="178">
        <v>0</v>
      </c>
      <c r="L65" s="80">
        <f t="shared" si="25"/>
        <v>0</v>
      </c>
      <c r="M65" s="178">
        <v>0</v>
      </c>
      <c r="N65" s="80">
        <f t="shared" si="26"/>
        <v>0</v>
      </c>
      <c r="O65" s="178">
        <v>0</v>
      </c>
      <c r="P65" s="80">
        <f t="shared" si="27"/>
        <v>0</v>
      </c>
      <c r="Q65" s="178">
        <v>0</v>
      </c>
      <c r="R65" s="80">
        <f t="shared" si="28"/>
        <v>0</v>
      </c>
      <c r="S65" s="178">
        <v>0</v>
      </c>
      <c r="T65" s="80">
        <f t="shared" si="29"/>
        <v>0</v>
      </c>
      <c r="U65" s="178">
        <v>0</v>
      </c>
      <c r="V65" s="80">
        <f t="shared" si="30"/>
        <v>0</v>
      </c>
      <c r="X65" s="192"/>
    </row>
    <row r="66" spans="1:24" ht="12.75" customHeight="1">
      <c r="A66" s="2" t="s">
        <v>410</v>
      </c>
      <c r="B66" s="35"/>
      <c r="C66" s="178">
        <v>1307.4431999999999</v>
      </c>
      <c r="D66" s="80">
        <f t="shared" si="21"/>
        <v>2.8E-3</v>
      </c>
      <c r="E66" s="178">
        <v>0</v>
      </c>
      <c r="F66" s="80">
        <f t="shared" si="22"/>
        <v>0</v>
      </c>
      <c r="G66" s="178">
        <v>0</v>
      </c>
      <c r="H66" s="80">
        <f t="shared" si="23"/>
        <v>0</v>
      </c>
      <c r="I66" s="178">
        <v>0</v>
      </c>
      <c r="J66" s="80">
        <f t="shared" si="24"/>
        <v>0</v>
      </c>
      <c r="K66" s="178">
        <v>0</v>
      </c>
      <c r="L66" s="80">
        <f t="shared" si="25"/>
        <v>0</v>
      </c>
      <c r="M66" s="178">
        <v>0</v>
      </c>
      <c r="N66" s="80">
        <f t="shared" si="26"/>
        <v>0</v>
      </c>
      <c r="O66" s="178">
        <v>0</v>
      </c>
      <c r="P66" s="80">
        <f t="shared" si="27"/>
        <v>0</v>
      </c>
      <c r="Q66" s="178">
        <v>0</v>
      </c>
      <c r="R66" s="80">
        <f t="shared" si="28"/>
        <v>0</v>
      </c>
      <c r="S66" s="178">
        <v>0</v>
      </c>
      <c r="T66" s="80">
        <f t="shared" si="29"/>
        <v>0</v>
      </c>
      <c r="U66" s="178">
        <v>0</v>
      </c>
      <c r="V66" s="80">
        <f t="shared" si="30"/>
        <v>0</v>
      </c>
      <c r="X66" s="192"/>
    </row>
    <row r="67" spans="1:24" ht="12.75" customHeight="1">
      <c r="A67" s="2" t="s">
        <v>411</v>
      </c>
      <c r="B67" s="35"/>
      <c r="C67" s="178">
        <v>7004.16</v>
      </c>
      <c r="D67" s="80">
        <f t="shared" si="21"/>
        <v>1.4999999999999999E-2</v>
      </c>
      <c r="E67" s="178">
        <v>0</v>
      </c>
      <c r="F67" s="80">
        <f t="shared" si="22"/>
        <v>0</v>
      </c>
      <c r="G67" s="178">
        <v>0</v>
      </c>
      <c r="H67" s="80">
        <f t="shared" si="23"/>
        <v>0</v>
      </c>
      <c r="I67" s="178">
        <v>0</v>
      </c>
      <c r="J67" s="80">
        <f t="shared" si="24"/>
        <v>0</v>
      </c>
      <c r="K67" s="178">
        <v>0</v>
      </c>
      <c r="L67" s="80">
        <f t="shared" si="25"/>
        <v>0</v>
      </c>
      <c r="M67" s="178">
        <v>0</v>
      </c>
      <c r="N67" s="80">
        <f t="shared" si="26"/>
        <v>0</v>
      </c>
      <c r="O67" s="178">
        <v>0</v>
      </c>
      <c r="P67" s="80">
        <f t="shared" si="27"/>
        <v>0</v>
      </c>
      <c r="Q67" s="178">
        <v>0</v>
      </c>
      <c r="R67" s="80">
        <f t="shared" si="28"/>
        <v>0</v>
      </c>
      <c r="S67" s="178">
        <v>0</v>
      </c>
      <c r="T67" s="80">
        <f t="shared" si="29"/>
        <v>0</v>
      </c>
      <c r="U67" s="178">
        <v>0</v>
      </c>
      <c r="V67" s="80">
        <f t="shared" si="30"/>
        <v>0</v>
      </c>
      <c r="X67" s="192"/>
    </row>
    <row r="68" spans="1:24" ht="12.75" customHeight="1">
      <c r="A68" s="2" t="s">
        <v>412</v>
      </c>
      <c r="B68" s="35"/>
      <c r="C68" s="178">
        <v>793.80479999999989</v>
      </c>
      <c r="D68" s="80">
        <f t="shared" si="21"/>
        <v>1.6999999999999997E-3</v>
      </c>
      <c r="E68" s="178">
        <v>0</v>
      </c>
      <c r="F68" s="80">
        <f t="shared" si="22"/>
        <v>0</v>
      </c>
      <c r="G68" s="178">
        <v>0</v>
      </c>
      <c r="H68" s="80">
        <f t="shared" si="23"/>
        <v>0</v>
      </c>
      <c r="I68" s="178">
        <v>0</v>
      </c>
      <c r="J68" s="80">
        <f t="shared" si="24"/>
        <v>0</v>
      </c>
      <c r="K68" s="178">
        <v>0</v>
      </c>
      <c r="L68" s="80">
        <f t="shared" si="25"/>
        <v>0</v>
      </c>
      <c r="M68" s="178">
        <v>0</v>
      </c>
      <c r="N68" s="80">
        <f t="shared" si="26"/>
        <v>0</v>
      </c>
      <c r="O68" s="178">
        <v>0</v>
      </c>
      <c r="P68" s="80">
        <f t="shared" si="27"/>
        <v>0</v>
      </c>
      <c r="Q68" s="178">
        <v>0</v>
      </c>
      <c r="R68" s="80">
        <f t="shared" si="28"/>
        <v>0</v>
      </c>
      <c r="S68" s="178">
        <v>0</v>
      </c>
      <c r="T68" s="80">
        <f t="shared" si="29"/>
        <v>0</v>
      </c>
      <c r="U68" s="178">
        <v>0</v>
      </c>
      <c r="V68" s="80">
        <f t="shared" si="30"/>
        <v>0</v>
      </c>
      <c r="X68" s="192"/>
    </row>
    <row r="69" spans="1:24" ht="12.75" customHeight="1">
      <c r="A69" s="2" t="s">
        <v>413</v>
      </c>
      <c r="B69" s="35"/>
      <c r="C69" s="178">
        <v>0</v>
      </c>
      <c r="D69" s="80">
        <f t="shared" si="21"/>
        <v>0</v>
      </c>
      <c r="E69" s="178">
        <v>0</v>
      </c>
      <c r="F69" s="80">
        <f t="shared" si="22"/>
        <v>0</v>
      </c>
      <c r="G69" s="178">
        <v>0</v>
      </c>
      <c r="H69" s="80">
        <f t="shared" si="23"/>
        <v>0</v>
      </c>
      <c r="I69" s="178">
        <v>0</v>
      </c>
      <c r="J69" s="80">
        <f t="shared" si="24"/>
        <v>0</v>
      </c>
      <c r="K69" s="178">
        <v>0</v>
      </c>
      <c r="L69" s="80">
        <f t="shared" si="25"/>
        <v>0</v>
      </c>
      <c r="M69" s="178">
        <v>0</v>
      </c>
      <c r="N69" s="80">
        <f t="shared" si="26"/>
        <v>0</v>
      </c>
      <c r="O69" s="178">
        <v>0</v>
      </c>
      <c r="P69" s="80">
        <f t="shared" si="27"/>
        <v>0</v>
      </c>
      <c r="Q69" s="178">
        <v>0</v>
      </c>
      <c r="R69" s="80">
        <f t="shared" si="28"/>
        <v>0</v>
      </c>
      <c r="S69" s="178">
        <v>0</v>
      </c>
      <c r="T69" s="80">
        <f t="shared" si="29"/>
        <v>0</v>
      </c>
      <c r="U69" s="178">
        <v>0</v>
      </c>
      <c r="V69" s="80">
        <f t="shared" si="30"/>
        <v>0</v>
      </c>
      <c r="X69" s="192"/>
    </row>
    <row r="70" spans="1:24" ht="12.75" customHeight="1">
      <c r="A70" s="2" t="s">
        <v>414</v>
      </c>
      <c r="B70" s="35"/>
      <c r="C70" s="178">
        <v>46.694400000000009</v>
      </c>
      <c r="D70" s="80">
        <f t="shared" si="21"/>
        <v>1.0000000000000002E-4</v>
      </c>
      <c r="E70" s="178">
        <v>0</v>
      </c>
      <c r="F70" s="80">
        <f t="shared" si="22"/>
        <v>0</v>
      </c>
      <c r="G70" s="178">
        <v>0</v>
      </c>
      <c r="H70" s="80">
        <f t="shared" si="23"/>
        <v>0</v>
      </c>
      <c r="I70" s="178">
        <v>0</v>
      </c>
      <c r="J70" s="80">
        <f t="shared" si="24"/>
        <v>0</v>
      </c>
      <c r="K70" s="178">
        <v>0</v>
      </c>
      <c r="L70" s="80">
        <f t="shared" si="25"/>
        <v>0</v>
      </c>
      <c r="M70" s="178">
        <v>0</v>
      </c>
      <c r="N70" s="80">
        <f t="shared" si="26"/>
        <v>0</v>
      </c>
      <c r="O70" s="178">
        <v>0</v>
      </c>
      <c r="P70" s="80">
        <f t="shared" si="27"/>
        <v>0</v>
      </c>
      <c r="Q70" s="178">
        <v>0</v>
      </c>
      <c r="R70" s="80">
        <f t="shared" si="28"/>
        <v>0</v>
      </c>
      <c r="S70" s="178">
        <v>0</v>
      </c>
      <c r="T70" s="80">
        <f t="shared" si="29"/>
        <v>0</v>
      </c>
      <c r="U70" s="178">
        <v>0</v>
      </c>
      <c r="V70" s="80">
        <f t="shared" si="30"/>
        <v>0</v>
      </c>
      <c r="X70" s="192"/>
    </row>
    <row r="71" spans="1:24" ht="12.75" customHeight="1">
      <c r="A71" s="2" t="s">
        <v>415</v>
      </c>
      <c r="B71" s="35"/>
      <c r="C71" s="178">
        <v>0</v>
      </c>
      <c r="D71" s="80">
        <f t="shared" si="21"/>
        <v>0</v>
      </c>
      <c r="E71" s="178">
        <v>0</v>
      </c>
      <c r="F71" s="80">
        <f t="shared" si="22"/>
        <v>0</v>
      </c>
      <c r="G71" s="178">
        <v>0</v>
      </c>
      <c r="H71" s="80">
        <f t="shared" si="23"/>
        <v>0</v>
      </c>
      <c r="I71" s="178">
        <v>0</v>
      </c>
      <c r="J71" s="80">
        <f t="shared" si="24"/>
        <v>0</v>
      </c>
      <c r="K71" s="178">
        <v>0</v>
      </c>
      <c r="L71" s="80">
        <f t="shared" si="25"/>
        <v>0</v>
      </c>
      <c r="M71" s="178">
        <v>0</v>
      </c>
      <c r="N71" s="80">
        <f t="shared" si="26"/>
        <v>0</v>
      </c>
      <c r="O71" s="178">
        <v>0</v>
      </c>
      <c r="P71" s="80">
        <f t="shared" si="27"/>
        <v>0</v>
      </c>
      <c r="Q71" s="178">
        <v>0</v>
      </c>
      <c r="R71" s="80">
        <f t="shared" si="28"/>
        <v>0</v>
      </c>
      <c r="S71" s="178">
        <v>0</v>
      </c>
      <c r="T71" s="80">
        <f t="shared" si="29"/>
        <v>0</v>
      </c>
      <c r="U71" s="178">
        <v>0</v>
      </c>
      <c r="V71" s="80">
        <f t="shared" si="30"/>
        <v>0</v>
      </c>
      <c r="X71" s="192"/>
    </row>
    <row r="72" spans="1:24" ht="12.75" customHeight="1">
      <c r="A72" s="2" t="s">
        <v>416</v>
      </c>
      <c r="B72" s="35"/>
      <c r="C72" s="178">
        <v>0</v>
      </c>
      <c r="D72" s="80">
        <f t="shared" si="21"/>
        <v>0</v>
      </c>
      <c r="E72" s="178">
        <v>0</v>
      </c>
      <c r="F72" s="80">
        <f t="shared" si="22"/>
        <v>0</v>
      </c>
      <c r="G72" s="178">
        <v>0</v>
      </c>
      <c r="H72" s="80">
        <f t="shared" si="23"/>
        <v>0</v>
      </c>
      <c r="I72" s="178">
        <v>0</v>
      </c>
      <c r="J72" s="80">
        <f t="shared" si="24"/>
        <v>0</v>
      </c>
      <c r="K72" s="178">
        <v>0</v>
      </c>
      <c r="L72" s="80">
        <f t="shared" si="25"/>
        <v>0</v>
      </c>
      <c r="M72" s="178">
        <v>0</v>
      </c>
      <c r="N72" s="80">
        <f t="shared" si="26"/>
        <v>0</v>
      </c>
      <c r="O72" s="178">
        <v>0</v>
      </c>
      <c r="P72" s="80">
        <f t="shared" si="27"/>
        <v>0</v>
      </c>
      <c r="Q72" s="178">
        <v>0</v>
      </c>
      <c r="R72" s="80">
        <f t="shared" si="28"/>
        <v>0</v>
      </c>
      <c r="S72" s="178">
        <v>0</v>
      </c>
      <c r="T72" s="80">
        <f t="shared" si="29"/>
        <v>0</v>
      </c>
      <c r="U72" s="178">
        <v>0</v>
      </c>
      <c r="V72" s="80">
        <f t="shared" si="30"/>
        <v>0</v>
      </c>
      <c r="X72" s="192"/>
    </row>
    <row r="73" spans="1:24" ht="12.75" customHeight="1">
      <c r="A73" s="2" t="s">
        <v>417</v>
      </c>
      <c r="B73" s="35"/>
      <c r="C73" s="178">
        <v>0</v>
      </c>
      <c r="D73" s="80">
        <f t="shared" si="21"/>
        <v>0</v>
      </c>
      <c r="E73" s="178">
        <v>0</v>
      </c>
      <c r="F73" s="80">
        <f t="shared" si="22"/>
        <v>0</v>
      </c>
      <c r="G73" s="178">
        <v>0</v>
      </c>
      <c r="H73" s="80">
        <f t="shared" si="23"/>
        <v>0</v>
      </c>
      <c r="I73" s="178">
        <v>0</v>
      </c>
      <c r="J73" s="80">
        <f t="shared" si="24"/>
        <v>0</v>
      </c>
      <c r="K73" s="178">
        <v>0</v>
      </c>
      <c r="L73" s="80">
        <f t="shared" si="25"/>
        <v>0</v>
      </c>
      <c r="M73" s="178">
        <v>0</v>
      </c>
      <c r="N73" s="80">
        <f t="shared" si="26"/>
        <v>0</v>
      </c>
      <c r="O73" s="178">
        <v>0</v>
      </c>
      <c r="P73" s="80">
        <f t="shared" si="27"/>
        <v>0</v>
      </c>
      <c r="Q73" s="178">
        <v>0</v>
      </c>
      <c r="R73" s="80">
        <f t="shared" si="28"/>
        <v>0</v>
      </c>
      <c r="S73" s="178">
        <v>0</v>
      </c>
      <c r="T73" s="80">
        <f t="shared" si="29"/>
        <v>0</v>
      </c>
      <c r="U73" s="178">
        <v>0</v>
      </c>
      <c r="V73" s="80">
        <f t="shared" si="30"/>
        <v>0</v>
      </c>
      <c r="X73" s="192"/>
    </row>
    <row r="74" spans="1:24" ht="12.75" customHeight="1">
      <c r="A74" s="2" t="s">
        <v>418</v>
      </c>
      <c r="B74" s="35"/>
      <c r="C74" s="178">
        <v>0</v>
      </c>
      <c r="D74" s="80">
        <f t="shared" si="21"/>
        <v>0</v>
      </c>
      <c r="E74" s="178">
        <v>0</v>
      </c>
      <c r="F74" s="80">
        <f t="shared" si="22"/>
        <v>0</v>
      </c>
      <c r="G74" s="178">
        <v>0</v>
      </c>
      <c r="H74" s="80">
        <f t="shared" si="23"/>
        <v>0</v>
      </c>
      <c r="I74" s="178">
        <v>0</v>
      </c>
      <c r="J74" s="80">
        <f t="shared" si="24"/>
        <v>0</v>
      </c>
      <c r="K74" s="178">
        <v>0</v>
      </c>
      <c r="L74" s="80">
        <f t="shared" si="25"/>
        <v>0</v>
      </c>
      <c r="M74" s="178">
        <v>0</v>
      </c>
      <c r="N74" s="80">
        <f t="shared" si="26"/>
        <v>0</v>
      </c>
      <c r="O74" s="178">
        <v>0</v>
      </c>
      <c r="P74" s="80">
        <f t="shared" si="27"/>
        <v>0</v>
      </c>
      <c r="Q74" s="178">
        <v>0</v>
      </c>
      <c r="R74" s="80">
        <f t="shared" si="28"/>
        <v>0</v>
      </c>
      <c r="S74" s="178">
        <v>0</v>
      </c>
      <c r="T74" s="80">
        <f t="shared" si="29"/>
        <v>0</v>
      </c>
      <c r="U74" s="178">
        <v>0</v>
      </c>
      <c r="V74" s="80">
        <f t="shared" si="30"/>
        <v>0</v>
      </c>
      <c r="X74" s="192"/>
    </row>
    <row r="75" spans="1:24" ht="12.75" customHeight="1">
      <c r="A75" s="2" t="s">
        <v>419</v>
      </c>
      <c r="B75" s="35"/>
      <c r="C75" s="178">
        <v>2101.248</v>
      </c>
      <c r="D75" s="80">
        <f t="shared" si="21"/>
        <v>4.5000000000000005E-3</v>
      </c>
      <c r="E75" s="178">
        <v>0</v>
      </c>
      <c r="F75" s="80">
        <f t="shared" si="22"/>
        <v>0</v>
      </c>
      <c r="G75" s="178">
        <v>0</v>
      </c>
      <c r="H75" s="80">
        <f t="shared" si="23"/>
        <v>0</v>
      </c>
      <c r="I75" s="178">
        <v>0</v>
      </c>
      <c r="J75" s="80">
        <f t="shared" si="24"/>
        <v>0</v>
      </c>
      <c r="K75" s="178">
        <v>0</v>
      </c>
      <c r="L75" s="80">
        <f t="shared" si="25"/>
        <v>0</v>
      </c>
      <c r="M75" s="178">
        <v>0</v>
      </c>
      <c r="N75" s="80">
        <f t="shared" si="26"/>
        <v>0</v>
      </c>
      <c r="O75" s="178">
        <v>0</v>
      </c>
      <c r="P75" s="80">
        <f t="shared" si="27"/>
        <v>0</v>
      </c>
      <c r="Q75" s="178">
        <v>0</v>
      </c>
      <c r="R75" s="80">
        <f t="shared" si="28"/>
        <v>0</v>
      </c>
      <c r="S75" s="178">
        <v>0</v>
      </c>
      <c r="T75" s="80">
        <f t="shared" si="29"/>
        <v>0</v>
      </c>
      <c r="U75" s="178">
        <v>0</v>
      </c>
      <c r="V75" s="80">
        <f t="shared" si="30"/>
        <v>0</v>
      </c>
      <c r="X75" s="192"/>
    </row>
    <row r="76" spans="1:24" ht="12.75" customHeight="1">
      <c r="A76" s="2" t="s">
        <v>420</v>
      </c>
      <c r="B76" s="35"/>
      <c r="C76" s="178">
        <v>186.77760000000004</v>
      </c>
      <c r="D76" s="80">
        <f t="shared" si="21"/>
        <v>4.0000000000000007E-4</v>
      </c>
      <c r="E76" s="178">
        <v>0</v>
      </c>
      <c r="F76" s="80">
        <f t="shared" si="22"/>
        <v>0</v>
      </c>
      <c r="G76" s="178">
        <v>0</v>
      </c>
      <c r="H76" s="80">
        <f t="shared" si="23"/>
        <v>0</v>
      </c>
      <c r="I76" s="178">
        <v>0</v>
      </c>
      <c r="J76" s="80">
        <f t="shared" si="24"/>
        <v>0</v>
      </c>
      <c r="K76" s="178">
        <v>0</v>
      </c>
      <c r="L76" s="80">
        <f t="shared" si="25"/>
        <v>0</v>
      </c>
      <c r="M76" s="178">
        <v>0</v>
      </c>
      <c r="N76" s="80">
        <f t="shared" si="26"/>
        <v>0</v>
      </c>
      <c r="O76" s="178">
        <v>0</v>
      </c>
      <c r="P76" s="80">
        <f t="shared" si="27"/>
        <v>0</v>
      </c>
      <c r="Q76" s="178">
        <v>0</v>
      </c>
      <c r="R76" s="80">
        <f t="shared" si="28"/>
        <v>0</v>
      </c>
      <c r="S76" s="178">
        <v>0</v>
      </c>
      <c r="T76" s="80">
        <f t="shared" si="29"/>
        <v>0</v>
      </c>
      <c r="U76" s="178">
        <v>0</v>
      </c>
      <c r="V76" s="80">
        <f t="shared" si="30"/>
        <v>0</v>
      </c>
      <c r="X76" s="192"/>
    </row>
    <row r="77" spans="1:24" ht="12.75" customHeight="1">
      <c r="A77" s="2" t="s">
        <v>421</v>
      </c>
      <c r="B77" s="35"/>
      <c r="C77" s="178">
        <v>607.02719999999999</v>
      </c>
      <c r="D77" s="80">
        <f t="shared" si="21"/>
        <v>1.2999999999999999E-3</v>
      </c>
      <c r="E77" s="178">
        <v>0</v>
      </c>
      <c r="F77" s="80">
        <f t="shared" si="22"/>
        <v>0</v>
      </c>
      <c r="G77" s="178">
        <v>0</v>
      </c>
      <c r="H77" s="80">
        <f t="shared" si="23"/>
        <v>0</v>
      </c>
      <c r="I77" s="178">
        <v>0</v>
      </c>
      <c r="J77" s="80">
        <f t="shared" si="24"/>
        <v>0</v>
      </c>
      <c r="K77" s="178">
        <v>0</v>
      </c>
      <c r="L77" s="80">
        <f t="shared" si="25"/>
        <v>0</v>
      </c>
      <c r="M77" s="178">
        <v>0</v>
      </c>
      <c r="N77" s="80">
        <f t="shared" si="26"/>
        <v>0</v>
      </c>
      <c r="O77" s="178">
        <v>0</v>
      </c>
      <c r="P77" s="80">
        <f t="shared" si="27"/>
        <v>0</v>
      </c>
      <c r="Q77" s="178">
        <v>0</v>
      </c>
      <c r="R77" s="80">
        <f t="shared" si="28"/>
        <v>0</v>
      </c>
      <c r="S77" s="178">
        <v>0</v>
      </c>
      <c r="T77" s="80">
        <f t="shared" si="29"/>
        <v>0</v>
      </c>
      <c r="U77" s="178">
        <v>0</v>
      </c>
      <c r="V77" s="80">
        <f t="shared" si="30"/>
        <v>0</v>
      </c>
      <c r="X77" s="192"/>
    </row>
    <row r="78" spans="1:24" ht="12.75" customHeight="1">
      <c r="A78" s="2" t="s">
        <v>422</v>
      </c>
      <c r="B78" s="35"/>
      <c r="C78" s="178">
        <v>10272.768</v>
      </c>
      <c r="D78" s="80">
        <f t="shared" si="21"/>
        <v>2.1999999999999999E-2</v>
      </c>
      <c r="E78" s="178">
        <v>0</v>
      </c>
      <c r="F78" s="80">
        <f t="shared" si="22"/>
        <v>0</v>
      </c>
      <c r="G78" s="178">
        <v>0</v>
      </c>
      <c r="H78" s="80">
        <f t="shared" si="23"/>
        <v>0</v>
      </c>
      <c r="I78" s="178">
        <v>0</v>
      </c>
      <c r="J78" s="80">
        <f t="shared" si="24"/>
        <v>0</v>
      </c>
      <c r="K78" s="178">
        <v>0</v>
      </c>
      <c r="L78" s="80">
        <f t="shared" si="25"/>
        <v>0</v>
      </c>
      <c r="M78" s="178">
        <v>0</v>
      </c>
      <c r="N78" s="80">
        <f t="shared" si="26"/>
        <v>0</v>
      </c>
      <c r="O78" s="178">
        <v>0</v>
      </c>
      <c r="P78" s="80">
        <f t="shared" si="27"/>
        <v>0</v>
      </c>
      <c r="Q78" s="178">
        <v>0</v>
      </c>
      <c r="R78" s="80">
        <f t="shared" si="28"/>
        <v>0</v>
      </c>
      <c r="S78" s="178">
        <v>0</v>
      </c>
      <c r="T78" s="80">
        <f t="shared" si="29"/>
        <v>0</v>
      </c>
      <c r="U78" s="178">
        <v>0</v>
      </c>
      <c r="V78" s="80">
        <f t="shared" si="30"/>
        <v>0</v>
      </c>
      <c r="X78" s="192"/>
    </row>
    <row r="79" spans="1:24" ht="12.75" customHeight="1">
      <c r="A79" s="2" t="s">
        <v>423</v>
      </c>
      <c r="B79" s="35"/>
      <c r="C79" s="178">
        <v>0</v>
      </c>
      <c r="D79" s="80">
        <f t="shared" si="21"/>
        <v>0</v>
      </c>
      <c r="E79" s="178">
        <v>0</v>
      </c>
      <c r="F79" s="80">
        <f t="shared" si="22"/>
        <v>0</v>
      </c>
      <c r="G79" s="178">
        <v>0</v>
      </c>
      <c r="H79" s="80">
        <f t="shared" si="23"/>
        <v>0</v>
      </c>
      <c r="I79" s="178">
        <v>0</v>
      </c>
      <c r="J79" s="80">
        <f t="shared" si="24"/>
        <v>0</v>
      </c>
      <c r="K79" s="178">
        <v>0</v>
      </c>
      <c r="L79" s="80">
        <f t="shared" si="25"/>
        <v>0</v>
      </c>
      <c r="M79" s="178">
        <v>0</v>
      </c>
      <c r="N79" s="80">
        <f t="shared" si="26"/>
        <v>0</v>
      </c>
      <c r="O79" s="178">
        <v>0</v>
      </c>
      <c r="P79" s="80">
        <f t="shared" si="27"/>
        <v>0</v>
      </c>
      <c r="Q79" s="178">
        <v>0</v>
      </c>
      <c r="R79" s="80">
        <f t="shared" si="28"/>
        <v>0</v>
      </c>
      <c r="S79" s="178">
        <v>0</v>
      </c>
      <c r="T79" s="80">
        <f t="shared" si="29"/>
        <v>0</v>
      </c>
      <c r="U79" s="178">
        <v>0</v>
      </c>
      <c r="V79" s="80">
        <f t="shared" si="30"/>
        <v>0</v>
      </c>
      <c r="X79" s="192"/>
    </row>
    <row r="80" spans="1:24" ht="12.75" customHeight="1">
      <c r="A80" s="2" t="s">
        <v>424</v>
      </c>
      <c r="B80" s="35"/>
      <c r="C80" s="178">
        <v>0</v>
      </c>
      <c r="D80" s="80">
        <f t="shared" si="21"/>
        <v>0</v>
      </c>
      <c r="E80" s="178">
        <v>0</v>
      </c>
      <c r="F80" s="80">
        <f t="shared" si="22"/>
        <v>0</v>
      </c>
      <c r="G80" s="178">
        <v>0</v>
      </c>
      <c r="H80" s="80">
        <f t="shared" si="23"/>
        <v>0</v>
      </c>
      <c r="I80" s="178">
        <v>0</v>
      </c>
      <c r="J80" s="80">
        <f t="shared" si="24"/>
        <v>0</v>
      </c>
      <c r="K80" s="178">
        <v>0</v>
      </c>
      <c r="L80" s="80">
        <f t="shared" si="25"/>
        <v>0</v>
      </c>
      <c r="M80" s="178">
        <v>0</v>
      </c>
      <c r="N80" s="80">
        <f t="shared" si="26"/>
        <v>0</v>
      </c>
      <c r="O80" s="178">
        <v>0</v>
      </c>
      <c r="P80" s="80">
        <f t="shared" si="27"/>
        <v>0</v>
      </c>
      <c r="Q80" s="178">
        <v>0</v>
      </c>
      <c r="R80" s="80">
        <f t="shared" si="28"/>
        <v>0</v>
      </c>
      <c r="S80" s="178">
        <v>0</v>
      </c>
      <c r="T80" s="80">
        <f t="shared" si="29"/>
        <v>0</v>
      </c>
      <c r="U80" s="178">
        <v>0</v>
      </c>
      <c r="V80" s="80">
        <f t="shared" si="30"/>
        <v>0</v>
      </c>
      <c r="X80" s="192"/>
    </row>
    <row r="81" spans="1:24" ht="12.75" customHeight="1">
      <c r="A81" s="2" t="s">
        <v>425</v>
      </c>
      <c r="B81" s="35"/>
      <c r="C81" s="178">
        <v>0</v>
      </c>
      <c r="D81" s="80">
        <f t="shared" si="21"/>
        <v>0</v>
      </c>
      <c r="E81" s="178">
        <v>0</v>
      </c>
      <c r="F81" s="80">
        <f t="shared" si="22"/>
        <v>0</v>
      </c>
      <c r="G81" s="178">
        <v>0</v>
      </c>
      <c r="H81" s="80">
        <f t="shared" si="23"/>
        <v>0</v>
      </c>
      <c r="I81" s="178">
        <v>0</v>
      </c>
      <c r="J81" s="80">
        <f t="shared" si="24"/>
        <v>0</v>
      </c>
      <c r="K81" s="178">
        <v>0</v>
      </c>
      <c r="L81" s="80">
        <f t="shared" si="25"/>
        <v>0</v>
      </c>
      <c r="M81" s="178">
        <v>0</v>
      </c>
      <c r="N81" s="80">
        <f t="shared" si="26"/>
        <v>0</v>
      </c>
      <c r="O81" s="178">
        <v>0</v>
      </c>
      <c r="P81" s="80">
        <f t="shared" si="27"/>
        <v>0</v>
      </c>
      <c r="Q81" s="178">
        <v>0</v>
      </c>
      <c r="R81" s="80">
        <f t="shared" si="28"/>
        <v>0</v>
      </c>
      <c r="S81" s="178">
        <v>0</v>
      </c>
      <c r="T81" s="80">
        <f t="shared" si="29"/>
        <v>0</v>
      </c>
      <c r="U81" s="178">
        <v>0</v>
      </c>
      <c r="V81" s="80">
        <f t="shared" si="30"/>
        <v>0</v>
      </c>
      <c r="X81" s="192"/>
    </row>
    <row r="82" spans="1:24" ht="12.75" customHeight="1">
      <c r="A82" s="2" t="s">
        <v>426</v>
      </c>
      <c r="B82" s="35"/>
      <c r="C82" s="178">
        <v>0</v>
      </c>
      <c r="D82" s="80">
        <f t="shared" si="21"/>
        <v>0</v>
      </c>
      <c r="E82" s="178">
        <v>0</v>
      </c>
      <c r="F82" s="80">
        <f t="shared" si="22"/>
        <v>0</v>
      </c>
      <c r="G82" s="178">
        <v>0</v>
      </c>
      <c r="H82" s="80">
        <f t="shared" si="23"/>
        <v>0</v>
      </c>
      <c r="I82" s="178">
        <v>0</v>
      </c>
      <c r="J82" s="80">
        <f t="shared" si="24"/>
        <v>0</v>
      </c>
      <c r="K82" s="178">
        <v>0</v>
      </c>
      <c r="L82" s="80">
        <f t="shared" si="25"/>
        <v>0</v>
      </c>
      <c r="M82" s="178">
        <v>0</v>
      </c>
      <c r="N82" s="80">
        <f t="shared" si="26"/>
        <v>0</v>
      </c>
      <c r="O82" s="178">
        <v>0</v>
      </c>
      <c r="P82" s="80">
        <f t="shared" si="27"/>
        <v>0</v>
      </c>
      <c r="Q82" s="178">
        <v>0</v>
      </c>
      <c r="R82" s="80">
        <f t="shared" si="28"/>
        <v>0</v>
      </c>
      <c r="S82" s="178">
        <v>0</v>
      </c>
      <c r="T82" s="80">
        <f t="shared" si="29"/>
        <v>0</v>
      </c>
      <c r="U82" s="178">
        <v>0</v>
      </c>
      <c r="V82" s="80">
        <f t="shared" si="30"/>
        <v>0</v>
      </c>
      <c r="X82" s="192"/>
    </row>
    <row r="83" spans="1:24" ht="12.75" customHeight="1">
      <c r="A83" s="2" t="s">
        <v>427</v>
      </c>
      <c r="B83" s="35"/>
      <c r="C83" s="178">
        <v>0</v>
      </c>
      <c r="D83" s="80">
        <f t="shared" si="21"/>
        <v>0</v>
      </c>
      <c r="E83" s="178">
        <v>0</v>
      </c>
      <c r="F83" s="80">
        <f t="shared" si="22"/>
        <v>0</v>
      </c>
      <c r="G83" s="178">
        <v>0</v>
      </c>
      <c r="H83" s="80">
        <f t="shared" si="23"/>
        <v>0</v>
      </c>
      <c r="I83" s="178">
        <v>0</v>
      </c>
      <c r="J83" s="80">
        <f t="shared" si="24"/>
        <v>0</v>
      </c>
      <c r="K83" s="178">
        <v>0</v>
      </c>
      <c r="L83" s="80">
        <f t="shared" si="25"/>
        <v>0</v>
      </c>
      <c r="M83" s="178">
        <v>0</v>
      </c>
      <c r="N83" s="80">
        <f t="shared" si="26"/>
        <v>0</v>
      </c>
      <c r="O83" s="178">
        <v>0</v>
      </c>
      <c r="P83" s="80">
        <f t="shared" si="27"/>
        <v>0</v>
      </c>
      <c r="Q83" s="178">
        <v>0</v>
      </c>
      <c r="R83" s="80">
        <f t="shared" si="28"/>
        <v>0</v>
      </c>
      <c r="S83" s="178">
        <v>0</v>
      </c>
      <c r="T83" s="80">
        <f t="shared" si="29"/>
        <v>0</v>
      </c>
      <c r="U83" s="178">
        <v>0</v>
      </c>
      <c r="V83" s="80">
        <f t="shared" si="30"/>
        <v>0</v>
      </c>
      <c r="X83" s="192"/>
    </row>
    <row r="84" spans="1:24" ht="12.75" customHeight="1">
      <c r="A84" s="2" t="s">
        <v>428</v>
      </c>
      <c r="B84" s="35"/>
      <c r="C84" s="178">
        <v>0</v>
      </c>
      <c r="D84" s="80">
        <f t="shared" si="21"/>
        <v>0</v>
      </c>
      <c r="E84" s="178">
        <v>0</v>
      </c>
      <c r="F84" s="80">
        <f t="shared" si="22"/>
        <v>0</v>
      </c>
      <c r="G84" s="178">
        <v>0</v>
      </c>
      <c r="H84" s="80">
        <f t="shared" si="23"/>
        <v>0</v>
      </c>
      <c r="I84" s="178">
        <v>0</v>
      </c>
      <c r="J84" s="80">
        <f t="shared" si="24"/>
        <v>0</v>
      </c>
      <c r="K84" s="178">
        <v>0</v>
      </c>
      <c r="L84" s="80">
        <f t="shared" si="25"/>
        <v>0</v>
      </c>
      <c r="M84" s="178">
        <v>0</v>
      </c>
      <c r="N84" s="80">
        <f t="shared" si="26"/>
        <v>0</v>
      </c>
      <c r="O84" s="178">
        <v>0</v>
      </c>
      <c r="P84" s="80">
        <f t="shared" si="27"/>
        <v>0</v>
      </c>
      <c r="Q84" s="178">
        <v>0</v>
      </c>
      <c r="R84" s="80">
        <f t="shared" si="28"/>
        <v>0</v>
      </c>
      <c r="S84" s="178">
        <v>0</v>
      </c>
      <c r="T84" s="80">
        <f t="shared" si="29"/>
        <v>0</v>
      </c>
      <c r="U84" s="178">
        <v>0</v>
      </c>
      <c r="V84" s="80">
        <f t="shared" si="30"/>
        <v>0</v>
      </c>
      <c r="X84" s="192"/>
    </row>
    <row r="85" spans="1:24" ht="12.75" customHeight="1">
      <c r="A85" s="2" t="s">
        <v>429</v>
      </c>
      <c r="B85" s="35"/>
      <c r="C85" s="178">
        <v>0</v>
      </c>
      <c r="D85" s="80">
        <f t="shared" si="21"/>
        <v>0</v>
      </c>
      <c r="E85" s="178">
        <v>0</v>
      </c>
      <c r="F85" s="80">
        <f t="shared" si="22"/>
        <v>0</v>
      </c>
      <c r="G85" s="178">
        <v>0</v>
      </c>
      <c r="H85" s="80">
        <f t="shared" si="23"/>
        <v>0</v>
      </c>
      <c r="I85" s="178">
        <v>0</v>
      </c>
      <c r="J85" s="80">
        <f t="shared" si="24"/>
        <v>0</v>
      </c>
      <c r="K85" s="178">
        <v>0</v>
      </c>
      <c r="L85" s="80">
        <f t="shared" si="25"/>
        <v>0</v>
      </c>
      <c r="M85" s="178">
        <v>0</v>
      </c>
      <c r="N85" s="80">
        <f t="shared" si="26"/>
        <v>0</v>
      </c>
      <c r="O85" s="178">
        <v>0</v>
      </c>
      <c r="P85" s="80">
        <f t="shared" si="27"/>
        <v>0</v>
      </c>
      <c r="Q85" s="178">
        <v>0</v>
      </c>
      <c r="R85" s="80">
        <f t="shared" si="28"/>
        <v>0</v>
      </c>
      <c r="S85" s="178">
        <v>0</v>
      </c>
      <c r="T85" s="80">
        <f t="shared" si="29"/>
        <v>0</v>
      </c>
      <c r="U85" s="178">
        <v>0</v>
      </c>
      <c r="V85" s="80">
        <f t="shared" si="30"/>
        <v>0</v>
      </c>
      <c r="X85" s="192"/>
    </row>
    <row r="86" spans="1:24" ht="12.75" customHeight="1">
      <c r="A86" s="2" t="s">
        <v>430</v>
      </c>
      <c r="B86" s="35"/>
      <c r="C86" s="178">
        <v>1867.7760000000001</v>
      </c>
      <c r="D86" s="80">
        <f t="shared" si="21"/>
        <v>4.0000000000000001E-3</v>
      </c>
      <c r="E86" s="178">
        <v>0</v>
      </c>
      <c r="F86" s="80">
        <f t="shared" si="22"/>
        <v>0</v>
      </c>
      <c r="G86" s="178">
        <v>0</v>
      </c>
      <c r="H86" s="80">
        <f t="shared" si="23"/>
        <v>0</v>
      </c>
      <c r="I86" s="178">
        <v>0</v>
      </c>
      <c r="J86" s="80">
        <f t="shared" si="24"/>
        <v>0</v>
      </c>
      <c r="K86" s="178">
        <v>0</v>
      </c>
      <c r="L86" s="80">
        <f t="shared" si="25"/>
        <v>0</v>
      </c>
      <c r="M86" s="178">
        <v>0</v>
      </c>
      <c r="N86" s="80">
        <f t="shared" si="26"/>
        <v>0</v>
      </c>
      <c r="O86" s="178">
        <v>0</v>
      </c>
      <c r="P86" s="80">
        <f t="shared" si="27"/>
        <v>0</v>
      </c>
      <c r="Q86" s="178">
        <v>0</v>
      </c>
      <c r="R86" s="80">
        <f t="shared" si="28"/>
        <v>0</v>
      </c>
      <c r="S86" s="178">
        <v>0</v>
      </c>
      <c r="T86" s="80">
        <f t="shared" si="29"/>
        <v>0</v>
      </c>
      <c r="U86" s="178">
        <v>0</v>
      </c>
      <c r="V86" s="80">
        <f t="shared" si="30"/>
        <v>0</v>
      </c>
      <c r="X86" s="192"/>
    </row>
    <row r="87" spans="1:24" ht="12.75" customHeight="1">
      <c r="A87" s="2" t="s">
        <v>431</v>
      </c>
      <c r="B87" s="35"/>
      <c r="C87" s="178">
        <v>0</v>
      </c>
      <c r="D87" s="80">
        <f t="shared" si="21"/>
        <v>0</v>
      </c>
      <c r="E87" s="178">
        <v>0</v>
      </c>
      <c r="F87" s="80">
        <f t="shared" si="22"/>
        <v>0</v>
      </c>
      <c r="G87" s="178">
        <v>0</v>
      </c>
      <c r="H87" s="80">
        <f t="shared" si="23"/>
        <v>0</v>
      </c>
      <c r="I87" s="178">
        <v>0</v>
      </c>
      <c r="J87" s="80">
        <f t="shared" si="24"/>
        <v>0</v>
      </c>
      <c r="K87" s="178">
        <v>0</v>
      </c>
      <c r="L87" s="80">
        <f t="shared" si="25"/>
        <v>0</v>
      </c>
      <c r="M87" s="178">
        <v>0</v>
      </c>
      <c r="N87" s="80">
        <f t="shared" si="26"/>
        <v>0</v>
      </c>
      <c r="O87" s="178">
        <v>0</v>
      </c>
      <c r="P87" s="80">
        <f t="shared" si="27"/>
        <v>0</v>
      </c>
      <c r="Q87" s="178">
        <v>0</v>
      </c>
      <c r="R87" s="80">
        <f t="shared" si="28"/>
        <v>0</v>
      </c>
      <c r="S87" s="178">
        <v>0</v>
      </c>
      <c r="T87" s="80">
        <f t="shared" si="29"/>
        <v>0</v>
      </c>
      <c r="U87" s="178">
        <v>0</v>
      </c>
      <c r="V87" s="80">
        <f t="shared" si="30"/>
        <v>0</v>
      </c>
      <c r="X87" s="192"/>
    </row>
    <row r="88" spans="1:24" ht="12.75" customHeight="1">
      <c r="A88" s="2" t="s">
        <v>432</v>
      </c>
      <c r="B88" s="35"/>
      <c r="C88" s="178">
        <v>2381.4144000000001</v>
      </c>
      <c r="D88" s="80">
        <f t="shared" si="21"/>
        <v>5.1000000000000004E-3</v>
      </c>
      <c r="E88" s="178">
        <v>0</v>
      </c>
      <c r="F88" s="80">
        <f t="shared" si="22"/>
        <v>0</v>
      </c>
      <c r="G88" s="178">
        <v>0</v>
      </c>
      <c r="H88" s="80">
        <f t="shared" si="23"/>
        <v>0</v>
      </c>
      <c r="I88" s="178">
        <v>0</v>
      </c>
      <c r="J88" s="80">
        <f t="shared" si="24"/>
        <v>0</v>
      </c>
      <c r="K88" s="178">
        <v>0</v>
      </c>
      <c r="L88" s="80">
        <f t="shared" si="25"/>
        <v>0</v>
      </c>
      <c r="M88" s="178">
        <v>0</v>
      </c>
      <c r="N88" s="80">
        <f t="shared" si="26"/>
        <v>0</v>
      </c>
      <c r="O88" s="178">
        <v>0</v>
      </c>
      <c r="P88" s="80">
        <f t="shared" si="27"/>
        <v>0</v>
      </c>
      <c r="Q88" s="178">
        <v>0</v>
      </c>
      <c r="R88" s="80">
        <f t="shared" si="28"/>
        <v>0</v>
      </c>
      <c r="S88" s="178">
        <v>0</v>
      </c>
      <c r="T88" s="80">
        <f t="shared" si="29"/>
        <v>0</v>
      </c>
      <c r="U88" s="178">
        <v>0</v>
      </c>
      <c r="V88" s="80">
        <f t="shared" si="30"/>
        <v>0</v>
      </c>
      <c r="X88" s="192"/>
    </row>
    <row r="89" spans="1:24" ht="12.75" customHeight="1">
      <c r="A89" s="2" t="s">
        <v>433</v>
      </c>
      <c r="B89" s="35"/>
      <c r="C89" s="178">
        <v>0</v>
      </c>
      <c r="D89" s="80">
        <f t="shared" si="21"/>
        <v>0</v>
      </c>
      <c r="E89" s="178">
        <v>0</v>
      </c>
      <c r="F89" s="80">
        <f t="shared" si="22"/>
        <v>0</v>
      </c>
      <c r="G89" s="178">
        <v>0</v>
      </c>
      <c r="H89" s="80">
        <f t="shared" si="23"/>
        <v>0</v>
      </c>
      <c r="I89" s="178">
        <v>0</v>
      </c>
      <c r="J89" s="80">
        <f t="shared" si="24"/>
        <v>0</v>
      </c>
      <c r="K89" s="178">
        <v>0</v>
      </c>
      <c r="L89" s="80">
        <f t="shared" si="25"/>
        <v>0</v>
      </c>
      <c r="M89" s="178">
        <v>0</v>
      </c>
      <c r="N89" s="80">
        <f t="shared" si="26"/>
        <v>0</v>
      </c>
      <c r="O89" s="178">
        <v>0</v>
      </c>
      <c r="P89" s="80">
        <f t="shared" si="27"/>
        <v>0</v>
      </c>
      <c r="Q89" s="178">
        <v>0</v>
      </c>
      <c r="R89" s="80">
        <f t="shared" si="28"/>
        <v>0</v>
      </c>
      <c r="S89" s="178">
        <v>0</v>
      </c>
      <c r="T89" s="80">
        <f t="shared" si="29"/>
        <v>0</v>
      </c>
      <c r="U89" s="178">
        <v>0</v>
      </c>
      <c r="V89" s="80">
        <f t="shared" si="30"/>
        <v>0</v>
      </c>
      <c r="X89" s="192"/>
    </row>
    <row r="90" spans="1:24" ht="12.75" customHeight="1">
      <c r="A90" s="2" t="s">
        <v>434</v>
      </c>
      <c r="B90" s="35"/>
      <c r="C90" s="178">
        <v>93.388800000000018</v>
      </c>
      <c r="D90" s="80">
        <f t="shared" si="21"/>
        <v>2.0000000000000004E-4</v>
      </c>
      <c r="E90" s="178">
        <v>0</v>
      </c>
      <c r="F90" s="80">
        <f t="shared" si="22"/>
        <v>0</v>
      </c>
      <c r="G90" s="178">
        <v>0</v>
      </c>
      <c r="H90" s="80">
        <f t="shared" si="23"/>
        <v>0</v>
      </c>
      <c r="I90" s="178">
        <v>0</v>
      </c>
      <c r="J90" s="80">
        <f t="shared" si="24"/>
        <v>0</v>
      </c>
      <c r="K90" s="178">
        <v>0</v>
      </c>
      <c r="L90" s="80">
        <f t="shared" si="25"/>
        <v>0</v>
      </c>
      <c r="M90" s="178">
        <v>0</v>
      </c>
      <c r="N90" s="80">
        <f t="shared" si="26"/>
        <v>0</v>
      </c>
      <c r="O90" s="178">
        <v>0</v>
      </c>
      <c r="P90" s="80">
        <f t="shared" si="27"/>
        <v>0</v>
      </c>
      <c r="Q90" s="178">
        <v>0</v>
      </c>
      <c r="R90" s="80">
        <f t="shared" si="28"/>
        <v>0</v>
      </c>
      <c r="S90" s="178">
        <v>0</v>
      </c>
      <c r="T90" s="80">
        <f t="shared" si="29"/>
        <v>0</v>
      </c>
      <c r="U90" s="178">
        <v>0</v>
      </c>
      <c r="V90" s="80">
        <f t="shared" si="30"/>
        <v>0</v>
      </c>
      <c r="X90" s="192"/>
    </row>
    <row r="91" spans="1:24" ht="12.75" customHeight="1">
      <c r="A91" s="2" t="s">
        <v>435</v>
      </c>
      <c r="C91" s="178">
        <v>0</v>
      </c>
      <c r="D91" s="80">
        <f t="shared" si="21"/>
        <v>0</v>
      </c>
      <c r="E91" s="178">
        <v>0</v>
      </c>
      <c r="F91" s="80">
        <f t="shared" si="22"/>
        <v>0</v>
      </c>
      <c r="G91" s="178">
        <v>0</v>
      </c>
      <c r="H91" s="80">
        <f t="shared" si="23"/>
        <v>0</v>
      </c>
      <c r="I91" s="178">
        <v>0</v>
      </c>
      <c r="J91" s="80">
        <f t="shared" si="24"/>
        <v>0</v>
      </c>
      <c r="K91" s="178">
        <v>0</v>
      </c>
      <c r="L91" s="80">
        <f t="shared" si="25"/>
        <v>0</v>
      </c>
      <c r="M91" s="178">
        <v>0</v>
      </c>
      <c r="N91" s="80">
        <f t="shared" si="26"/>
        <v>0</v>
      </c>
      <c r="O91" s="178">
        <v>0</v>
      </c>
      <c r="P91" s="80">
        <f t="shared" si="27"/>
        <v>0</v>
      </c>
      <c r="Q91" s="178">
        <v>0</v>
      </c>
      <c r="R91" s="80">
        <f t="shared" si="28"/>
        <v>0</v>
      </c>
      <c r="S91" s="178">
        <v>0</v>
      </c>
      <c r="T91" s="80">
        <f t="shared" si="29"/>
        <v>0</v>
      </c>
      <c r="U91" s="178">
        <v>0</v>
      </c>
      <c r="V91" s="80">
        <f t="shared" si="30"/>
        <v>0</v>
      </c>
      <c r="X91" s="192"/>
    </row>
    <row r="92" spans="1:24" ht="12.75" customHeight="1">
      <c r="A92" s="2" t="s">
        <v>436</v>
      </c>
      <c r="B92" s="35"/>
      <c r="C92" s="178">
        <v>2428.1088</v>
      </c>
      <c r="D92" s="80">
        <f t="shared" si="21"/>
        <v>5.1999999999999998E-3</v>
      </c>
      <c r="E92" s="178">
        <v>0</v>
      </c>
      <c r="F92" s="80">
        <f t="shared" si="22"/>
        <v>0</v>
      </c>
      <c r="G92" s="178">
        <v>0</v>
      </c>
      <c r="H92" s="80">
        <f t="shared" si="23"/>
        <v>0</v>
      </c>
      <c r="I92" s="178">
        <v>0</v>
      </c>
      <c r="J92" s="80">
        <f t="shared" si="24"/>
        <v>0</v>
      </c>
      <c r="K92" s="178">
        <v>0</v>
      </c>
      <c r="L92" s="80">
        <f t="shared" si="25"/>
        <v>0</v>
      </c>
      <c r="M92" s="178">
        <v>0</v>
      </c>
      <c r="N92" s="80">
        <f t="shared" si="26"/>
        <v>0</v>
      </c>
      <c r="O92" s="178">
        <v>0</v>
      </c>
      <c r="P92" s="80">
        <f t="shared" si="27"/>
        <v>0</v>
      </c>
      <c r="Q92" s="178">
        <v>0</v>
      </c>
      <c r="R92" s="80">
        <f t="shared" si="28"/>
        <v>0</v>
      </c>
      <c r="S92" s="178">
        <v>0</v>
      </c>
      <c r="T92" s="80">
        <f t="shared" si="29"/>
        <v>0</v>
      </c>
      <c r="U92" s="178">
        <v>0</v>
      </c>
      <c r="V92" s="80">
        <f t="shared" si="30"/>
        <v>0</v>
      </c>
      <c r="X92" s="192"/>
    </row>
    <row r="93" spans="1:24" ht="12.75" customHeight="1">
      <c r="A93" s="2" t="s">
        <v>437</v>
      </c>
      <c r="B93" s="35"/>
      <c r="C93" s="178">
        <v>0</v>
      </c>
      <c r="D93" s="80">
        <f t="shared" si="21"/>
        <v>0</v>
      </c>
      <c r="E93" s="178">
        <v>0</v>
      </c>
      <c r="F93" s="80">
        <f t="shared" si="22"/>
        <v>0</v>
      </c>
      <c r="G93" s="178">
        <v>0</v>
      </c>
      <c r="H93" s="80">
        <f t="shared" si="23"/>
        <v>0</v>
      </c>
      <c r="I93" s="178">
        <v>0</v>
      </c>
      <c r="J93" s="80">
        <f t="shared" si="24"/>
        <v>0</v>
      </c>
      <c r="K93" s="178">
        <v>0</v>
      </c>
      <c r="L93" s="80">
        <f t="shared" si="25"/>
        <v>0</v>
      </c>
      <c r="M93" s="178">
        <v>0</v>
      </c>
      <c r="N93" s="80">
        <f t="shared" si="26"/>
        <v>0</v>
      </c>
      <c r="O93" s="178">
        <v>0</v>
      </c>
      <c r="P93" s="80">
        <f t="shared" si="27"/>
        <v>0</v>
      </c>
      <c r="Q93" s="178">
        <v>0</v>
      </c>
      <c r="R93" s="80">
        <f t="shared" si="28"/>
        <v>0</v>
      </c>
      <c r="S93" s="178">
        <v>0</v>
      </c>
      <c r="T93" s="80">
        <f t="shared" si="29"/>
        <v>0</v>
      </c>
      <c r="U93" s="178">
        <v>0</v>
      </c>
      <c r="V93" s="80">
        <f t="shared" si="30"/>
        <v>0</v>
      </c>
      <c r="X93" s="192"/>
    </row>
    <row r="94" spans="1:24" ht="12.75" customHeight="1">
      <c r="A94" s="2" t="s">
        <v>438</v>
      </c>
      <c r="B94" s="35"/>
      <c r="C94" s="178">
        <v>0</v>
      </c>
      <c r="D94" s="80">
        <f t="shared" si="21"/>
        <v>0</v>
      </c>
      <c r="E94" s="178">
        <v>0</v>
      </c>
      <c r="F94" s="80">
        <f t="shared" si="22"/>
        <v>0</v>
      </c>
      <c r="G94" s="178">
        <v>0</v>
      </c>
      <c r="H94" s="80">
        <f t="shared" si="23"/>
        <v>0</v>
      </c>
      <c r="I94" s="178">
        <v>0</v>
      </c>
      <c r="J94" s="80">
        <f t="shared" si="24"/>
        <v>0</v>
      </c>
      <c r="K94" s="178">
        <v>0</v>
      </c>
      <c r="L94" s="80">
        <f t="shared" si="25"/>
        <v>0</v>
      </c>
      <c r="M94" s="178">
        <v>0</v>
      </c>
      <c r="N94" s="80">
        <f t="shared" si="26"/>
        <v>0</v>
      </c>
      <c r="O94" s="178">
        <v>0</v>
      </c>
      <c r="P94" s="80">
        <f t="shared" si="27"/>
        <v>0</v>
      </c>
      <c r="Q94" s="178">
        <v>0</v>
      </c>
      <c r="R94" s="80">
        <f t="shared" si="28"/>
        <v>0</v>
      </c>
      <c r="S94" s="178">
        <v>0</v>
      </c>
      <c r="T94" s="80">
        <f t="shared" si="29"/>
        <v>0</v>
      </c>
      <c r="U94" s="178">
        <v>0</v>
      </c>
      <c r="V94" s="80">
        <f t="shared" si="30"/>
        <v>0</v>
      </c>
      <c r="X94" s="192"/>
    </row>
    <row r="95" spans="1:24" ht="12.75" customHeight="1">
      <c r="A95" s="2" t="s">
        <v>439</v>
      </c>
      <c r="B95" s="35"/>
      <c r="C95" s="178">
        <v>0</v>
      </c>
      <c r="D95" s="80">
        <f t="shared" si="21"/>
        <v>0</v>
      </c>
      <c r="E95" s="178">
        <v>0</v>
      </c>
      <c r="F95" s="80">
        <f t="shared" si="22"/>
        <v>0</v>
      </c>
      <c r="G95" s="178">
        <v>0</v>
      </c>
      <c r="H95" s="80">
        <f t="shared" si="23"/>
        <v>0</v>
      </c>
      <c r="I95" s="178">
        <v>0</v>
      </c>
      <c r="J95" s="80">
        <f t="shared" si="24"/>
        <v>0</v>
      </c>
      <c r="K95" s="178">
        <v>0</v>
      </c>
      <c r="L95" s="80">
        <f t="shared" si="25"/>
        <v>0</v>
      </c>
      <c r="M95" s="178">
        <v>0</v>
      </c>
      <c r="N95" s="80">
        <f t="shared" si="26"/>
        <v>0</v>
      </c>
      <c r="O95" s="178">
        <v>0</v>
      </c>
      <c r="P95" s="80">
        <f t="shared" si="27"/>
        <v>0</v>
      </c>
      <c r="Q95" s="178">
        <v>0</v>
      </c>
      <c r="R95" s="80">
        <f t="shared" si="28"/>
        <v>0</v>
      </c>
      <c r="S95" s="178">
        <v>0</v>
      </c>
      <c r="T95" s="80">
        <f t="shared" si="29"/>
        <v>0</v>
      </c>
      <c r="U95" s="178">
        <v>0</v>
      </c>
      <c r="V95" s="80">
        <f t="shared" si="30"/>
        <v>0</v>
      </c>
      <c r="X95" s="192"/>
    </row>
    <row r="96" spans="1:24" ht="12.75" customHeight="1">
      <c r="A96" s="2" t="s">
        <v>440</v>
      </c>
      <c r="B96" s="35"/>
      <c r="C96" s="178">
        <v>0</v>
      </c>
      <c r="D96" s="80">
        <f t="shared" si="21"/>
        <v>0</v>
      </c>
      <c r="E96" s="178">
        <v>0</v>
      </c>
      <c r="F96" s="80">
        <f t="shared" si="22"/>
        <v>0</v>
      </c>
      <c r="G96" s="178">
        <v>0</v>
      </c>
      <c r="H96" s="80">
        <f t="shared" si="23"/>
        <v>0</v>
      </c>
      <c r="I96" s="178">
        <v>0</v>
      </c>
      <c r="J96" s="80">
        <f t="shared" si="24"/>
        <v>0</v>
      </c>
      <c r="K96" s="178">
        <v>0</v>
      </c>
      <c r="L96" s="80">
        <f t="shared" si="25"/>
        <v>0</v>
      </c>
      <c r="M96" s="178">
        <v>0</v>
      </c>
      <c r="N96" s="80">
        <f t="shared" si="26"/>
        <v>0</v>
      </c>
      <c r="O96" s="178">
        <v>0</v>
      </c>
      <c r="P96" s="80">
        <f t="shared" si="27"/>
        <v>0</v>
      </c>
      <c r="Q96" s="178">
        <v>0</v>
      </c>
      <c r="R96" s="80">
        <f t="shared" si="28"/>
        <v>0</v>
      </c>
      <c r="S96" s="178">
        <v>0</v>
      </c>
      <c r="T96" s="80">
        <f t="shared" si="29"/>
        <v>0</v>
      </c>
      <c r="U96" s="178">
        <v>0</v>
      </c>
      <c r="V96" s="80">
        <f t="shared" si="30"/>
        <v>0</v>
      </c>
      <c r="X96" s="192"/>
    </row>
    <row r="97" spans="1:24" ht="12.75" customHeight="1">
      <c r="A97" s="2" t="s">
        <v>441</v>
      </c>
      <c r="B97" s="35"/>
      <c r="C97" s="178">
        <v>6413.4881999999998</v>
      </c>
      <c r="D97" s="80">
        <f t="shared" si="21"/>
        <v>1.3735026469983553E-2</v>
      </c>
      <c r="E97" s="178">
        <v>0</v>
      </c>
      <c r="F97" s="80">
        <f t="shared" si="22"/>
        <v>0</v>
      </c>
      <c r="G97" s="178">
        <v>0</v>
      </c>
      <c r="H97" s="80">
        <f t="shared" si="23"/>
        <v>0</v>
      </c>
      <c r="I97" s="178">
        <v>0</v>
      </c>
      <c r="J97" s="80">
        <f t="shared" si="24"/>
        <v>0</v>
      </c>
      <c r="K97" s="178">
        <v>0</v>
      </c>
      <c r="L97" s="80">
        <f t="shared" si="25"/>
        <v>0</v>
      </c>
      <c r="M97" s="178">
        <v>0</v>
      </c>
      <c r="N97" s="80">
        <f t="shared" si="26"/>
        <v>0</v>
      </c>
      <c r="O97" s="178">
        <v>0</v>
      </c>
      <c r="P97" s="80">
        <f t="shared" si="27"/>
        <v>0</v>
      </c>
      <c r="Q97" s="178">
        <v>0</v>
      </c>
      <c r="R97" s="80">
        <f t="shared" si="28"/>
        <v>0</v>
      </c>
      <c r="S97" s="178">
        <v>0</v>
      </c>
      <c r="T97" s="80">
        <f t="shared" si="29"/>
        <v>0</v>
      </c>
      <c r="U97" s="178">
        <v>0</v>
      </c>
      <c r="V97" s="80">
        <f t="shared" si="30"/>
        <v>0</v>
      </c>
      <c r="X97" s="192"/>
    </row>
    <row r="98" spans="1:24" ht="12.75" customHeight="1">
      <c r="A98" s="117" t="s">
        <v>444</v>
      </c>
      <c r="B98" s="35"/>
      <c r="C98" s="178">
        <v>560.33279999999991</v>
      </c>
      <c r="D98" s="80">
        <f t="shared" si="21"/>
        <v>1.1999999999999999E-3</v>
      </c>
      <c r="E98" s="178">
        <v>0</v>
      </c>
      <c r="F98" s="80">
        <f t="shared" si="22"/>
        <v>0</v>
      </c>
      <c r="G98" s="178">
        <v>0</v>
      </c>
      <c r="H98" s="80">
        <f t="shared" si="23"/>
        <v>0</v>
      </c>
      <c r="I98" s="178">
        <v>0</v>
      </c>
      <c r="J98" s="80">
        <f t="shared" si="24"/>
        <v>0</v>
      </c>
      <c r="K98" s="178">
        <v>0</v>
      </c>
      <c r="L98" s="80">
        <f t="shared" si="25"/>
        <v>0</v>
      </c>
      <c r="M98" s="178">
        <v>0</v>
      </c>
      <c r="N98" s="80">
        <f t="shared" si="26"/>
        <v>0</v>
      </c>
      <c r="O98" s="178">
        <v>0</v>
      </c>
      <c r="P98" s="80">
        <f t="shared" si="27"/>
        <v>0</v>
      </c>
      <c r="Q98" s="178">
        <v>0</v>
      </c>
      <c r="R98" s="80">
        <f t="shared" si="28"/>
        <v>0</v>
      </c>
      <c r="S98" s="178">
        <v>0</v>
      </c>
      <c r="T98" s="80">
        <f t="shared" si="29"/>
        <v>0</v>
      </c>
      <c r="U98" s="178">
        <v>0</v>
      </c>
      <c r="V98" s="80">
        <f t="shared" si="30"/>
        <v>0</v>
      </c>
      <c r="X98" s="192"/>
    </row>
    <row r="99" spans="1:24" ht="12.75" customHeight="1">
      <c r="A99" s="117" t="s">
        <v>444</v>
      </c>
      <c r="B99" s="35"/>
      <c r="C99" s="178">
        <v>0</v>
      </c>
      <c r="D99" s="80">
        <f t="shared" si="21"/>
        <v>0</v>
      </c>
      <c r="E99" s="178">
        <v>0</v>
      </c>
      <c r="F99" s="80">
        <f t="shared" si="22"/>
        <v>0</v>
      </c>
      <c r="G99" s="178">
        <v>0</v>
      </c>
      <c r="H99" s="80">
        <f t="shared" si="23"/>
        <v>0</v>
      </c>
      <c r="I99" s="178">
        <v>0</v>
      </c>
      <c r="J99" s="80">
        <f t="shared" si="24"/>
        <v>0</v>
      </c>
      <c r="K99" s="178">
        <v>0</v>
      </c>
      <c r="L99" s="80">
        <f t="shared" si="25"/>
        <v>0</v>
      </c>
      <c r="M99" s="178">
        <v>0</v>
      </c>
      <c r="N99" s="80">
        <f t="shared" si="26"/>
        <v>0</v>
      </c>
      <c r="O99" s="178">
        <v>0</v>
      </c>
      <c r="P99" s="80">
        <f t="shared" si="27"/>
        <v>0</v>
      </c>
      <c r="Q99" s="178">
        <v>0</v>
      </c>
      <c r="R99" s="80">
        <f t="shared" si="28"/>
        <v>0</v>
      </c>
      <c r="S99" s="178">
        <v>0</v>
      </c>
      <c r="T99" s="80">
        <f t="shared" si="29"/>
        <v>0</v>
      </c>
      <c r="U99" s="178">
        <v>0</v>
      </c>
      <c r="V99" s="80">
        <f t="shared" si="30"/>
        <v>0</v>
      </c>
      <c r="X99" s="192"/>
    </row>
    <row r="100" spans="1:24" ht="12.75" customHeight="1">
      <c r="A100" s="117" t="s">
        <v>444</v>
      </c>
      <c r="B100" s="35"/>
      <c r="C100" s="178">
        <v>0</v>
      </c>
      <c r="D100" s="80">
        <f t="shared" si="21"/>
        <v>0</v>
      </c>
      <c r="E100" s="178">
        <v>0</v>
      </c>
      <c r="F100" s="80">
        <f t="shared" si="22"/>
        <v>0</v>
      </c>
      <c r="G100" s="178">
        <v>0</v>
      </c>
      <c r="H100" s="80">
        <f t="shared" si="23"/>
        <v>0</v>
      </c>
      <c r="I100" s="178">
        <v>0</v>
      </c>
      <c r="J100" s="80">
        <f t="shared" si="24"/>
        <v>0</v>
      </c>
      <c r="K100" s="178">
        <v>0</v>
      </c>
      <c r="L100" s="80">
        <f t="shared" si="25"/>
        <v>0</v>
      </c>
      <c r="M100" s="178">
        <v>0</v>
      </c>
      <c r="N100" s="80">
        <f t="shared" si="26"/>
        <v>0</v>
      </c>
      <c r="O100" s="178">
        <v>0</v>
      </c>
      <c r="P100" s="80">
        <f t="shared" si="27"/>
        <v>0</v>
      </c>
      <c r="Q100" s="178">
        <v>0</v>
      </c>
      <c r="R100" s="80">
        <f t="shared" si="28"/>
        <v>0</v>
      </c>
      <c r="S100" s="178">
        <v>0</v>
      </c>
      <c r="T100" s="80">
        <f t="shared" si="29"/>
        <v>0</v>
      </c>
      <c r="U100" s="178">
        <v>0</v>
      </c>
      <c r="V100" s="80">
        <f t="shared" si="30"/>
        <v>0</v>
      </c>
      <c r="X100" s="192"/>
    </row>
    <row r="101" spans="1:24" ht="12.75" customHeight="1">
      <c r="A101" s="2" t="s">
        <v>445</v>
      </c>
      <c r="B101" s="35"/>
      <c r="C101" s="178"/>
      <c r="D101" s="80">
        <f t="shared" si="21"/>
        <v>0</v>
      </c>
      <c r="E101" s="178"/>
      <c r="F101" s="80">
        <f t="shared" si="22"/>
        <v>0</v>
      </c>
      <c r="G101" s="178"/>
      <c r="H101" s="80">
        <f t="shared" si="23"/>
        <v>0</v>
      </c>
      <c r="I101" s="178">
        <v>0</v>
      </c>
      <c r="J101" s="80">
        <f t="shared" si="24"/>
        <v>0</v>
      </c>
      <c r="K101" s="178">
        <v>0</v>
      </c>
      <c r="L101" s="80">
        <f t="shared" si="25"/>
        <v>0</v>
      </c>
      <c r="M101" s="178">
        <v>0</v>
      </c>
      <c r="N101" s="80">
        <f t="shared" si="26"/>
        <v>0</v>
      </c>
      <c r="O101" s="178">
        <v>0</v>
      </c>
      <c r="P101" s="80">
        <f t="shared" si="27"/>
        <v>0</v>
      </c>
      <c r="Q101" s="178">
        <v>0</v>
      </c>
      <c r="R101" s="80">
        <f t="shared" si="28"/>
        <v>0</v>
      </c>
      <c r="S101" s="178">
        <v>0</v>
      </c>
      <c r="T101" s="80">
        <f t="shared" si="29"/>
        <v>0</v>
      </c>
      <c r="U101" s="178">
        <v>0</v>
      </c>
      <c r="V101" s="80">
        <f t="shared" si="30"/>
        <v>0</v>
      </c>
      <c r="X101" s="192"/>
    </row>
    <row r="102" spans="1:24" ht="12.75" customHeight="1">
      <c r="A102" s="117" t="s">
        <v>446</v>
      </c>
      <c r="B102" s="35"/>
      <c r="C102" s="178">
        <v>4669.4400000000005</v>
      </c>
      <c r="D102" s="80">
        <f t="shared" si="21"/>
        <v>1.0000000000000002E-2</v>
      </c>
      <c r="E102" s="178">
        <v>0</v>
      </c>
      <c r="F102" s="80">
        <f t="shared" si="22"/>
        <v>0</v>
      </c>
      <c r="G102" s="178">
        <v>0</v>
      </c>
      <c r="H102" s="80">
        <f t="shared" si="23"/>
        <v>0</v>
      </c>
      <c r="I102" s="178">
        <v>0</v>
      </c>
      <c r="J102" s="80">
        <f t="shared" si="24"/>
        <v>0</v>
      </c>
      <c r="K102" s="178">
        <v>0</v>
      </c>
      <c r="L102" s="80">
        <f t="shared" si="25"/>
        <v>0</v>
      </c>
      <c r="M102" s="178">
        <v>0</v>
      </c>
      <c r="N102" s="80">
        <f t="shared" si="26"/>
        <v>0</v>
      </c>
      <c r="O102" s="178">
        <v>0</v>
      </c>
      <c r="P102" s="80">
        <f t="shared" si="27"/>
        <v>0</v>
      </c>
      <c r="Q102" s="178">
        <v>0</v>
      </c>
      <c r="R102" s="80">
        <f t="shared" si="28"/>
        <v>0</v>
      </c>
      <c r="S102" s="178">
        <v>0</v>
      </c>
      <c r="T102" s="80">
        <f t="shared" si="29"/>
        <v>0</v>
      </c>
      <c r="U102" s="178">
        <v>0</v>
      </c>
      <c r="V102" s="80">
        <f t="shared" si="30"/>
        <v>0</v>
      </c>
      <c r="X102" s="192"/>
    </row>
    <row r="103" spans="1:24" ht="12.75" customHeight="1">
      <c r="A103" s="117" t="s">
        <v>446</v>
      </c>
      <c r="B103" s="35"/>
      <c r="C103" s="178">
        <v>0</v>
      </c>
      <c r="D103" s="80">
        <f t="shared" si="21"/>
        <v>0</v>
      </c>
      <c r="E103" s="178">
        <v>0</v>
      </c>
      <c r="F103" s="80">
        <f t="shared" si="22"/>
        <v>0</v>
      </c>
      <c r="G103" s="178">
        <v>0</v>
      </c>
      <c r="H103" s="80">
        <f t="shared" si="23"/>
        <v>0</v>
      </c>
      <c r="I103" s="178">
        <v>0</v>
      </c>
      <c r="J103" s="80">
        <f t="shared" si="24"/>
        <v>0</v>
      </c>
      <c r="K103" s="178">
        <v>0</v>
      </c>
      <c r="L103" s="80">
        <f t="shared" si="25"/>
        <v>0</v>
      </c>
      <c r="M103" s="178">
        <v>0</v>
      </c>
      <c r="N103" s="80">
        <f t="shared" si="26"/>
        <v>0</v>
      </c>
      <c r="O103" s="178">
        <v>0</v>
      </c>
      <c r="P103" s="80">
        <f t="shared" si="27"/>
        <v>0</v>
      </c>
      <c r="Q103" s="178">
        <v>0</v>
      </c>
      <c r="R103" s="80">
        <f t="shared" si="28"/>
        <v>0</v>
      </c>
      <c r="S103" s="178">
        <v>0</v>
      </c>
      <c r="T103" s="80">
        <f t="shared" si="29"/>
        <v>0</v>
      </c>
      <c r="U103" s="178">
        <v>0</v>
      </c>
      <c r="V103" s="80">
        <f t="shared" si="30"/>
        <v>0</v>
      </c>
      <c r="X103" s="192"/>
    </row>
    <row r="104" spans="1:24" ht="12.75" customHeight="1">
      <c r="A104" s="117" t="s">
        <v>446</v>
      </c>
      <c r="B104" s="1"/>
      <c r="C104" s="178">
        <v>0</v>
      </c>
      <c r="D104" s="80">
        <f t="shared" si="21"/>
        <v>0</v>
      </c>
      <c r="E104" s="178">
        <v>0</v>
      </c>
      <c r="F104" s="80">
        <f t="shared" si="22"/>
        <v>0</v>
      </c>
      <c r="G104" s="178">
        <v>0</v>
      </c>
      <c r="H104" s="80">
        <f t="shared" si="23"/>
        <v>0</v>
      </c>
      <c r="I104" s="178">
        <v>0</v>
      </c>
      <c r="J104" s="80">
        <f t="shared" si="24"/>
        <v>0</v>
      </c>
      <c r="K104" s="178">
        <v>0</v>
      </c>
      <c r="L104" s="80">
        <f t="shared" si="25"/>
        <v>0</v>
      </c>
      <c r="M104" s="178">
        <v>0</v>
      </c>
      <c r="N104" s="80">
        <f t="shared" si="26"/>
        <v>0</v>
      </c>
      <c r="O104" s="178">
        <v>0</v>
      </c>
      <c r="P104" s="80">
        <f t="shared" si="27"/>
        <v>0</v>
      </c>
      <c r="Q104" s="178">
        <v>0</v>
      </c>
      <c r="R104" s="80">
        <f t="shared" si="28"/>
        <v>0</v>
      </c>
      <c r="S104" s="178">
        <v>0</v>
      </c>
      <c r="T104" s="80">
        <f t="shared" si="29"/>
        <v>0</v>
      </c>
      <c r="U104" s="178">
        <v>0</v>
      </c>
      <c r="V104" s="80">
        <f t="shared" si="30"/>
        <v>0</v>
      </c>
      <c r="X104" s="192"/>
    </row>
    <row r="105" spans="1:24" ht="12.75" customHeight="1">
      <c r="A105" s="1" t="s">
        <v>447</v>
      </c>
      <c r="B105" s="53"/>
      <c r="C105" s="82">
        <f>SUM(C52:C104)</f>
        <v>82140.448848904198</v>
      </c>
      <c r="D105" s="83">
        <f t="shared" ref="D105" si="31">IFERROR(C105/C$28,0)</f>
        <v>0.17591070631361405</v>
      </c>
      <c r="E105" s="82">
        <f>SUM(E52:E104)</f>
        <v>0</v>
      </c>
      <c r="F105" s="83">
        <f t="shared" ref="F105" si="32">IFERROR(E105/E$28,0)</f>
        <v>0</v>
      </c>
      <c r="G105" s="82">
        <f>SUM(G52:G104)</f>
        <v>0</v>
      </c>
      <c r="H105" s="83">
        <f t="shared" ref="H105" si="33">IFERROR(G105/G$28,0)</f>
        <v>0</v>
      </c>
      <c r="I105" s="82">
        <f>SUM(I52:I104)</f>
        <v>0</v>
      </c>
      <c r="J105" s="83">
        <f t="shared" ref="J105" si="34">IFERROR(I105/I$28,0)</f>
        <v>0</v>
      </c>
      <c r="K105" s="82">
        <f>SUM(K52:K104)</f>
        <v>0</v>
      </c>
      <c r="L105" s="83">
        <f t="shared" ref="L105" si="35">IFERROR(K105/K$28,0)</f>
        <v>0</v>
      </c>
      <c r="M105" s="82">
        <f>SUM(M52:M104)</f>
        <v>0</v>
      </c>
      <c r="N105" s="83">
        <f t="shared" ref="N105" si="36">IFERROR(M105/M$28,0)</f>
        <v>0</v>
      </c>
      <c r="O105" s="82">
        <f>SUM(O52:O104)</f>
        <v>0</v>
      </c>
      <c r="P105" s="83">
        <f t="shared" ref="P105" si="37">IFERROR(O105/O$28,0)</f>
        <v>0</v>
      </c>
      <c r="Q105" s="82">
        <f>SUM(Q52:Q104)</f>
        <v>0</v>
      </c>
      <c r="R105" s="83">
        <f t="shared" ref="R105" si="38">IFERROR(Q105/Q$28,0)</f>
        <v>0</v>
      </c>
      <c r="S105" s="82">
        <f>SUM(S52:S104)</f>
        <v>0</v>
      </c>
      <c r="T105" s="83">
        <f t="shared" ref="T105" si="39">IFERROR(S105/S$28,0)</f>
        <v>0</v>
      </c>
      <c r="U105" s="82">
        <f>SUM(U52:U104)</f>
        <v>0</v>
      </c>
      <c r="V105" s="83">
        <f t="shared" si="30"/>
        <v>0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448</v>
      </c>
      <c r="B107" s="53"/>
      <c r="C107" s="82">
        <f>C28-C33-C46-C105</f>
        <v>68874.327151095815</v>
      </c>
      <c r="D107" s="83">
        <f>IFERROR(C107/C$28,0)</f>
        <v>0.14750018664142983</v>
      </c>
      <c r="E107" s="82">
        <f>E28-E33-E46-E105</f>
        <v>0</v>
      </c>
      <c r="F107" s="83">
        <f>IFERROR(E107/E$28,0)</f>
        <v>0</v>
      </c>
      <c r="G107" s="82">
        <f>G28-G33-G46-G105</f>
        <v>0</v>
      </c>
      <c r="H107" s="83">
        <f>IFERROR(G107/G$28,0)</f>
        <v>0</v>
      </c>
      <c r="I107" s="82">
        <f>I28-I33-I46-I105</f>
        <v>0</v>
      </c>
      <c r="J107" s="83">
        <f>IFERROR(I107/I$28,0)</f>
        <v>0</v>
      </c>
      <c r="K107" s="82">
        <f>K28-K33-K46-K105</f>
        <v>0</v>
      </c>
      <c r="L107" s="83">
        <f>IFERROR(K107/K$28,0)</f>
        <v>0</v>
      </c>
      <c r="M107" s="82">
        <f>M28-M33-M46-M105</f>
        <v>0</v>
      </c>
      <c r="N107" s="83">
        <f>IFERROR(M107/M$28,0)</f>
        <v>0</v>
      </c>
      <c r="O107" s="82">
        <f>O28-O33-O46-O105</f>
        <v>0</v>
      </c>
      <c r="P107" s="83">
        <f>IFERROR(O107/O$28,0)</f>
        <v>0</v>
      </c>
      <c r="Q107" s="82">
        <f>Q28-Q33-Q46-Q105</f>
        <v>0</v>
      </c>
      <c r="R107" s="83">
        <f>IFERROR(Q107/Q$28,0)</f>
        <v>0</v>
      </c>
      <c r="S107" s="82">
        <f>S28-S33-S46-S105</f>
        <v>0</v>
      </c>
      <c r="T107" s="83">
        <f>IFERROR(S107/S$28,0)</f>
        <v>0</v>
      </c>
      <c r="U107" s="82">
        <f>U28-U33-U46-U105</f>
        <v>0</v>
      </c>
      <c r="V107" s="83">
        <f>IFERROR(U107/U$28,0)</f>
        <v>0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449</v>
      </c>
      <c r="B110" s="40"/>
      <c r="C110" s="86" t="str">
        <f>C50</f>
        <v>FY 2018-19</v>
      </c>
      <c r="D110" s="86" t="s">
        <v>366</v>
      </c>
      <c r="E110" s="86" t="str">
        <f>E50</f>
        <v>FY 2019-20</v>
      </c>
      <c r="F110" s="86" t="s">
        <v>366</v>
      </c>
      <c r="G110" s="86" t="str">
        <f>G50</f>
        <v>FY 2020-21</v>
      </c>
      <c r="H110" s="86" t="s">
        <v>366</v>
      </c>
      <c r="I110" s="86" t="str">
        <f>I50</f>
        <v>FY 2021-22</v>
      </c>
      <c r="J110" s="86" t="s">
        <v>366</v>
      </c>
      <c r="K110" s="86" t="str">
        <f>K50</f>
        <v>FY 2022-23</v>
      </c>
      <c r="L110" s="86" t="s">
        <v>366</v>
      </c>
      <c r="M110" s="86" t="str">
        <f>M50</f>
        <v>FY 2023-24</v>
      </c>
      <c r="N110" s="86" t="s">
        <v>366</v>
      </c>
      <c r="O110" s="86" t="str">
        <f>O50</f>
        <v>FY 2024-25</v>
      </c>
      <c r="P110" s="86" t="s">
        <v>366</v>
      </c>
      <c r="Q110" s="86" t="str">
        <f>Q50</f>
        <v>FY 2025-26</v>
      </c>
      <c r="R110" s="86" t="s">
        <v>366</v>
      </c>
      <c r="S110" s="86" t="str">
        <f>S50</f>
        <v>FY 2026-27</v>
      </c>
      <c r="T110" s="86" t="s">
        <v>366</v>
      </c>
      <c r="U110" s="86" t="str">
        <f>U50</f>
        <v>FY 2027-28</v>
      </c>
      <c r="V110" s="86" t="s">
        <v>366</v>
      </c>
    </row>
    <row r="111" spans="1:24" ht="12.75" customHeight="1">
      <c r="A111" s="2" t="s">
        <v>403</v>
      </c>
      <c r="B111" s="35"/>
      <c r="C111" s="79">
        <f>C59</f>
        <v>0</v>
      </c>
      <c r="D111" s="80">
        <f t="shared" ref="D111:D116" si="40">IFERROR(C111/C$28,0)</f>
        <v>0</v>
      </c>
      <c r="E111" s="79">
        <f>E59</f>
        <v>0</v>
      </c>
      <c r="F111" s="80">
        <f t="shared" ref="F111:F116" si="41">IFERROR(E111/E$28,0)</f>
        <v>0</v>
      </c>
      <c r="G111" s="79">
        <f>G59</f>
        <v>0</v>
      </c>
      <c r="H111" s="80">
        <f t="shared" ref="H111:H116" si="42">IFERROR(G111/G$28,0)</f>
        <v>0</v>
      </c>
      <c r="I111" s="79">
        <f>I59</f>
        <v>0</v>
      </c>
      <c r="J111" s="80">
        <f t="shared" ref="J111:J116" si="43">IFERROR(I111/I$28,0)</f>
        <v>0</v>
      </c>
      <c r="K111" s="79">
        <f>K59</f>
        <v>0</v>
      </c>
      <c r="L111" s="80">
        <f t="shared" ref="L111:L116" si="44">IFERROR(K111/K$28,0)</f>
        <v>0</v>
      </c>
      <c r="M111" s="79">
        <f>M59</f>
        <v>0</v>
      </c>
      <c r="N111" s="80">
        <f t="shared" ref="N111:N116" si="45">IFERROR(M111/M$28,0)</f>
        <v>0</v>
      </c>
      <c r="O111" s="79">
        <f>O59</f>
        <v>0</v>
      </c>
      <c r="P111" s="80">
        <f t="shared" ref="P111:P116" si="46">IFERROR(O111/O$28,0)</f>
        <v>0</v>
      </c>
      <c r="Q111" s="79">
        <f>Q59</f>
        <v>0</v>
      </c>
      <c r="R111" s="80">
        <f t="shared" ref="R111:R116" si="47">IFERROR(Q111/Q$28,0)</f>
        <v>0</v>
      </c>
      <c r="S111" s="79">
        <f>S59</f>
        <v>0</v>
      </c>
      <c r="T111" s="80">
        <f t="shared" ref="T111:T116" si="48">IFERROR(S111/S$28,0)</f>
        <v>0</v>
      </c>
      <c r="U111" s="79">
        <f>U59</f>
        <v>0</v>
      </c>
      <c r="V111" s="80">
        <f t="shared" ref="V111:V116" si="49">IFERROR(U111/U$28,0)</f>
        <v>0</v>
      </c>
    </row>
    <row r="112" spans="1:24" ht="12.75" customHeight="1">
      <c r="A112" s="2" t="s">
        <v>450</v>
      </c>
      <c r="B112" s="35"/>
      <c r="C112" s="79">
        <f>C62</f>
        <v>0</v>
      </c>
      <c r="D112" s="80">
        <f t="shared" si="40"/>
        <v>0</v>
      </c>
      <c r="E112" s="79">
        <f>E62</f>
        <v>0</v>
      </c>
      <c r="F112" s="80">
        <f t="shared" si="41"/>
        <v>0</v>
      </c>
      <c r="G112" s="79">
        <f>G62</f>
        <v>0</v>
      </c>
      <c r="H112" s="80">
        <f t="shared" si="42"/>
        <v>0</v>
      </c>
      <c r="I112" s="79">
        <f>I62</f>
        <v>0</v>
      </c>
      <c r="J112" s="80">
        <f t="shared" si="43"/>
        <v>0</v>
      </c>
      <c r="K112" s="79">
        <f>K62</f>
        <v>0</v>
      </c>
      <c r="L112" s="80">
        <f t="shared" si="44"/>
        <v>0</v>
      </c>
      <c r="M112" s="79">
        <f>M62</f>
        <v>0</v>
      </c>
      <c r="N112" s="80">
        <f t="shared" si="45"/>
        <v>0</v>
      </c>
      <c r="O112" s="79">
        <f>O62</f>
        <v>0</v>
      </c>
      <c r="P112" s="80">
        <f t="shared" si="46"/>
        <v>0</v>
      </c>
      <c r="Q112" s="79">
        <f>Q62</f>
        <v>0</v>
      </c>
      <c r="R112" s="80">
        <f t="shared" si="47"/>
        <v>0</v>
      </c>
      <c r="S112" s="79">
        <f>S62</f>
        <v>0</v>
      </c>
      <c r="T112" s="80">
        <f t="shared" si="48"/>
        <v>0</v>
      </c>
      <c r="U112" s="79">
        <f>U62</f>
        <v>0</v>
      </c>
      <c r="V112" s="80">
        <f t="shared" si="49"/>
        <v>0</v>
      </c>
    </row>
    <row r="113" spans="1:22" ht="12.75" customHeight="1">
      <c r="A113" s="117" t="s">
        <v>446</v>
      </c>
      <c r="B113" s="41"/>
      <c r="C113" s="111">
        <v>0</v>
      </c>
      <c r="D113" s="80">
        <f t="shared" si="40"/>
        <v>0</v>
      </c>
      <c r="E113" s="111">
        <v>0</v>
      </c>
      <c r="F113" s="80">
        <f t="shared" si="41"/>
        <v>0</v>
      </c>
      <c r="G113" s="111">
        <v>0</v>
      </c>
      <c r="H113" s="80">
        <f t="shared" si="42"/>
        <v>0</v>
      </c>
      <c r="I113" s="111">
        <v>0</v>
      </c>
      <c r="J113" s="80">
        <f t="shared" si="43"/>
        <v>0</v>
      </c>
      <c r="K113" s="111">
        <v>0</v>
      </c>
      <c r="L113" s="80">
        <f t="shared" si="44"/>
        <v>0</v>
      </c>
      <c r="M113" s="111">
        <v>0</v>
      </c>
      <c r="N113" s="80">
        <f t="shared" si="45"/>
        <v>0</v>
      </c>
      <c r="O113" s="111">
        <v>0</v>
      </c>
      <c r="P113" s="80">
        <f t="shared" si="46"/>
        <v>0</v>
      </c>
      <c r="Q113" s="111">
        <v>0</v>
      </c>
      <c r="R113" s="80">
        <f t="shared" si="47"/>
        <v>0</v>
      </c>
      <c r="S113" s="111">
        <v>0</v>
      </c>
      <c r="T113" s="80">
        <f t="shared" si="48"/>
        <v>0</v>
      </c>
      <c r="U113" s="111">
        <v>0</v>
      </c>
      <c r="V113" s="80">
        <f t="shared" si="49"/>
        <v>0</v>
      </c>
    </row>
    <row r="114" spans="1:22" ht="12.75" customHeight="1">
      <c r="A114" s="117" t="s">
        <v>446</v>
      </c>
      <c r="B114" s="41"/>
      <c r="C114" s="111">
        <v>0</v>
      </c>
      <c r="D114" s="80">
        <f t="shared" si="40"/>
        <v>0</v>
      </c>
      <c r="E114" s="111">
        <v>0</v>
      </c>
      <c r="F114" s="80">
        <f t="shared" si="41"/>
        <v>0</v>
      </c>
      <c r="G114" s="111">
        <v>0</v>
      </c>
      <c r="H114" s="80">
        <f t="shared" si="42"/>
        <v>0</v>
      </c>
      <c r="I114" s="111">
        <v>0</v>
      </c>
      <c r="J114" s="80">
        <f t="shared" si="43"/>
        <v>0</v>
      </c>
      <c r="K114" s="111">
        <v>0</v>
      </c>
      <c r="L114" s="80">
        <f t="shared" si="44"/>
        <v>0</v>
      </c>
      <c r="M114" s="111">
        <v>0</v>
      </c>
      <c r="N114" s="80">
        <f t="shared" si="45"/>
        <v>0</v>
      </c>
      <c r="O114" s="111">
        <v>0</v>
      </c>
      <c r="P114" s="80">
        <f t="shared" si="46"/>
        <v>0</v>
      </c>
      <c r="Q114" s="111">
        <v>0</v>
      </c>
      <c r="R114" s="80">
        <f t="shared" si="47"/>
        <v>0</v>
      </c>
      <c r="S114" s="111">
        <v>0</v>
      </c>
      <c r="T114" s="80">
        <f t="shared" si="48"/>
        <v>0</v>
      </c>
      <c r="U114" s="111">
        <v>0</v>
      </c>
      <c r="V114" s="80">
        <f t="shared" si="49"/>
        <v>0</v>
      </c>
    </row>
    <row r="115" spans="1:22" ht="12.75" customHeight="1">
      <c r="A115" s="117" t="s">
        <v>446</v>
      </c>
      <c r="B115" s="41"/>
      <c r="C115" s="112">
        <v>0</v>
      </c>
      <c r="D115" s="80">
        <f t="shared" si="40"/>
        <v>0</v>
      </c>
      <c r="E115" s="112">
        <v>0</v>
      </c>
      <c r="F115" s="80">
        <f t="shared" si="41"/>
        <v>0</v>
      </c>
      <c r="G115" s="112">
        <v>0</v>
      </c>
      <c r="H115" s="80">
        <f t="shared" si="42"/>
        <v>0</v>
      </c>
      <c r="I115" s="112">
        <v>0</v>
      </c>
      <c r="J115" s="80">
        <f t="shared" si="43"/>
        <v>0</v>
      </c>
      <c r="K115" s="112">
        <v>0</v>
      </c>
      <c r="L115" s="80">
        <f t="shared" si="44"/>
        <v>0</v>
      </c>
      <c r="M115" s="112">
        <v>0</v>
      </c>
      <c r="N115" s="80">
        <f t="shared" si="45"/>
        <v>0</v>
      </c>
      <c r="O115" s="112">
        <v>0</v>
      </c>
      <c r="P115" s="80">
        <f t="shared" si="46"/>
        <v>0</v>
      </c>
      <c r="Q115" s="112">
        <v>0</v>
      </c>
      <c r="R115" s="80">
        <f t="shared" si="47"/>
        <v>0</v>
      </c>
      <c r="S115" s="112">
        <v>0</v>
      </c>
      <c r="T115" s="80">
        <f t="shared" si="48"/>
        <v>0</v>
      </c>
      <c r="U115" s="112">
        <v>0</v>
      </c>
      <c r="V115" s="80">
        <f t="shared" si="49"/>
        <v>0</v>
      </c>
    </row>
    <row r="116" spans="1:22" ht="12.75" customHeight="1">
      <c r="A116" s="40" t="s">
        <v>451</v>
      </c>
      <c r="B116" s="42"/>
      <c r="C116" s="85">
        <f>SUM(C111:C115)</f>
        <v>0</v>
      </c>
      <c r="D116" s="83">
        <f t="shared" si="40"/>
        <v>0</v>
      </c>
      <c r="E116" s="85">
        <f>SUM(E111:E115)</f>
        <v>0</v>
      </c>
      <c r="F116" s="83">
        <f t="shared" si="41"/>
        <v>0</v>
      </c>
      <c r="G116" s="85">
        <f>SUM(G111:G115)</f>
        <v>0</v>
      </c>
      <c r="H116" s="83">
        <f t="shared" si="42"/>
        <v>0</v>
      </c>
      <c r="I116" s="85">
        <f>SUM(I111:I115)</f>
        <v>0</v>
      </c>
      <c r="J116" s="83">
        <f t="shared" si="43"/>
        <v>0</v>
      </c>
      <c r="K116" s="85">
        <f>SUM(K111:K115)</f>
        <v>0</v>
      </c>
      <c r="L116" s="83">
        <f t="shared" si="44"/>
        <v>0</v>
      </c>
      <c r="M116" s="85">
        <f>SUM(M111:M115)</f>
        <v>0</v>
      </c>
      <c r="N116" s="83">
        <f t="shared" si="45"/>
        <v>0</v>
      </c>
      <c r="O116" s="85">
        <f>SUM(O111:O115)</f>
        <v>0</v>
      </c>
      <c r="P116" s="83">
        <f t="shared" si="46"/>
        <v>0</v>
      </c>
      <c r="Q116" s="85">
        <f>SUM(Q111:Q115)</f>
        <v>0</v>
      </c>
      <c r="R116" s="83">
        <f t="shared" si="47"/>
        <v>0</v>
      </c>
      <c r="S116" s="85">
        <f>SUM(S111:S115)</f>
        <v>0</v>
      </c>
      <c r="T116" s="83">
        <f t="shared" si="48"/>
        <v>0</v>
      </c>
      <c r="U116" s="85">
        <f>SUM(U111:U115)</f>
        <v>0</v>
      </c>
      <c r="V116" s="83">
        <f t="shared" si="49"/>
        <v>0</v>
      </c>
    </row>
    <row r="118" spans="1:22" ht="12.75" customHeight="1">
      <c r="A118" s="43" t="s">
        <v>452</v>
      </c>
      <c r="B118" s="43"/>
    </row>
    <row r="119" spans="1:22" ht="12.75" customHeight="1">
      <c r="A119" s="47" t="s">
        <v>453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7" tint="0.59999389629810485"/>
  </sheetPr>
  <dimension ref="A1:X119"/>
  <sheetViews>
    <sheetView topLeftCell="A9" zoomScale="70" zoomScaleNormal="70" workbookViewId="0" xr3:uid="{0801C90D-E949-51CC-9495-7D82D7DEDABF}">
      <selection activeCell="W59" sqref="W59"/>
    </sheetView>
  </sheetViews>
  <sheetFormatPr defaultColWidth="9.140625" defaultRowHeight="12.75" customHeight="1"/>
  <cols>
    <col min="1" max="1" width="9.5703125" style="2" customWidth="1"/>
    <col min="2" max="2" width="42.42578125" style="2" customWidth="1"/>
    <col min="3" max="3" width="12.7109375" style="2" customWidth="1"/>
    <col min="4" max="4" width="8.7109375" style="2" customWidth="1"/>
    <col min="5" max="5" width="12.7109375" style="2" customWidth="1"/>
    <col min="6" max="6" width="8.7109375" style="2" customWidth="1"/>
    <col min="7" max="7" width="12.710937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355</v>
      </c>
      <c r="G2" s="33" t="s">
        <v>43</v>
      </c>
      <c r="H2" s="34"/>
      <c r="I2" s="34"/>
      <c r="V2" s="32"/>
    </row>
    <row r="3" spans="1:22" ht="12.75" customHeight="1">
      <c r="A3" s="1" t="s">
        <v>357</v>
      </c>
      <c r="D3" s="118" t="s">
        <v>358</v>
      </c>
      <c r="G3" s="115" t="str">
        <f>+G2</f>
        <v>Jamba Juice (Graham Center)</v>
      </c>
      <c r="H3" s="116"/>
      <c r="I3" s="116"/>
      <c r="V3" s="32"/>
    </row>
    <row r="4" spans="1:22" ht="12.75" customHeight="1">
      <c r="A4" s="1" t="s">
        <v>359</v>
      </c>
      <c r="B4" s="109" t="s">
        <v>221</v>
      </c>
      <c r="D4" s="118" t="s">
        <v>360</v>
      </c>
      <c r="G4" s="115" t="s">
        <v>65</v>
      </c>
      <c r="H4" s="116"/>
      <c r="I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361</v>
      </c>
      <c r="B7" s="1"/>
    </row>
    <row r="8" spans="1:22" ht="12.75" customHeight="1">
      <c r="A8" s="2" t="s">
        <v>362</v>
      </c>
      <c r="C8" s="109">
        <v>220</v>
      </c>
      <c r="E8" s="109">
        <f>+C8</f>
        <v>220</v>
      </c>
      <c r="G8" s="109">
        <f>+E8</f>
        <v>220</v>
      </c>
      <c r="I8" s="109">
        <f>+G8</f>
        <v>220</v>
      </c>
      <c r="K8" s="109">
        <f>+I8</f>
        <v>220</v>
      </c>
      <c r="M8" s="109">
        <f>+K8</f>
        <v>220</v>
      </c>
      <c r="O8" s="109">
        <f>+M8</f>
        <v>220</v>
      </c>
      <c r="Q8" s="109">
        <f>+O8</f>
        <v>220</v>
      </c>
      <c r="S8" s="109">
        <f>+Q8</f>
        <v>220</v>
      </c>
      <c r="U8" s="109">
        <f>+S8</f>
        <v>220</v>
      </c>
    </row>
    <row r="10" spans="1:22" ht="12.75" customHeight="1">
      <c r="A10" s="2" t="s">
        <v>462</v>
      </c>
      <c r="C10" s="109">
        <f>+C14/C8/C12</f>
        <v>438.38181818181812</v>
      </c>
      <c r="E10" s="109">
        <f>+E14/E8/E12</f>
        <v>451.37789040228063</v>
      </c>
      <c r="G10" s="109">
        <f>+G14/G8/G12</f>
        <v>467.9608585858586</v>
      </c>
      <c r="I10" s="109">
        <f>+I14/I8/I12</f>
        <v>486.05640460059874</v>
      </c>
      <c r="K10" s="109">
        <f>+K14/K8/K12</f>
        <v>498.50840006280424</v>
      </c>
      <c r="M10" s="109">
        <f>+M14/M8/M12</f>
        <v>511.65701768111404</v>
      </c>
      <c r="O10" s="109">
        <f>+O14/O8/O12</f>
        <v>525.49508810229224</v>
      </c>
      <c r="Q10" s="109">
        <f>+Q14/Q8/Q12</f>
        <v>539.23853923853926</v>
      </c>
      <c r="S10" s="109">
        <f>+S14/S8/S12</f>
        <v>553.66269165247013</v>
      </c>
      <c r="U10" s="109">
        <f>+U14/U8/U12</f>
        <v>567.98888717394664</v>
      </c>
    </row>
    <row r="12" spans="1:22" ht="12.75" customHeight="1">
      <c r="A12" s="2" t="s">
        <v>463</v>
      </c>
      <c r="C12" s="110">
        <v>5.68</v>
      </c>
      <c r="E12" s="110">
        <v>5.74</v>
      </c>
      <c r="G12" s="110">
        <v>5.76</v>
      </c>
      <c r="I12" s="110">
        <v>5.77</v>
      </c>
      <c r="K12" s="110">
        <v>5.79</v>
      </c>
      <c r="M12" s="110">
        <v>5.81</v>
      </c>
      <c r="O12" s="110">
        <v>5.83</v>
      </c>
      <c r="Q12" s="110">
        <v>5.85</v>
      </c>
      <c r="S12" s="110">
        <v>5.87</v>
      </c>
      <c r="U12" s="110">
        <v>5.89</v>
      </c>
    </row>
    <row r="14" spans="1:22" ht="12.75" customHeight="1">
      <c r="A14" s="2" t="s">
        <v>464</v>
      </c>
      <c r="C14" s="121">
        <v>547801.91999999993</v>
      </c>
      <c r="E14" s="121">
        <v>570000</v>
      </c>
      <c r="G14" s="121">
        <v>593000</v>
      </c>
      <c r="I14" s="121">
        <v>617000</v>
      </c>
      <c r="K14" s="121">
        <v>635000</v>
      </c>
      <c r="M14" s="121">
        <v>654000</v>
      </c>
      <c r="O14" s="121">
        <v>674000</v>
      </c>
      <c r="Q14" s="121">
        <v>694000</v>
      </c>
      <c r="S14" s="121">
        <v>715000</v>
      </c>
      <c r="U14" s="121">
        <v>736000</v>
      </c>
    </row>
    <row r="15" spans="1:22" ht="12.75" customHeight="1">
      <c r="A15" s="39">
        <v>0.05</v>
      </c>
    </row>
    <row r="16" spans="1:22" ht="12.75" customHeight="1">
      <c r="B16" s="35"/>
      <c r="C16" s="86" t="str">
        <f>C6</f>
        <v>FY 2018-19</v>
      </c>
      <c r="D16" s="86" t="s">
        <v>366</v>
      </c>
      <c r="E16" s="86" t="str">
        <f>E6</f>
        <v>FY 2019-20</v>
      </c>
      <c r="F16" s="86" t="s">
        <v>366</v>
      </c>
      <c r="G16" s="86" t="str">
        <f>G6</f>
        <v>FY 2020-21</v>
      </c>
      <c r="H16" s="86" t="s">
        <v>366</v>
      </c>
      <c r="I16" s="86" t="str">
        <f>I6</f>
        <v>FY 2021-22</v>
      </c>
      <c r="J16" s="86" t="s">
        <v>366</v>
      </c>
      <c r="K16" s="86" t="str">
        <f>K6</f>
        <v>FY 2022-23</v>
      </c>
      <c r="L16" s="86" t="s">
        <v>366</v>
      </c>
      <c r="M16" s="86" t="str">
        <f>M6</f>
        <v>FY 2023-24</v>
      </c>
      <c r="N16" s="86" t="s">
        <v>366</v>
      </c>
      <c r="O16" s="86" t="str">
        <f>O6</f>
        <v>FY 2024-25</v>
      </c>
      <c r="P16" s="86" t="s">
        <v>366</v>
      </c>
      <c r="Q16" s="86" t="str">
        <f>Q6</f>
        <v>FY 2025-26</v>
      </c>
      <c r="R16" s="86" t="s">
        <v>366</v>
      </c>
      <c r="S16" s="86" t="str">
        <f>S6</f>
        <v>FY 2026-27</v>
      </c>
      <c r="T16" s="86" t="s">
        <v>366</v>
      </c>
      <c r="U16" s="86" t="str">
        <f>U6</f>
        <v>FY 2027-28</v>
      </c>
      <c r="V16" s="86" t="s">
        <v>366</v>
      </c>
    </row>
    <row r="17" spans="1:24" ht="12.75" customHeight="1">
      <c r="A17" s="1" t="s">
        <v>367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368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369</v>
      </c>
      <c r="B19" s="35"/>
      <c r="C19" s="200">
        <f>+C14-C20-C21</f>
        <v>458071.96550399996</v>
      </c>
      <c r="D19" s="80">
        <f>IFERROR(C19/C$28,0)</f>
        <v>0.83619999999999983</v>
      </c>
      <c r="E19" s="200">
        <f>+E14-E20-E21</f>
        <v>456000</v>
      </c>
      <c r="F19" s="80">
        <f>IFERROR(E19/E$28,0)</f>
        <v>0.8</v>
      </c>
      <c r="G19" s="200">
        <f>+G14-G20-G21</f>
        <v>495866.6</v>
      </c>
      <c r="H19" s="80">
        <f>IFERROR(G19/G$28,0)</f>
        <v>0.83619999999999994</v>
      </c>
      <c r="I19" s="200">
        <f>+I14-I20-I21</f>
        <v>515935.4</v>
      </c>
      <c r="J19" s="80">
        <f>IFERROR(I19/I$28,0)</f>
        <v>0.83620000000000005</v>
      </c>
      <c r="K19" s="200">
        <f>+K14-K20-K21</f>
        <v>530987</v>
      </c>
      <c r="L19" s="80">
        <f>IFERROR(K19/K$28,0)</f>
        <v>0.83620000000000005</v>
      </c>
      <c r="M19" s="200">
        <f>+M14-M20-M21</f>
        <v>543604.80000000005</v>
      </c>
      <c r="N19" s="80">
        <f>IFERROR(M19/M$28,0)</f>
        <v>0.83120000000000005</v>
      </c>
      <c r="O19" s="200">
        <f>+O14-O20-O21</f>
        <v>560228.80000000005</v>
      </c>
      <c r="P19" s="80">
        <f>IFERROR(O19/O$28,0)</f>
        <v>0.83120000000000005</v>
      </c>
      <c r="Q19" s="200">
        <f>+Q14-Q20-Q21</f>
        <v>576852.80000000005</v>
      </c>
      <c r="R19" s="80">
        <f>IFERROR(Q19/Q$28,0)</f>
        <v>0.83120000000000005</v>
      </c>
      <c r="S19" s="200">
        <f>+S14-S20-S21</f>
        <v>594308</v>
      </c>
      <c r="T19" s="80">
        <f>IFERROR(S19/S$28,0)</f>
        <v>0.83120000000000005</v>
      </c>
      <c r="U19" s="200">
        <f>+U14-U20-U21</f>
        <v>611763.19999999995</v>
      </c>
      <c r="V19" s="80">
        <f>IFERROR(U19/U$28,0)</f>
        <v>0.83119999999999994</v>
      </c>
    </row>
    <row r="20" spans="1:24" ht="12.75" customHeight="1">
      <c r="A20" s="2" t="s">
        <v>370</v>
      </c>
      <c r="B20" s="35"/>
      <c r="C20" s="111">
        <f>+C14*12.38%</f>
        <v>67817.877695999996</v>
      </c>
      <c r="D20" s="80">
        <f>IFERROR(C20/C$28,0)</f>
        <v>0.12379999999999998</v>
      </c>
      <c r="E20" s="111">
        <f>+E14*16%</f>
        <v>91200</v>
      </c>
      <c r="F20" s="80">
        <f>IFERROR(E20/E$28,0)</f>
        <v>0.16</v>
      </c>
      <c r="G20" s="111">
        <f>+G14*12.38%</f>
        <v>73413.400000000009</v>
      </c>
      <c r="H20" s="80">
        <f>IFERROR(G20/G$28,0)</f>
        <v>0.12380000000000002</v>
      </c>
      <c r="I20" s="111">
        <f>+I14*12.38%</f>
        <v>76384.600000000006</v>
      </c>
      <c r="J20" s="80">
        <f>IFERROR(I20/I$28,0)</f>
        <v>0.12380000000000001</v>
      </c>
      <c r="K20" s="111">
        <f>+K14*12.38%</f>
        <v>78613</v>
      </c>
      <c r="L20" s="80">
        <f>IFERROR(K20/K$28,0)</f>
        <v>0.12379999999999999</v>
      </c>
      <c r="M20" s="111">
        <f>+M14*12.38%</f>
        <v>80965.200000000012</v>
      </c>
      <c r="N20" s="80">
        <f>IFERROR(M20/M$28,0)</f>
        <v>0.12380000000000002</v>
      </c>
      <c r="O20" s="111">
        <f>+O14*12.38%</f>
        <v>83441.200000000012</v>
      </c>
      <c r="P20" s="80">
        <f>IFERROR(O20/O$28,0)</f>
        <v>0.12380000000000002</v>
      </c>
      <c r="Q20" s="111">
        <f>+Q14*12.38%</f>
        <v>85917.200000000012</v>
      </c>
      <c r="R20" s="80">
        <f>IFERROR(Q20/Q$28,0)</f>
        <v>0.12380000000000002</v>
      </c>
      <c r="S20" s="111">
        <f>+S14*12.38%</f>
        <v>88517</v>
      </c>
      <c r="T20" s="80">
        <f>IFERROR(S20/S$28,0)</f>
        <v>0.12379999999999999</v>
      </c>
      <c r="U20" s="111">
        <f>+U14*12.38%</f>
        <v>91116.800000000003</v>
      </c>
      <c r="V20" s="80">
        <f>IFERROR(U20/U$28,0)</f>
        <v>0.12380000000000001</v>
      </c>
    </row>
    <row r="21" spans="1:24" ht="12.75" customHeight="1">
      <c r="A21" s="186" t="s">
        <v>371</v>
      </c>
      <c r="B21" s="195"/>
      <c r="C21" s="111">
        <f>+C14*0.04</f>
        <v>21912.076799999999</v>
      </c>
      <c r="D21" s="80">
        <f>IFERROR(C21/C$28,0)</f>
        <v>3.9999999999999994E-2</v>
      </c>
      <c r="E21" s="111">
        <f>+E14*0.04</f>
        <v>22800</v>
      </c>
      <c r="F21" s="80">
        <f>IFERROR(E21/E$28,0)</f>
        <v>0.04</v>
      </c>
      <c r="G21" s="111">
        <f>+G14*0.04</f>
        <v>23720</v>
      </c>
      <c r="H21" s="80">
        <f>IFERROR(G21/G$28,0)</f>
        <v>0.04</v>
      </c>
      <c r="I21" s="111">
        <f>+I14*0.04</f>
        <v>24680</v>
      </c>
      <c r="J21" s="80">
        <f>IFERROR(I21/I$28,0)</f>
        <v>0.04</v>
      </c>
      <c r="K21" s="111">
        <f>+K14*0.04</f>
        <v>25400</v>
      </c>
      <c r="L21" s="80">
        <f>IFERROR(K21/K$28,0)</f>
        <v>0.04</v>
      </c>
      <c r="M21" s="111">
        <f>+M14*0.045</f>
        <v>29430</v>
      </c>
      <c r="N21" s="80">
        <f>IFERROR(M21/M$28,0)</f>
        <v>4.4999999999999998E-2</v>
      </c>
      <c r="O21" s="111">
        <f>+O14*0.045</f>
        <v>30330</v>
      </c>
      <c r="P21" s="80">
        <f>IFERROR(O21/O$28,0)</f>
        <v>4.4999999999999998E-2</v>
      </c>
      <c r="Q21" s="111">
        <f>+Q14*0.045</f>
        <v>31230</v>
      </c>
      <c r="R21" s="80">
        <f>IFERROR(Q21/Q$28,0)</f>
        <v>4.4999999999999998E-2</v>
      </c>
      <c r="S21" s="111">
        <f>+S14*0.045</f>
        <v>32175</v>
      </c>
      <c r="T21" s="80">
        <f>IFERROR(S21/S$28,0)</f>
        <v>4.4999999999999998E-2</v>
      </c>
      <c r="U21" s="111">
        <f>+U14*0.045</f>
        <v>33120</v>
      </c>
      <c r="V21" s="80">
        <f>IFERROR(U21/U$28,0)</f>
        <v>4.4999999999999998E-2</v>
      </c>
    </row>
    <row r="22" spans="1:24" ht="12.75" customHeight="1">
      <c r="A22" s="2" t="s">
        <v>372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373</v>
      </c>
      <c r="B23" s="123"/>
      <c r="C23" s="79"/>
      <c r="D23" s="80">
        <f t="shared" ref="D23:D28" si="0">IFERROR(C23/C$28,0)</f>
        <v>0</v>
      </c>
      <c r="E23" s="79"/>
      <c r="F23" s="80">
        <f t="shared" ref="F23:F28" si="1">IFERROR(E23/E$28,0)</f>
        <v>0</v>
      </c>
      <c r="G23" s="79"/>
      <c r="H23" s="80">
        <f t="shared" ref="H23:H28" si="2">IFERROR(G23/G$28,0)</f>
        <v>0</v>
      </c>
      <c r="I23" s="79"/>
      <c r="J23" s="80">
        <f t="shared" ref="J23:J28" si="3">IFERROR(I23/I$28,0)</f>
        <v>0</v>
      </c>
      <c r="K23" s="79"/>
      <c r="L23" s="80">
        <f t="shared" ref="L23:L28" si="4">IFERROR(K23/K$28,0)</f>
        <v>0</v>
      </c>
      <c r="M23" s="79"/>
      <c r="N23" s="80">
        <f t="shared" ref="N23:N28" si="5">IFERROR(M23/M$28,0)</f>
        <v>0</v>
      </c>
      <c r="O23" s="79"/>
      <c r="P23" s="80">
        <f t="shared" ref="P23:P28" si="6">IFERROR(O23/O$28,0)</f>
        <v>0</v>
      </c>
      <c r="Q23" s="79"/>
      <c r="R23" s="80">
        <f t="shared" ref="R23:R28" si="7">IFERROR(Q23/Q$28,0)</f>
        <v>0</v>
      </c>
      <c r="S23" s="79"/>
      <c r="T23" s="80">
        <f t="shared" ref="T23:T28" si="8">IFERROR(S23/S$28,0)</f>
        <v>0</v>
      </c>
      <c r="U23" s="79"/>
      <c r="V23" s="80">
        <f t="shared" ref="V23:V28" si="9">IFERROR(U23/U$28,0)</f>
        <v>0</v>
      </c>
    </row>
    <row r="24" spans="1:24" ht="12.75" customHeight="1">
      <c r="A24" s="122" t="s">
        <v>374</v>
      </c>
      <c r="B24" s="123"/>
      <c r="C24" s="79"/>
      <c r="D24" s="80">
        <f t="shared" si="0"/>
        <v>0</v>
      </c>
      <c r="E24" s="79"/>
      <c r="F24" s="80">
        <f t="shared" si="1"/>
        <v>0</v>
      </c>
      <c r="G24" s="79"/>
      <c r="H24" s="80">
        <f t="shared" si="2"/>
        <v>0</v>
      </c>
      <c r="I24" s="79"/>
      <c r="J24" s="80">
        <f t="shared" si="3"/>
        <v>0</v>
      </c>
      <c r="K24" s="79"/>
      <c r="L24" s="80">
        <f t="shared" si="4"/>
        <v>0</v>
      </c>
      <c r="M24" s="79"/>
      <c r="N24" s="80">
        <f t="shared" si="5"/>
        <v>0</v>
      </c>
      <c r="O24" s="79"/>
      <c r="P24" s="80">
        <f t="shared" si="6"/>
        <v>0</v>
      </c>
      <c r="Q24" s="79"/>
      <c r="R24" s="80">
        <f t="shared" si="7"/>
        <v>0</v>
      </c>
      <c r="S24" s="79"/>
      <c r="T24" s="80">
        <f t="shared" si="8"/>
        <v>0</v>
      </c>
      <c r="U24" s="79"/>
      <c r="V24" s="80">
        <f t="shared" si="9"/>
        <v>0</v>
      </c>
      <c r="X24" s="79"/>
    </row>
    <row r="25" spans="1:24" ht="12.75" customHeight="1">
      <c r="A25" s="2" t="s">
        <v>375</v>
      </c>
      <c r="B25" s="35"/>
      <c r="C25" s="111"/>
      <c r="D25" s="80">
        <f t="shared" si="0"/>
        <v>0</v>
      </c>
      <c r="E25" s="111"/>
      <c r="F25" s="80">
        <f t="shared" si="1"/>
        <v>0</v>
      </c>
      <c r="G25" s="111"/>
      <c r="H25" s="80">
        <f t="shared" si="2"/>
        <v>0</v>
      </c>
      <c r="I25" s="111"/>
      <c r="J25" s="80">
        <f t="shared" si="3"/>
        <v>0</v>
      </c>
      <c r="K25" s="111"/>
      <c r="L25" s="80">
        <f t="shared" si="4"/>
        <v>0</v>
      </c>
      <c r="M25" s="111"/>
      <c r="N25" s="80">
        <f t="shared" si="5"/>
        <v>0</v>
      </c>
      <c r="O25" s="111"/>
      <c r="P25" s="80">
        <f t="shared" si="6"/>
        <v>0</v>
      </c>
      <c r="Q25" s="111"/>
      <c r="R25" s="80">
        <f t="shared" si="7"/>
        <v>0</v>
      </c>
      <c r="S25" s="111"/>
      <c r="T25" s="80">
        <f t="shared" si="8"/>
        <v>0</v>
      </c>
      <c r="U25" s="111"/>
      <c r="V25" s="80">
        <f t="shared" si="9"/>
        <v>0</v>
      </c>
      <c r="X25" s="79"/>
    </row>
    <row r="26" spans="1:24" ht="12.75" customHeight="1">
      <c r="A26" s="122" t="s">
        <v>376</v>
      </c>
      <c r="B26" s="35"/>
      <c r="C26" s="79"/>
      <c r="D26" s="80">
        <f t="shared" si="0"/>
        <v>0</v>
      </c>
      <c r="E26" s="79"/>
      <c r="F26" s="80">
        <f t="shared" si="1"/>
        <v>0</v>
      </c>
      <c r="G26" s="79"/>
      <c r="H26" s="80">
        <f t="shared" si="2"/>
        <v>0</v>
      </c>
      <c r="I26" s="79"/>
      <c r="J26" s="80">
        <f t="shared" si="3"/>
        <v>0</v>
      </c>
      <c r="K26" s="79"/>
      <c r="L26" s="80">
        <f t="shared" si="4"/>
        <v>0</v>
      </c>
      <c r="M26" s="79"/>
      <c r="N26" s="80">
        <f t="shared" si="5"/>
        <v>0</v>
      </c>
      <c r="O26" s="79"/>
      <c r="P26" s="80">
        <f t="shared" si="6"/>
        <v>0</v>
      </c>
      <c r="Q26" s="79"/>
      <c r="R26" s="80">
        <f t="shared" si="7"/>
        <v>0</v>
      </c>
      <c r="S26" s="79"/>
      <c r="T26" s="80">
        <f t="shared" si="8"/>
        <v>0</v>
      </c>
      <c r="U26" s="79"/>
      <c r="V26" s="80">
        <f t="shared" si="9"/>
        <v>0</v>
      </c>
    </row>
    <row r="27" spans="1:24" ht="12.75" customHeight="1">
      <c r="A27" s="2" t="s">
        <v>377</v>
      </c>
      <c r="B27" s="35"/>
      <c r="C27" s="112"/>
      <c r="D27" s="80">
        <f t="shared" si="0"/>
        <v>0</v>
      </c>
      <c r="E27" s="112"/>
      <c r="F27" s="80">
        <f t="shared" si="1"/>
        <v>0</v>
      </c>
      <c r="G27" s="112"/>
      <c r="H27" s="80">
        <f t="shared" si="2"/>
        <v>0</v>
      </c>
      <c r="I27" s="112"/>
      <c r="J27" s="80">
        <f t="shared" si="3"/>
        <v>0</v>
      </c>
      <c r="K27" s="112"/>
      <c r="L27" s="80">
        <f t="shared" si="4"/>
        <v>0</v>
      </c>
      <c r="M27" s="112"/>
      <c r="N27" s="80">
        <f t="shared" si="5"/>
        <v>0</v>
      </c>
      <c r="O27" s="112"/>
      <c r="P27" s="80">
        <f t="shared" si="6"/>
        <v>0</v>
      </c>
      <c r="Q27" s="112"/>
      <c r="R27" s="80">
        <f t="shared" si="7"/>
        <v>0</v>
      </c>
      <c r="S27" s="112"/>
      <c r="T27" s="80">
        <f t="shared" si="8"/>
        <v>0</v>
      </c>
      <c r="U27" s="112"/>
      <c r="V27" s="80">
        <f t="shared" si="9"/>
        <v>0</v>
      </c>
    </row>
    <row r="28" spans="1:24" ht="12.75" customHeight="1">
      <c r="A28" s="1" t="s">
        <v>378</v>
      </c>
      <c r="B28" s="53"/>
      <c r="C28" s="82">
        <f>SUM(C19:C27)</f>
        <v>547801.92000000004</v>
      </c>
      <c r="D28" s="83">
        <f t="shared" si="0"/>
        <v>1</v>
      </c>
      <c r="E28" s="82">
        <f>SUM(E19:E27)</f>
        <v>570000</v>
      </c>
      <c r="F28" s="83">
        <f t="shared" si="1"/>
        <v>1</v>
      </c>
      <c r="G28" s="82">
        <f>SUM(G19:G27)</f>
        <v>593000</v>
      </c>
      <c r="H28" s="83">
        <f t="shared" si="2"/>
        <v>1</v>
      </c>
      <c r="I28" s="82">
        <f>SUM(I19:I27)</f>
        <v>617000</v>
      </c>
      <c r="J28" s="83">
        <f t="shared" si="3"/>
        <v>1</v>
      </c>
      <c r="K28" s="82">
        <f>SUM(K19:K27)</f>
        <v>635000</v>
      </c>
      <c r="L28" s="83">
        <f t="shared" si="4"/>
        <v>1</v>
      </c>
      <c r="M28" s="82">
        <f>SUM(M19:M27)</f>
        <v>654000</v>
      </c>
      <c r="N28" s="83">
        <f t="shared" si="5"/>
        <v>1</v>
      </c>
      <c r="O28" s="82">
        <f>SUM(O19:O27)</f>
        <v>674000</v>
      </c>
      <c r="P28" s="83">
        <f t="shared" si="6"/>
        <v>1</v>
      </c>
      <c r="Q28" s="82">
        <f>SUM(Q19:Q27)</f>
        <v>694000</v>
      </c>
      <c r="R28" s="83">
        <f t="shared" si="7"/>
        <v>1</v>
      </c>
      <c r="S28" s="82">
        <f>SUM(S19:S27)</f>
        <v>715000</v>
      </c>
      <c r="T28" s="83">
        <f t="shared" si="8"/>
        <v>1</v>
      </c>
      <c r="U28" s="82">
        <f>SUM(U19:U27)</f>
        <v>736000</v>
      </c>
      <c r="V28" s="83">
        <f t="shared" si="9"/>
        <v>1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379</v>
      </c>
      <c r="B30" s="53"/>
      <c r="C30" s="197">
        <v>0.26100000000000001</v>
      </c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380</v>
      </c>
      <c r="B31" s="35"/>
      <c r="C31" s="178">
        <f>$C$30*C14</f>
        <v>142976.30111999999</v>
      </c>
      <c r="D31" s="80">
        <f>IFERROR(C31/C$28,0)</f>
        <v>0.26099999999999995</v>
      </c>
      <c r="E31" s="178">
        <f>$C$30*E14</f>
        <v>148770</v>
      </c>
      <c r="F31" s="80">
        <f>IFERROR(E31/E$28,0)</f>
        <v>0.26100000000000001</v>
      </c>
      <c r="G31" s="178">
        <f>$C$30*G14</f>
        <v>154773</v>
      </c>
      <c r="H31" s="80">
        <f>IFERROR(G31/G$28,0)</f>
        <v>0.26100000000000001</v>
      </c>
      <c r="I31" s="178">
        <f>$C$30*I14</f>
        <v>161037</v>
      </c>
      <c r="J31" s="80">
        <f>IFERROR(I31/I$28,0)</f>
        <v>0.26100000000000001</v>
      </c>
      <c r="K31" s="178">
        <f>$C$30*K14</f>
        <v>165735</v>
      </c>
      <c r="L31" s="80">
        <f>IFERROR(K31/K$28,0)</f>
        <v>0.26100000000000001</v>
      </c>
      <c r="M31" s="178">
        <f>$C$30*M14</f>
        <v>170694</v>
      </c>
      <c r="N31" s="80">
        <f>IFERROR(M31/M$28,0)</f>
        <v>0.26100000000000001</v>
      </c>
      <c r="O31" s="178">
        <f>$C$30*O14</f>
        <v>175914</v>
      </c>
      <c r="P31" s="80">
        <f>IFERROR(O31/O$28,0)</f>
        <v>0.26100000000000001</v>
      </c>
      <c r="Q31" s="178">
        <f>$C$30*Q14</f>
        <v>181134</v>
      </c>
      <c r="R31" s="80">
        <f>IFERROR(Q31/Q$28,0)</f>
        <v>0.26100000000000001</v>
      </c>
      <c r="S31" s="178">
        <f>$C$30*S14</f>
        <v>186615</v>
      </c>
      <c r="T31" s="80">
        <f>IFERROR(S31/S$28,0)</f>
        <v>0.26100000000000001</v>
      </c>
      <c r="U31" s="178">
        <f>$C$30*U14</f>
        <v>192096</v>
      </c>
      <c r="V31" s="80">
        <f>IFERROR(U31/U$28,0)</f>
        <v>0.26100000000000001</v>
      </c>
    </row>
    <row r="32" spans="1:24" ht="12.75" customHeight="1">
      <c r="A32" s="8" t="s">
        <v>381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382</v>
      </c>
      <c r="B33" s="53"/>
      <c r="C33" s="82">
        <f>SUM(C31:C32)</f>
        <v>142976.30111999999</v>
      </c>
      <c r="D33" s="83">
        <f>IFERROR(C33/C$28,0)</f>
        <v>0.26099999999999995</v>
      </c>
      <c r="E33" s="82">
        <f>SUM(E31:E32)</f>
        <v>148770</v>
      </c>
      <c r="F33" s="83">
        <f>IFERROR(E33/E$28,0)</f>
        <v>0.26100000000000001</v>
      </c>
      <c r="G33" s="82">
        <f>SUM(G31:G32)</f>
        <v>154773</v>
      </c>
      <c r="H33" s="83">
        <f>IFERROR(G33/G$28,0)</f>
        <v>0.26100000000000001</v>
      </c>
      <c r="I33" s="82">
        <f>SUM(I31:I32)</f>
        <v>161037</v>
      </c>
      <c r="J33" s="83">
        <f>IFERROR(I33/I$28,0)</f>
        <v>0.26100000000000001</v>
      </c>
      <c r="K33" s="82">
        <f>SUM(K31:K32)</f>
        <v>165735</v>
      </c>
      <c r="L33" s="83">
        <f>IFERROR(K33/K$28,0)</f>
        <v>0.26100000000000001</v>
      </c>
      <c r="M33" s="82">
        <f>SUM(M31:M32)</f>
        <v>170694</v>
      </c>
      <c r="N33" s="83">
        <f>IFERROR(M33/M$28,0)</f>
        <v>0.26100000000000001</v>
      </c>
      <c r="O33" s="82">
        <f>SUM(O31:O32)</f>
        <v>175914</v>
      </c>
      <c r="P33" s="83">
        <f>IFERROR(O33/O$28,0)</f>
        <v>0.26100000000000001</v>
      </c>
      <c r="Q33" s="82">
        <f>SUM(Q31:Q32)</f>
        <v>181134</v>
      </c>
      <c r="R33" s="83">
        <f>IFERROR(Q33/Q$28,0)</f>
        <v>0.26100000000000001</v>
      </c>
      <c r="S33" s="82">
        <f>SUM(S31:S32)</f>
        <v>186615</v>
      </c>
      <c r="T33" s="83">
        <f>IFERROR(S33/S$28,0)</f>
        <v>0.26100000000000001</v>
      </c>
      <c r="U33" s="82">
        <f>SUM(U31:U32)</f>
        <v>192096</v>
      </c>
      <c r="V33" s="83">
        <f>IFERROR(U33/U$28,0)</f>
        <v>0.26100000000000001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383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384</v>
      </c>
      <c r="B36" s="35"/>
      <c r="C36" s="178"/>
      <c r="D36" s="80">
        <f t="shared" ref="D36:D46" si="10">IFERROR(C36/C$28,0)</f>
        <v>0</v>
      </c>
      <c r="E36" s="178"/>
      <c r="F36" s="80">
        <f t="shared" ref="F36:F46" si="11">IFERROR(E36/E$28,0)</f>
        <v>0</v>
      </c>
      <c r="G36" s="178"/>
      <c r="H36" s="80">
        <f t="shared" ref="H36:H46" si="12">IFERROR(G36/G$28,0)</f>
        <v>0</v>
      </c>
      <c r="I36" s="178"/>
      <c r="J36" s="80">
        <f t="shared" ref="J36:J46" si="13">IFERROR(I36/I$28,0)</f>
        <v>0</v>
      </c>
      <c r="K36" s="178"/>
      <c r="L36" s="80">
        <f t="shared" ref="L36:L46" si="14">IFERROR(K36/K$28,0)</f>
        <v>0</v>
      </c>
      <c r="M36" s="178"/>
      <c r="N36" s="80">
        <f t="shared" ref="N36:N46" si="15">IFERROR(M36/M$28,0)</f>
        <v>0</v>
      </c>
      <c r="O36" s="178"/>
      <c r="P36" s="80">
        <f t="shared" ref="P36:P46" si="16">IFERROR(O36/O$28,0)</f>
        <v>0</v>
      </c>
      <c r="Q36" s="178"/>
      <c r="R36" s="80">
        <f t="shared" ref="R36:R46" si="17">IFERROR(Q36/Q$28,0)</f>
        <v>0</v>
      </c>
      <c r="S36" s="178"/>
      <c r="T36" s="80">
        <f t="shared" ref="T36:T46" si="18">IFERROR(S36/S$28,0)</f>
        <v>0</v>
      </c>
      <c r="U36" s="178"/>
      <c r="V36" s="80">
        <f t="shared" ref="V36:V46" si="19">IFERROR(U36/U$28,0)</f>
        <v>0</v>
      </c>
    </row>
    <row r="37" spans="1:22" ht="12.75" customHeight="1">
      <c r="A37" s="2" t="s">
        <v>385</v>
      </c>
      <c r="B37" s="35"/>
      <c r="C37" s="178">
        <v>50586</v>
      </c>
      <c r="D37" s="80">
        <f t="shared" si="10"/>
        <v>9.2343597481366974E-2</v>
      </c>
      <c r="E37" s="178">
        <f>+C37*1.12</f>
        <v>56656.320000000007</v>
      </c>
      <c r="F37" s="80">
        <f t="shared" si="11"/>
        <v>9.9397052631578955E-2</v>
      </c>
      <c r="G37" s="178">
        <f>+E37*1.035</f>
        <v>58639.2912</v>
      </c>
      <c r="H37" s="80">
        <f t="shared" si="12"/>
        <v>9.888581989881956E-2</v>
      </c>
      <c r="I37" s="178">
        <f>+G37*1.032</f>
        <v>60515.748518400003</v>
      </c>
      <c r="J37" s="80">
        <f t="shared" si="13"/>
        <v>9.8080629689465154E-2</v>
      </c>
      <c r="K37" s="178">
        <f>+I37*1.025</f>
        <v>62028.642231359998</v>
      </c>
      <c r="L37" s="80">
        <f t="shared" si="14"/>
        <v>9.7682901151748033E-2</v>
      </c>
      <c r="M37" s="178">
        <f>+K37*1.025</f>
        <v>63579.358287143994</v>
      </c>
      <c r="N37" s="80">
        <f t="shared" si="15"/>
        <v>9.7216144169944951E-2</v>
      </c>
      <c r="O37" s="178">
        <f>+M37*1.025</f>
        <v>65168.842244322586</v>
      </c>
      <c r="P37" s="80">
        <f t="shared" si="16"/>
        <v>9.6689676920359915E-2</v>
      </c>
      <c r="Q37" s="178">
        <f>+O37*1.025</f>
        <v>66798.063300430644</v>
      </c>
      <c r="R37" s="80">
        <f t="shared" si="17"/>
        <v>9.6250811672090264E-2</v>
      </c>
      <c r="S37" s="178">
        <f>+Q37*1.025</f>
        <v>68468.01488294141</v>
      </c>
      <c r="T37" s="80">
        <f t="shared" si="18"/>
        <v>9.5759461374743227E-2</v>
      </c>
      <c r="U37" s="178">
        <f>+S37*1.025</f>
        <v>70179.715255014933</v>
      </c>
      <c r="V37" s="80">
        <f t="shared" si="19"/>
        <v>9.5352873987792033E-2</v>
      </c>
    </row>
    <row r="38" spans="1:22" ht="12.75" customHeight="1">
      <c r="A38" s="2" t="s">
        <v>386</v>
      </c>
      <c r="B38" s="35"/>
      <c r="C38" s="178"/>
      <c r="D38" s="80">
        <f t="shared" si="10"/>
        <v>0</v>
      </c>
      <c r="E38" s="178">
        <f t="shared" ref="E38" si="20">+C38*1.112</f>
        <v>0</v>
      </c>
      <c r="F38" s="80">
        <f t="shared" si="11"/>
        <v>0</v>
      </c>
      <c r="G38" s="178">
        <f>+E38*1.035</f>
        <v>0</v>
      </c>
      <c r="H38" s="80">
        <f t="shared" si="12"/>
        <v>0</v>
      </c>
      <c r="I38" s="178">
        <f>+G38*1.032</f>
        <v>0</v>
      </c>
      <c r="J38" s="80">
        <f t="shared" si="13"/>
        <v>0</v>
      </c>
      <c r="K38" s="178">
        <f>+I38*1.025</f>
        <v>0</v>
      </c>
      <c r="L38" s="80">
        <f t="shared" si="14"/>
        <v>0</v>
      </c>
      <c r="M38" s="178">
        <f>+K38*1.025</f>
        <v>0</v>
      </c>
      <c r="N38" s="80">
        <f t="shared" si="15"/>
        <v>0</v>
      </c>
      <c r="O38" s="178">
        <f>+M38*1.025</f>
        <v>0</v>
      </c>
      <c r="P38" s="80">
        <f t="shared" si="16"/>
        <v>0</v>
      </c>
      <c r="Q38" s="178">
        <f>+O38*1.025</f>
        <v>0</v>
      </c>
      <c r="R38" s="80">
        <f t="shared" si="17"/>
        <v>0</v>
      </c>
      <c r="S38" s="178">
        <f>+Q38*1.025</f>
        <v>0</v>
      </c>
      <c r="T38" s="80">
        <f t="shared" si="18"/>
        <v>0</v>
      </c>
      <c r="U38" s="178">
        <f>+S38*1.025</f>
        <v>0</v>
      </c>
      <c r="V38" s="80">
        <f t="shared" si="19"/>
        <v>0</v>
      </c>
    </row>
    <row r="39" spans="1:22" ht="12.75" customHeight="1">
      <c r="A39" s="2" t="s">
        <v>387</v>
      </c>
      <c r="B39" s="35"/>
      <c r="C39" s="178">
        <v>98670</v>
      </c>
      <c r="D39" s="80">
        <f t="shared" si="10"/>
        <v>0.18011985062045782</v>
      </c>
      <c r="E39" s="178">
        <f>+C39*1.11</f>
        <v>109523.70000000001</v>
      </c>
      <c r="F39" s="80">
        <f t="shared" si="11"/>
        <v>0.19214684210526317</v>
      </c>
      <c r="G39" s="178">
        <f>+E39*1.035</f>
        <v>113357.0295</v>
      </c>
      <c r="H39" s="80">
        <f t="shared" si="12"/>
        <v>0.19115856576728499</v>
      </c>
      <c r="I39" s="178">
        <f>+G39*1.032</f>
        <v>116984.454444</v>
      </c>
      <c r="J39" s="80">
        <f t="shared" si="13"/>
        <v>0.1896020331345219</v>
      </c>
      <c r="K39" s="178">
        <f>+I39*1.025</f>
        <v>119909.06580509999</v>
      </c>
      <c r="L39" s="80">
        <f t="shared" si="14"/>
        <v>0.18883317449622045</v>
      </c>
      <c r="M39" s="178">
        <f>+K39*1.025</f>
        <v>122906.79245022748</v>
      </c>
      <c r="N39" s="80">
        <f t="shared" si="15"/>
        <v>0.18793087530615823</v>
      </c>
      <c r="O39" s="178">
        <f>+M39*1.025</f>
        <v>125979.46226148316</v>
      </c>
      <c r="P39" s="80">
        <f t="shared" si="16"/>
        <v>0.18691314875590972</v>
      </c>
      <c r="Q39" s="178">
        <f>+O39*1.025</f>
        <v>129128.94881802023</v>
      </c>
      <c r="R39" s="80">
        <f t="shared" si="17"/>
        <v>0.18606476774930869</v>
      </c>
      <c r="S39" s="178">
        <f>+Q39*1.02</f>
        <v>131711.52779438064</v>
      </c>
      <c r="T39" s="80">
        <f t="shared" si="18"/>
        <v>0.18421192698514774</v>
      </c>
      <c r="U39" s="178">
        <f>+S39*1.025</f>
        <v>135004.31598924016</v>
      </c>
      <c r="V39" s="80">
        <f t="shared" si="19"/>
        <v>0.18342977715929371</v>
      </c>
    </row>
    <row r="40" spans="1:22" ht="12.75" customHeight="1">
      <c r="A40" s="2" t="s">
        <v>388</v>
      </c>
      <c r="B40" s="35"/>
      <c r="C40" s="178">
        <f>C36*0.124</f>
        <v>0</v>
      </c>
      <c r="D40" s="80">
        <f t="shared" si="10"/>
        <v>0</v>
      </c>
      <c r="E40" s="178">
        <f>E36*0.124</f>
        <v>0</v>
      </c>
      <c r="F40" s="80">
        <f t="shared" si="11"/>
        <v>0</v>
      </c>
      <c r="G40" s="178">
        <f>G36*0.124</f>
        <v>0</v>
      </c>
      <c r="H40" s="80">
        <f t="shared" si="12"/>
        <v>0</v>
      </c>
      <c r="I40" s="178">
        <f>I36*0.124</f>
        <v>0</v>
      </c>
      <c r="J40" s="80">
        <f t="shared" si="13"/>
        <v>0</v>
      </c>
      <c r="K40" s="178">
        <f>K36*0.124</f>
        <v>0</v>
      </c>
      <c r="L40" s="80">
        <f t="shared" si="14"/>
        <v>0</v>
      </c>
      <c r="M40" s="178">
        <f>M36*0.124</f>
        <v>0</v>
      </c>
      <c r="N40" s="80">
        <f t="shared" si="15"/>
        <v>0</v>
      </c>
      <c r="O40" s="178">
        <f>O36*0.124</f>
        <v>0</v>
      </c>
      <c r="P40" s="80">
        <f t="shared" si="16"/>
        <v>0</v>
      </c>
      <c r="Q40" s="178">
        <f>Q36*0.124</f>
        <v>0</v>
      </c>
      <c r="R40" s="80">
        <f t="shared" si="17"/>
        <v>0</v>
      </c>
      <c r="S40" s="178">
        <f>S36*0.124</f>
        <v>0</v>
      </c>
      <c r="T40" s="80">
        <f t="shared" si="18"/>
        <v>0</v>
      </c>
      <c r="U40" s="178">
        <f>U36*0.124</f>
        <v>0</v>
      </c>
      <c r="V40" s="80">
        <f t="shared" si="19"/>
        <v>0</v>
      </c>
    </row>
    <row r="41" spans="1:22" ht="12.75" customHeight="1">
      <c r="A41" s="2" t="s">
        <v>389</v>
      </c>
      <c r="B41" s="35"/>
      <c r="C41" s="178">
        <f>C37*0.124</f>
        <v>6272.6639999999998</v>
      </c>
      <c r="D41" s="80">
        <f t="shared" si="10"/>
        <v>1.1450606087689505E-2</v>
      </c>
      <c r="E41" s="178">
        <f>E37*0.124</f>
        <v>7025.3836800000008</v>
      </c>
      <c r="F41" s="80">
        <f t="shared" si="11"/>
        <v>1.232523452631579E-2</v>
      </c>
      <c r="G41" s="178">
        <f>G37*0.124</f>
        <v>7271.2721087999998</v>
      </c>
      <c r="H41" s="80">
        <f t="shared" si="12"/>
        <v>1.2261841667453626E-2</v>
      </c>
      <c r="I41" s="178">
        <f>I37*0.124</f>
        <v>7503.9528162816005</v>
      </c>
      <c r="J41" s="80">
        <f t="shared" si="13"/>
        <v>1.216199808149368E-2</v>
      </c>
      <c r="K41" s="178">
        <f>K37*0.124</f>
        <v>7691.5516366886395</v>
      </c>
      <c r="L41" s="80">
        <f t="shared" si="14"/>
        <v>1.2112679742816755E-2</v>
      </c>
      <c r="M41" s="178">
        <f>M37*0.124</f>
        <v>7883.8404276058554</v>
      </c>
      <c r="N41" s="80">
        <f t="shared" si="15"/>
        <v>1.2054801877073173E-2</v>
      </c>
      <c r="O41" s="178">
        <f>O37*0.124</f>
        <v>8080.9364382960002</v>
      </c>
      <c r="P41" s="80">
        <f t="shared" si="16"/>
        <v>1.1989519938124629E-2</v>
      </c>
      <c r="Q41" s="178">
        <f>Q37*0.124</f>
        <v>8282.9598492534005</v>
      </c>
      <c r="R41" s="80">
        <f t="shared" si="17"/>
        <v>1.1935100647339193E-2</v>
      </c>
      <c r="S41" s="178">
        <f>S37*0.124</f>
        <v>8490.0338454847351</v>
      </c>
      <c r="T41" s="80">
        <f t="shared" si="18"/>
        <v>1.187417321046816E-2</v>
      </c>
      <c r="U41" s="178">
        <f>U37*0.124</f>
        <v>8702.2846916218514</v>
      </c>
      <c r="V41" s="80">
        <f t="shared" si="19"/>
        <v>1.1823756374486211E-2</v>
      </c>
    </row>
    <row r="42" spans="1:22" ht="12.75" customHeight="1">
      <c r="A42" s="2" t="s">
        <v>390</v>
      </c>
      <c r="B42" s="35"/>
      <c r="C42" s="178"/>
      <c r="D42" s="80">
        <f t="shared" si="10"/>
        <v>0</v>
      </c>
      <c r="E42" s="178"/>
      <c r="F42" s="80">
        <f t="shared" si="11"/>
        <v>0</v>
      </c>
      <c r="G42" s="178"/>
      <c r="H42" s="80">
        <f t="shared" si="12"/>
        <v>0</v>
      </c>
      <c r="I42" s="178"/>
      <c r="J42" s="80">
        <f t="shared" si="13"/>
        <v>0</v>
      </c>
      <c r="K42" s="178"/>
      <c r="L42" s="80">
        <f t="shared" si="14"/>
        <v>0</v>
      </c>
      <c r="M42" s="178"/>
      <c r="N42" s="80">
        <f t="shared" si="15"/>
        <v>0</v>
      </c>
      <c r="O42" s="178"/>
      <c r="P42" s="80">
        <f t="shared" si="16"/>
        <v>0</v>
      </c>
      <c r="Q42" s="178"/>
      <c r="R42" s="80">
        <f t="shared" si="17"/>
        <v>0</v>
      </c>
      <c r="S42" s="178"/>
      <c r="T42" s="80">
        <f t="shared" si="18"/>
        <v>0</v>
      </c>
      <c r="U42" s="178"/>
      <c r="V42" s="80">
        <f t="shared" si="19"/>
        <v>0</v>
      </c>
    </row>
    <row r="43" spans="1:22" ht="12.75" customHeight="1">
      <c r="A43" s="2" t="s">
        <v>391</v>
      </c>
      <c r="B43" s="35"/>
      <c r="C43" s="178"/>
      <c r="D43" s="80">
        <f t="shared" si="10"/>
        <v>0</v>
      </c>
      <c r="E43" s="178"/>
      <c r="F43" s="80">
        <f t="shared" si="11"/>
        <v>0</v>
      </c>
      <c r="G43" s="178"/>
      <c r="H43" s="80">
        <f t="shared" si="12"/>
        <v>0</v>
      </c>
      <c r="I43" s="178"/>
      <c r="J43" s="80">
        <f t="shared" si="13"/>
        <v>0</v>
      </c>
      <c r="K43" s="178"/>
      <c r="L43" s="80">
        <f t="shared" si="14"/>
        <v>0</v>
      </c>
      <c r="M43" s="178"/>
      <c r="N43" s="80">
        <f t="shared" si="15"/>
        <v>0</v>
      </c>
      <c r="O43" s="178"/>
      <c r="P43" s="80">
        <f t="shared" si="16"/>
        <v>0</v>
      </c>
      <c r="Q43" s="178"/>
      <c r="R43" s="80">
        <f t="shared" si="17"/>
        <v>0</v>
      </c>
      <c r="S43" s="178"/>
      <c r="T43" s="80">
        <f t="shared" si="18"/>
        <v>0</v>
      </c>
      <c r="U43" s="178"/>
      <c r="V43" s="80">
        <f t="shared" si="19"/>
        <v>0</v>
      </c>
    </row>
    <row r="44" spans="1:22" ht="12.75" customHeight="1">
      <c r="A44" s="2" t="s">
        <v>392</v>
      </c>
      <c r="B44" s="35"/>
      <c r="C44" s="178"/>
      <c r="D44" s="80">
        <f t="shared" si="10"/>
        <v>0</v>
      </c>
      <c r="E44" s="178"/>
      <c r="F44" s="80">
        <f t="shared" si="11"/>
        <v>0</v>
      </c>
      <c r="G44" s="178"/>
      <c r="H44" s="80">
        <f t="shared" si="12"/>
        <v>0</v>
      </c>
      <c r="I44" s="178"/>
      <c r="J44" s="80">
        <f t="shared" si="13"/>
        <v>0</v>
      </c>
      <c r="K44" s="178"/>
      <c r="L44" s="80">
        <f t="shared" si="14"/>
        <v>0</v>
      </c>
      <c r="M44" s="178"/>
      <c r="N44" s="80">
        <f t="shared" si="15"/>
        <v>0</v>
      </c>
      <c r="O44" s="178"/>
      <c r="P44" s="80">
        <f t="shared" si="16"/>
        <v>0</v>
      </c>
      <c r="Q44" s="178"/>
      <c r="R44" s="80">
        <f t="shared" si="17"/>
        <v>0</v>
      </c>
      <c r="S44" s="178"/>
      <c r="T44" s="80">
        <f t="shared" si="18"/>
        <v>0</v>
      </c>
      <c r="U44" s="178"/>
      <c r="V44" s="80">
        <f t="shared" si="19"/>
        <v>0</v>
      </c>
    </row>
    <row r="45" spans="1:22" ht="12.75" customHeight="1">
      <c r="A45" s="2" t="s">
        <v>393</v>
      </c>
      <c r="B45" s="35"/>
      <c r="C45" s="181">
        <f>SUM(C36:C39)*0.094</f>
        <v>14030.064</v>
      </c>
      <c r="D45" s="80">
        <f t="shared" si="10"/>
        <v>2.5611564121571534E-2</v>
      </c>
      <c r="E45" s="181">
        <f>SUM(E36:E39)*0.094</f>
        <v>15620.921880000002</v>
      </c>
      <c r="F45" s="80">
        <f t="shared" si="11"/>
        <v>2.7405126105263161E-2</v>
      </c>
      <c r="G45" s="181">
        <f>SUM(G36:G39)*0.094</f>
        <v>16167.654145800001</v>
      </c>
      <c r="H45" s="80">
        <f t="shared" si="12"/>
        <v>2.7264172252613829E-2</v>
      </c>
      <c r="I45" s="181">
        <f>SUM(I36:I39)*0.094</f>
        <v>16685.019078465601</v>
      </c>
      <c r="J45" s="80">
        <f t="shared" si="13"/>
        <v>2.7042170305454784E-2</v>
      </c>
      <c r="K45" s="181">
        <f>SUM(K36:K39)*0.094</f>
        <v>17102.14455542724</v>
      </c>
      <c r="L45" s="80">
        <f t="shared" si="14"/>
        <v>2.6932511110909038E-2</v>
      </c>
      <c r="M45" s="181">
        <f>SUM(M36:M39)*0.094</f>
        <v>17529.698169312916</v>
      </c>
      <c r="N45" s="80">
        <f t="shared" si="15"/>
        <v>2.6803819830753695E-2</v>
      </c>
      <c r="O45" s="181">
        <f>SUM(O36:O39)*0.094</f>
        <v>17967.940623545739</v>
      </c>
      <c r="P45" s="80">
        <f t="shared" si="16"/>
        <v>2.6658665613569346E-2</v>
      </c>
      <c r="Q45" s="181">
        <f>SUM(Q36:Q39)*0.094</f>
        <v>18417.139139134382</v>
      </c>
      <c r="R45" s="80">
        <f t="shared" si="17"/>
        <v>2.6537664465611503E-2</v>
      </c>
      <c r="S45" s="181">
        <f>SUM(S36:S39)*0.094</f>
        <v>18816.877011668272</v>
      </c>
      <c r="T45" s="80">
        <f t="shared" si="18"/>
        <v>2.631731050582975E-2</v>
      </c>
      <c r="U45" s="181">
        <f>SUM(U36:U39)*0.094</f>
        <v>19287.298936959978</v>
      </c>
      <c r="V45" s="80">
        <f t="shared" si="19"/>
        <v>2.6205569207826056E-2</v>
      </c>
    </row>
    <row r="46" spans="1:22" ht="12.75" customHeight="1">
      <c r="A46" s="1" t="s">
        <v>394</v>
      </c>
      <c r="B46" s="53"/>
      <c r="C46" s="82">
        <f>SUM(C36:C45)</f>
        <v>169558.728</v>
      </c>
      <c r="D46" s="83">
        <f t="shared" si="10"/>
        <v>0.30952561831108588</v>
      </c>
      <c r="E46" s="82">
        <f>SUM(E36:E45)</f>
        <v>188826.32556000003</v>
      </c>
      <c r="F46" s="83">
        <f t="shared" si="11"/>
        <v>0.33127425536842109</v>
      </c>
      <c r="G46" s="82">
        <f>SUM(G36:G45)</f>
        <v>195435.24695460004</v>
      </c>
      <c r="H46" s="83">
        <f t="shared" si="12"/>
        <v>0.32957039958617207</v>
      </c>
      <c r="I46" s="82">
        <f>SUM(I36:I45)</f>
        <v>201689.17485714721</v>
      </c>
      <c r="J46" s="83">
        <f t="shared" si="13"/>
        <v>0.32688683121093554</v>
      </c>
      <c r="K46" s="82">
        <f>SUM(K36:K45)</f>
        <v>206731.40422857588</v>
      </c>
      <c r="L46" s="83">
        <f t="shared" si="14"/>
        <v>0.32556126650169431</v>
      </c>
      <c r="M46" s="82">
        <f>SUM(M36:M45)</f>
        <v>211899.68933429022</v>
      </c>
      <c r="N46" s="83">
        <f t="shared" si="15"/>
        <v>0.32400564118392999</v>
      </c>
      <c r="O46" s="82">
        <f>SUM(O36:O45)</f>
        <v>217197.18156764747</v>
      </c>
      <c r="P46" s="83">
        <f t="shared" si="16"/>
        <v>0.32225101122796362</v>
      </c>
      <c r="Q46" s="82">
        <f>SUM(Q36:Q45)</f>
        <v>222627.11110683868</v>
      </c>
      <c r="R46" s="83">
        <f t="shared" si="17"/>
        <v>0.32078834453434968</v>
      </c>
      <c r="S46" s="82">
        <f>SUM(S36:S45)</f>
        <v>227486.45353447506</v>
      </c>
      <c r="T46" s="83">
        <f t="shared" si="18"/>
        <v>0.31816287207618887</v>
      </c>
      <c r="U46" s="82">
        <f>SUM(U36:U45)</f>
        <v>233173.61487283689</v>
      </c>
      <c r="V46" s="83">
        <f t="shared" si="19"/>
        <v>0.31681197672939793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366</v>
      </c>
      <c r="E50" s="86" t="str">
        <f>E6</f>
        <v>FY 2019-20</v>
      </c>
      <c r="F50" s="86" t="s">
        <v>366</v>
      </c>
      <c r="G50" s="86" t="str">
        <f>G6</f>
        <v>FY 2020-21</v>
      </c>
      <c r="H50" s="86" t="s">
        <v>366</v>
      </c>
      <c r="I50" s="86" t="str">
        <f>I6</f>
        <v>FY 2021-22</v>
      </c>
      <c r="J50" s="86" t="s">
        <v>366</v>
      </c>
      <c r="K50" s="86" t="str">
        <f>K6</f>
        <v>FY 2022-23</v>
      </c>
      <c r="L50" s="86" t="s">
        <v>366</v>
      </c>
      <c r="M50" s="86" t="str">
        <f>M6</f>
        <v>FY 2023-24</v>
      </c>
      <c r="N50" s="86" t="s">
        <v>366</v>
      </c>
      <c r="O50" s="86" t="str">
        <f>O6</f>
        <v>FY 2024-25</v>
      </c>
      <c r="P50" s="86" t="s">
        <v>366</v>
      </c>
      <c r="Q50" s="86" t="str">
        <f>Q6</f>
        <v>FY 2025-26</v>
      </c>
      <c r="R50" s="86" t="s">
        <v>366</v>
      </c>
      <c r="S50" s="86" t="str">
        <f>S6</f>
        <v>FY 2026-27</v>
      </c>
      <c r="T50" s="86" t="s">
        <v>366</v>
      </c>
      <c r="U50" s="86" t="str">
        <f>U6</f>
        <v>FY 2027-28</v>
      </c>
      <c r="V50" s="86" t="s">
        <v>366</v>
      </c>
    </row>
    <row r="51" spans="1:24" ht="12.75" customHeight="1">
      <c r="A51" s="1" t="s">
        <v>395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396</v>
      </c>
      <c r="B52" s="35"/>
      <c r="C52" s="178">
        <v>0</v>
      </c>
      <c r="D52" s="80">
        <f t="shared" ref="D52:D104" si="21">IFERROR(C52/C$28,0)</f>
        <v>0</v>
      </c>
      <c r="E52" s="178">
        <v>0</v>
      </c>
      <c r="F52" s="80">
        <f t="shared" ref="F52:F104" si="22">IFERROR(E52/E$28,0)</f>
        <v>0</v>
      </c>
      <c r="G52" s="178">
        <v>0</v>
      </c>
      <c r="H52" s="80">
        <f t="shared" ref="H52:H104" si="23">IFERROR(G52/G$28,0)</f>
        <v>0</v>
      </c>
      <c r="I52" s="178">
        <v>0</v>
      </c>
      <c r="J52" s="80">
        <f t="shared" ref="J52:J104" si="24">IFERROR(I52/I$28,0)</f>
        <v>0</v>
      </c>
      <c r="K52" s="178">
        <v>0</v>
      </c>
      <c r="L52" s="80">
        <f t="shared" ref="L52:L104" si="25">IFERROR(K52/K$28,0)</f>
        <v>0</v>
      </c>
      <c r="M52" s="178">
        <v>0</v>
      </c>
      <c r="N52" s="80">
        <f t="shared" ref="N52:N104" si="26">IFERROR(M52/M$28,0)</f>
        <v>0</v>
      </c>
      <c r="O52" s="178">
        <v>0</v>
      </c>
      <c r="P52" s="80">
        <f t="shared" ref="P52:P104" si="27">IFERROR(O52/O$28,0)</f>
        <v>0</v>
      </c>
      <c r="Q52" s="178">
        <v>0</v>
      </c>
      <c r="R52" s="80">
        <f t="shared" ref="R52:R104" si="28">IFERROR(Q52/Q$28,0)</f>
        <v>0</v>
      </c>
      <c r="S52" s="178">
        <v>0</v>
      </c>
      <c r="T52" s="80">
        <f t="shared" ref="T52:T104" si="29">IFERROR(S52/S$28,0)</f>
        <v>0</v>
      </c>
      <c r="U52" s="178">
        <v>0</v>
      </c>
      <c r="V52" s="80">
        <f t="shared" ref="V52:V105" si="30">IFERROR(U52/U$28,0)</f>
        <v>0</v>
      </c>
      <c r="X52" s="192"/>
    </row>
    <row r="53" spans="1:24" ht="12.75" customHeight="1">
      <c r="A53" s="2" t="s">
        <v>397</v>
      </c>
      <c r="B53" s="35"/>
      <c r="C53" s="178">
        <v>0</v>
      </c>
      <c r="D53" s="80">
        <f t="shared" si="21"/>
        <v>0</v>
      </c>
      <c r="E53" s="178">
        <v>0</v>
      </c>
      <c r="F53" s="80">
        <f t="shared" si="22"/>
        <v>0</v>
      </c>
      <c r="G53" s="178">
        <v>0</v>
      </c>
      <c r="H53" s="80">
        <f t="shared" si="23"/>
        <v>0</v>
      </c>
      <c r="I53" s="178">
        <v>0</v>
      </c>
      <c r="J53" s="80">
        <f t="shared" si="24"/>
        <v>0</v>
      </c>
      <c r="K53" s="178">
        <v>0</v>
      </c>
      <c r="L53" s="80">
        <f t="shared" si="25"/>
        <v>0</v>
      </c>
      <c r="M53" s="178">
        <v>0</v>
      </c>
      <c r="N53" s="80">
        <f t="shared" si="26"/>
        <v>0</v>
      </c>
      <c r="O53" s="178">
        <v>0</v>
      </c>
      <c r="P53" s="80">
        <f t="shared" si="27"/>
        <v>0</v>
      </c>
      <c r="Q53" s="178">
        <v>0</v>
      </c>
      <c r="R53" s="80">
        <f t="shared" si="28"/>
        <v>0</v>
      </c>
      <c r="S53" s="178">
        <v>0</v>
      </c>
      <c r="T53" s="80">
        <f t="shared" si="29"/>
        <v>0</v>
      </c>
      <c r="U53" s="178">
        <v>0</v>
      </c>
      <c r="V53" s="80">
        <f t="shared" si="30"/>
        <v>0</v>
      </c>
      <c r="X53" s="192"/>
    </row>
    <row r="54" spans="1:24" ht="12.75" customHeight="1">
      <c r="A54" s="2" t="s">
        <v>398</v>
      </c>
      <c r="B54" s="35"/>
      <c r="C54" s="178">
        <v>383.461344</v>
      </c>
      <c r="D54" s="80">
        <f t="shared" si="21"/>
        <v>6.9999999999999999E-4</v>
      </c>
      <c r="E54" s="178">
        <v>399</v>
      </c>
      <c r="F54" s="80">
        <f t="shared" si="22"/>
        <v>6.9999999999999999E-4</v>
      </c>
      <c r="G54" s="178">
        <v>415.1</v>
      </c>
      <c r="H54" s="80">
        <f t="shared" si="23"/>
        <v>6.9999999999999999E-4</v>
      </c>
      <c r="I54" s="178">
        <v>431.90000000000003</v>
      </c>
      <c r="J54" s="80">
        <f t="shared" si="24"/>
        <v>7.000000000000001E-4</v>
      </c>
      <c r="K54" s="178">
        <v>444.5</v>
      </c>
      <c r="L54" s="80">
        <f t="shared" si="25"/>
        <v>6.9999999999999999E-4</v>
      </c>
      <c r="M54" s="178">
        <v>457.80000000000007</v>
      </c>
      <c r="N54" s="80">
        <f t="shared" si="26"/>
        <v>7.000000000000001E-4</v>
      </c>
      <c r="O54" s="178">
        <v>471.8</v>
      </c>
      <c r="P54" s="80">
        <f t="shared" si="27"/>
        <v>6.9999999999999999E-4</v>
      </c>
      <c r="Q54" s="178">
        <v>485.8</v>
      </c>
      <c r="R54" s="80">
        <f t="shared" si="28"/>
        <v>6.9999999999999999E-4</v>
      </c>
      <c r="S54" s="178">
        <v>500.5</v>
      </c>
      <c r="T54" s="80">
        <f t="shared" si="29"/>
        <v>6.9999999999999999E-4</v>
      </c>
      <c r="U54" s="178">
        <v>515.20000000000005</v>
      </c>
      <c r="V54" s="80">
        <f t="shared" si="30"/>
        <v>7.000000000000001E-4</v>
      </c>
      <c r="X54" s="192"/>
    </row>
    <row r="55" spans="1:24" ht="12.75" customHeight="1">
      <c r="A55" s="2" t="s">
        <v>399</v>
      </c>
      <c r="B55" s="35"/>
      <c r="C55" s="178">
        <v>27390.096000000005</v>
      </c>
      <c r="D55" s="80">
        <f t="shared" si="21"/>
        <v>0.05</v>
      </c>
      <c r="E55" s="178">
        <v>28500</v>
      </c>
      <c r="F55" s="80">
        <f t="shared" si="22"/>
        <v>0.05</v>
      </c>
      <c r="G55" s="178">
        <v>29650</v>
      </c>
      <c r="H55" s="80">
        <f t="shared" si="23"/>
        <v>0.05</v>
      </c>
      <c r="I55" s="178">
        <v>30850</v>
      </c>
      <c r="J55" s="80">
        <f t="shared" si="24"/>
        <v>0.05</v>
      </c>
      <c r="K55" s="178">
        <v>31750</v>
      </c>
      <c r="L55" s="80">
        <f t="shared" si="25"/>
        <v>0.05</v>
      </c>
      <c r="M55" s="178">
        <v>32700</v>
      </c>
      <c r="N55" s="80">
        <f t="shared" si="26"/>
        <v>0.05</v>
      </c>
      <c r="O55" s="178">
        <v>33700</v>
      </c>
      <c r="P55" s="80">
        <f t="shared" si="27"/>
        <v>0.05</v>
      </c>
      <c r="Q55" s="178">
        <v>34700</v>
      </c>
      <c r="R55" s="80">
        <f t="shared" si="28"/>
        <v>0.05</v>
      </c>
      <c r="S55" s="178">
        <v>35750</v>
      </c>
      <c r="T55" s="80">
        <f t="shared" si="29"/>
        <v>0.05</v>
      </c>
      <c r="U55" s="178">
        <v>36800</v>
      </c>
      <c r="V55" s="80">
        <f t="shared" si="30"/>
        <v>0.05</v>
      </c>
      <c r="X55" s="192"/>
    </row>
    <row r="56" spans="1:24" ht="12.75" customHeight="1">
      <c r="A56" s="2" t="s">
        <v>400</v>
      </c>
      <c r="B56" s="35"/>
      <c r="C56" s="178">
        <v>279.3789792</v>
      </c>
      <c r="D56" s="80">
        <f t="shared" si="21"/>
        <v>5.0999999999999993E-4</v>
      </c>
      <c r="E56" s="178">
        <v>290.7</v>
      </c>
      <c r="F56" s="80">
        <f t="shared" si="22"/>
        <v>5.0999999999999993E-4</v>
      </c>
      <c r="G56" s="178">
        <v>302.43</v>
      </c>
      <c r="H56" s="80">
        <f t="shared" si="23"/>
        <v>5.1000000000000004E-4</v>
      </c>
      <c r="I56" s="178">
        <v>314.67</v>
      </c>
      <c r="J56" s="80">
        <f t="shared" si="24"/>
        <v>5.1000000000000004E-4</v>
      </c>
      <c r="K56" s="178">
        <v>323.85000000000002</v>
      </c>
      <c r="L56" s="80">
        <f t="shared" si="25"/>
        <v>5.1000000000000004E-4</v>
      </c>
      <c r="M56" s="178">
        <v>333.54</v>
      </c>
      <c r="N56" s="80">
        <f t="shared" si="26"/>
        <v>5.1000000000000004E-4</v>
      </c>
      <c r="O56" s="178">
        <v>343.74</v>
      </c>
      <c r="P56" s="80">
        <f t="shared" si="27"/>
        <v>5.1000000000000004E-4</v>
      </c>
      <c r="Q56" s="178">
        <v>353.94000000000005</v>
      </c>
      <c r="R56" s="80">
        <f t="shared" si="28"/>
        <v>5.1000000000000004E-4</v>
      </c>
      <c r="S56" s="178">
        <v>364.65000000000003</v>
      </c>
      <c r="T56" s="80">
        <f t="shared" si="29"/>
        <v>5.1000000000000004E-4</v>
      </c>
      <c r="U56" s="178">
        <v>375.35999999999996</v>
      </c>
      <c r="V56" s="80">
        <f t="shared" si="30"/>
        <v>5.0999999999999993E-4</v>
      </c>
      <c r="X56" s="192"/>
    </row>
    <row r="57" spans="1:24" ht="12.75" customHeight="1">
      <c r="A57" s="2" t="s">
        <v>401</v>
      </c>
      <c r="B57" s="35"/>
      <c r="C57" s="178">
        <v>0</v>
      </c>
      <c r="D57" s="80">
        <f t="shared" si="21"/>
        <v>0</v>
      </c>
      <c r="E57" s="178">
        <v>0</v>
      </c>
      <c r="F57" s="80">
        <f t="shared" si="22"/>
        <v>0</v>
      </c>
      <c r="G57" s="178">
        <v>0</v>
      </c>
      <c r="H57" s="80">
        <f t="shared" si="23"/>
        <v>0</v>
      </c>
      <c r="I57" s="178">
        <v>0</v>
      </c>
      <c r="J57" s="80">
        <f t="shared" si="24"/>
        <v>0</v>
      </c>
      <c r="K57" s="178">
        <v>0</v>
      </c>
      <c r="L57" s="80">
        <f t="shared" si="25"/>
        <v>0</v>
      </c>
      <c r="M57" s="178">
        <v>0</v>
      </c>
      <c r="N57" s="80">
        <f t="shared" si="26"/>
        <v>0</v>
      </c>
      <c r="O57" s="178">
        <v>0</v>
      </c>
      <c r="P57" s="80">
        <f t="shared" si="27"/>
        <v>0</v>
      </c>
      <c r="Q57" s="178">
        <v>0</v>
      </c>
      <c r="R57" s="80">
        <f t="shared" si="28"/>
        <v>0</v>
      </c>
      <c r="S57" s="178">
        <v>0</v>
      </c>
      <c r="T57" s="80">
        <f t="shared" si="29"/>
        <v>0</v>
      </c>
      <c r="U57" s="178">
        <v>0</v>
      </c>
      <c r="V57" s="80">
        <f t="shared" si="30"/>
        <v>0</v>
      </c>
      <c r="X57" s="192"/>
    </row>
    <row r="58" spans="1:24" ht="12.75" customHeight="1">
      <c r="A58" s="2" t="s">
        <v>402</v>
      </c>
      <c r="B58" s="35"/>
      <c r="C58" s="178">
        <v>0</v>
      </c>
      <c r="D58" s="80">
        <f t="shared" si="21"/>
        <v>0</v>
      </c>
      <c r="E58" s="178">
        <v>0</v>
      </c>
      <c r="F58" s="80">
        <f t="shared" si="22"/>
        <v>0</v>
      </c>
      <c r="G58" s="178">
        <v>0</v>
      </c>
      <c r="H58" s="80">
        <f t="shared" si="23"/>
        <v>0</v>
      </c>
      <c r="I58" s="178">
        <v>0</v>
      </c>
      <c r="J58" s="80">
        <f t="shared" si="24"/>
        <v>0</v>
      </c>
      <c r="K58" s="178">
        <v>0</v>
      </c>
      <c r="L58" s="80">
        <f t="shared" si="25"/>
        <v>0</v>
      </c>
      <c r="M58" s="178">
        <v>0</v>
      </c>
      <c r="N58" s="80">
        <f t="shared" si="26"/>
        <v>0</v>
      </c>
      <c r="O58" s="178">
        <v>0</v>
      </c>
      <c r="P58" s="80">
        <f t="shared" si="27"/>
        <v>0</v>
      </c>
      <c r="Q58" s="178">
        <v>0</v>
      </c>
      <c r="R58" s="80">
        <f t="shared" si="28"/>
        <v>0</v>
      </c>
      <c r="S58" s="178">
        <v>0</v>
      </c>
      <c r="T58" s="80">
        <f t="shared" si="29"/>
        <v>0</v>
      </c>
      <c r="U58" s="178">
        <v>0</v>
      </c>
      <c r="V58" s="80">
        <f t="shared" si="30"/>
        <v>0</v>
      </c>
      <c r="X58" s="192"/>
    </row>
    <row r="59" spans="1:24" ht="12.75" customHeight="1">
      <c r="A59" s="2" t="s">
        <v>403</v>
      </c>
      <c r="B59" s="35"/>
      <c r="C59" s="178"/>
      <c r="D59" s="80">
        <f t="shared" si="21"/>
        <v>0</v>
      </c>
      <c r="E59" s="178"/>
      <c r="F59" s="80">
        <f t="shared" si="22"/>
        <v>0</v>
      </c>
      <c r="G59" s="178"/>
      <c r="H59" s="80">
        <f t="shared" si="23"/>
        <v>0</v>
      </c>
      <c r="I59" s="178"/>
      <c r="J59" s="80">
        <f t="shared" si="24"/>
        <v>0</v>
      </c>
      <c r="K59" s="178"/>
      <c r="L59" s="80">
        <f t="shared" si="25"/>
        <v>0</v>
      </c>
      <c r="M59" s="178"/>
      <c r="N59" s="80">
        <f t="shared" si="26"/>
        <v>0</v>
      </c>
      <c r="O59" s="178"/>
      <c r="P59" s="80">
        <f t="shared" si="27"/>
        <v>0</v>
      </c>
      <c r="Q59" s="178"/>
      <c r="R59" s="80">
        <f t="shared" si="28"/>
        <v>0</v>
      </c>
      <c r="S59" s="178"/>
      <c r="T59" s="80">
        <f t="shared" si="29"/>
        <v>0</v>
      </c>
      <c r="U59" s="178"/>
      <c r="V59" s="80">
        <f t="shared" si="30"/>
        <v>0</v>
      </c>
      <c r="X59" s="192"/>
    </row>
    <row r="60" spans="1:24" ht="12.75" customHeight="1">
      <c r="A60" s="2" t="s">
        <v>404</v>
      </c>
      <c r="B60" s="35"/>
      <c r="C60" s="178">
        <v>0</v>
      </c>
      <c r="D60" s="80">
        <f t="shared" si="21"/>
        <v>0</v>
      </c>
      <c r="E60" s="178">
        <v>0</v>
      </c>
      <c r="F60" s="80">
        <f t="shared" si="22"/>
        <v>0</v>
      </c>
      <c r="G60" s="178">
        <v>0</v>
      </c>
      <c r="H60" s="80">
        <f t="shared" si="23"/>
        <v>0</v>
      </c>
      <c r="I60" s="178">
        <v>0</v>
      </c>
      <c r="J60" s="80">
        <f t="shared" si="24"/>
        <v>0</v>
      </c>
      <c r="K60" s="178">
        <v>0</v>
      </c>
      <c r="L60" s="80">
        <f t="shared" si="25"/>
        <v>0</v>
      </c>
      <c r="M60" s="178">
        <v>0</v>
      </c>
      <c r="N60" s="80">
        <f t="shared" si="26"/>
        <v>0</v>
      </c>
      <c r="O60" s="178">
        <v>0</v>
      </c>
      <c r="P60" s="80">
        <f t="shared" si="27"/>
        <v>0</v>
      </c>
      <c r="Q60" s="178">
        <v>0</v>
      </c>
      <c r="R60" s="80">
        <f t="shared" si="28"/>
        <v>0</v>
      </c>
      <c r="S60" s="178">
        <v>0</v>
      </c>
      <c r="T60" s="80">
        <f t="shared" si="29"/>
        <v>0</v>
      </c>
      <c r="U60" s="178">
        <v>0</v>
      </c>
      <c r="V60" s="80">
        <f t="shared" si="30"/>
        <v>0</v>
      </c>
      <c r="X60" s="192"/>
    </row>
    <row r="61" spans="1:24" ht="12.75" customHeight="1">
      <c r="A61" s="2" t="s">
        <v>405</v>
      </c>
      <c r="B61" s="35"/>
      <c r="C61" s="178">
        <v>0</v>
      </c>
      <c r="D61" s="80">
        <f t="shared" si="21"/>
        <v>0</v>
      </c>
      <c r="E61" s="178">
        <v>0</v>
      </c>
      <c r="F61" s="80">
        <f t="shared" si="22"/>
        <v>0</v>
      </c>
      <c r="G61" s="178">
        <v>0</v>
      </c>
      <c r="H61" s="80">
        <f t="shared" si="23"/>
        <v>0</v>
      </c>
      <c r="I61" s="178">
        <v>0</v>
      </c>
      <c r="J61" s="80">
        <f t="shared" si="24"/>
        <v>0</v>
      </c>
      <c r="K61" s="178">
        <v>0</v>
      </c>
      <c r="L61" s="80">
        <f t="shared" si="25"/>
        <v>0</v>
      </c>
      <c r="M61" s="178">
        <v>0</v>
      </c>
      <c r="N61" s="80">
        <f t="shared" si="26"/>
        <v>0</v>
      </c>
      <c r="O61" s="178">
        <v>0</v>
      </c>
      <c r="P61" s="80">
        <f t="shared" si="27"/>
        <v>0</v>
      </c>
      <c r="Q61" s="178">
        <v>0</v>
      </c>
      <c r="R61" s="80">
        <f t="shared" si="28"/>
        <v>0</v>
      </c>
      <c r="S61" s="178">
        <v>0</v>
      </c>
      <c r="T61" s="80">
        <f t="shared" si="29"/>
        <v>0</v>
      </c>
      <c r="U61" s="178">
        <v>0</v>
      </c>
      <c r="V61" s="80">
        <f t="shared" si="30"/>
        <v>0</v>
      </c>
      <c r="X61" s="192"/>
    </row>
    <row r="62" spans="1:24" ht="12.75" customHeight="1">
      <c r="A62" s="2" t="s">
        <v>406</v>
      </c>
      <c r="B62" s="35"/>
      <c r="C62" s="178">
        <v>0</v>
      </c>
      <c r="D62" s="80">
        <f t="shared" si="21"/>
        <v>0</v>
      </c>
      <c r="E62" s="178">
        <v>0</v>
      </c>
      <c r="F62" s="80">
        <f t="shared" si="22"/>
        <v>0</v>
      </c>
      <c r="G62" s="178">
        <v>0</v>
      </c>
      <c r="H62" s="80">
        <f t="shared" si="23"/>
        <v>0</v>
      </c>
      <c r="I62" s="178">
        <v>0</v>
      </c>
      <c r="J62" s="80">
        <f t="shared" si="24"/>
        <v>0</v>
      </c>
      <c r="K62" s="178">
        <v>0</v>
      </c>
      <c r="L62" s="80">
        <f t="shared" si="25"/>
        <v>0</v>
      </c>
      <c r="M62" s="178">
        <v>0</v>
      </c>
      <c r="N62" s="80">
        <f t="shared" si="26"/>
        <v>0</v>
      </c>
      <c r="O62" s="178">
        <v>0</v>
      </c>
      <c r="P62" s="80">
        <f t="shared" si="27"/>
        <v>0</v>
      </c>
      <c r="Q62" s="178">
        <v>0</v>
      </c>
      <c r="R62" s="80">
        <f t="shared" si="28"/>
        <v>0</v>
      </c>
      <c r="S62" s="178">
        <v>0</v>
      </c>
      <c r="T62" s="80">
        <f t="shared" si="29"/>
        <v>0</v>
      </c>
      <c r="U62" s="178">
        <v>0</v>
      </c>
      <c r="V62" s="80">
        <f t="shared" si="30"/>
        <v>0</v>
      </c>
      <c r="X62" s="192"/>
    </row>
    <row r="63" spans="1:24" ht="12.75" customHeight="1">
      <c r="A63" s="2" t="s">
        <v>407</v>
      </c>
      <c r="B63" s="35"/>
      <c r="C63" s="178">
        <v>6664.3827764460784</v>
      </c>
      <c r="D63" s="80">
        <f t="shared" si="21"/>
        <v>1.2165679843630482E-2</v>
      </c>
      <c r="E63" s="178">
        <v>7036.8158862777091</v>
      </c>
      <c r="F63" s="80">
        <f t="shared" si="22"/>
        <v>1.2345291028557385E-2</v>
      </c>
      <c r="G63" s="178">
        <v>7243.2674427277498</v>
      </c>
      <c r="H63" s="80">
        <f t="shared" si="23"/>
        <v>1.2214616260923693E-2</v>
      </c>
      <c r="I63" s="178">
        <v>7555.7700548915509</v>
      </c>
      <c r="J63" s="80">
        <f t="shared" si="24"/>
        <v>1.224598064001872E-2</v>
      </c>
      <c r="K63" s="178">
        <v>7752.2317499766032</v>
      </c>
      <c r="L63" s="80">
        <f t="shared" si="25"/>
        <v>1.2208238976341107E-2</v>
      </c>
      <c r="M63" s="178">
        <v>7997.6488373609091</v>
      </c>
      <c r="N63" s="80">
        <f t="shared" si="26"/>
        <v>1.2228820852233806E-2</v>
      </c>
      <c r="O63" s="178">
        <v>8259.2174910440863</v>
      </c>
      <c r="P63" s="80">
        <f t="shared" si="27"/>
        <v>1.2254031885822086E-2</v>
      </c>
      <c r="Q63" s="178">
        <v>8529.2737562877301</v>
      </c>
      <c r="R63" s="80">
        <f t="shared" si="28"/>
        <v>1.2290019821740245E-2</v>
      </c>
      <c r="S63" s="178">
        <v>8812.4671123954377</v>
      </c>
      <c r="T63" s="80">
        <f t="shared" si="29"/>
        <v>1.2325128828525088E-2</v>
      </c>
      <c r="U63" s="178">
        <v>9098.9072805573323</v>
      </c>
      <c r="V63" s="80">
        <f t="shared" si="30"/>
        <v>1.236264576162681E-2</v>
      </c>
      <c r="X63" s="192"/>
    </row>
    <row r="64" spans="1:24" ht="12.75" customHeight="1">
      <c r="A64" s="2" t="s">
        <v>408</v>
      </c>
      <c r="B64" s="35"/>
      <c r="C64" s="178">
        <v>2629.449216</v>
      </c>
      <c r="D64" s="80">
        <f t="shared" si="21"/>
        <v>4.7999999999999996E-3</v>
      </c>
      <c r="E64" s="178">
        <v>2735.9999999999995</v>
      </c>
      <c r="F64" s="80">
        <f t="shared" si="22"/>
        <v>4.7999999999999996E-3</v>
      </c>
      <c r="G64" s="178">
        <v>2846.3999999999996</v>
      </c>
      <c r="H64" s="80">
        <f t="shared" si="23"/>
        <v>4.7999999999999996E-3</v>
      </c>
      <c r="I64" s="178">
        <v>2961.5999999999995</v>
      </c>
      <c r="J64" s="80">
        <f t="shared" si="24"/>
        <v>4.7999999999999987E-3</v>
      </c>
      <c r="K64" s="178">
        <v>3048</v>
      </c>
      <c r="L64" s="80">
        <f t="shared" si="25"/>
        <v>4.7999999999999996E-3</v>
      </c>
      <c r="M64" s="178">
        <v>3139.2</v>
      </c>
      <c r="N64" s="80">
        <f t="shared" si="26"/>
        <v>4.7999999999999996E-3</v>
      </c>
      <c r="O64" s="178">
        <v>3235.2</v>
      </c>
      <c r="P64" s="80">
        <f t="shared" si="27"/>
        <v>4.7999999999999996E-3</v>
      </c>
      <c r="Q64" s="178">
        <v>3331.1999999999994</v>
      </c>
      <c r="R64" s="80">
        <f t="shared" si="28"/>
        <v>4.7999999999999987E-3</v>
      </c>
      <c r="S64" s="178">
        <v>3431.9999999999995</v>
      </c>
      <c r="T64" s="80">
        <f t="shared" si="29"/>
        <v>4.7999999999999996E-3</v>
      </c>
      <c r="U64" s="178">
        <v>3532.7999999999993</v>
      </c>
      <c r="V64" s="80">
        <f t="shared" si="30"/>
        <v>4.7999999999999987E-3</v>
      </c>
      <c r="X64" s="192"/>
    </row>
    <row r="65" spans="1:24" ht="12.75" customHeight="1">
      <c r="A65" s="2" t="s">
        <v>409</v>
      </c>
      <c r="B65" s="35"/>
      <c r="C65" s="178">
        <v>273.90096</v>
      </c>
      <c r="D65" s="80">
        <f t="shared" si="21"/>
        <v>5.0000000000000001E-4</v>
      </c>
      <c r="E65" s="178">
        <v>285</v>
      </c>
      <c r="F65" s="80">
        <f t="shared" si="22"/>
        <v>5.0000000000000001E-4</v>
      </c>
      <c r="G65" s="178">
        <v>296.5</v>
      </c>
      <c r="H65" s="80">
        <f t="shared" si="23"/>
        <v>5.0000000000000001E-4</v>
      </c>
      <c r="I65" s="178">
        <v>308.5</v>
      </c>
      <c r="J65" s="80">
        <f t="shared" si="24"/>
        <v>5.0000000000000001E-4</v>
      </c>
      <c r="K65" s="178">
        <v>317.5</v>
      </c>
      <c r="L65" s="80">
        <f t="shared" si="25"/>
        <v>5.0000000000000001E-4</v>
      </c>
      <c r="M65" s="178">
        <v>327</v>
      </c>
      <c r="N65" s="80">
        <f t="shared" si="26"/>
        <v>5.0000000000000001E-4</v>
      </c>
      <c r="O65" s="178">
        <v>337</v>
      </c>
      <c r="P65" s="80">
        <f t="shared" si="27"/>
        <v>5.0000000000000001E-4</v>
      </c>
      <c r="Q65" s="178">
        <v>347</v>
      </c>
      <c r="R65" s="80">
        <f t="shared" si="28"/>
        <v>5.0000000000000001E-4</v>
      </c>
      <c r="S65" s="178">
        <v>357.5</v>
      </c>
      <c r="T65" s="80">
        <f t="shared" si="29"/>
        <v>5.0000000000000001E-4</v>
      </c>
      <c r="U65" s="178">
        <v>367.99999999999994</v>
      </c>
      <c r="V65" s="80">
        <f t="shared" si="30"/>
        <v>4.999999999999999E-4</v>
      </c>
      <c r="X65" s="192"/>
    </row>
    <row r="66" spans="1:24" ht="12.75" customHeight="1">
      <c r="A66" s="2" t="s">
        <v>410</v>
      </c>
      <c r="B66" s="35"/>
      <c r="C66" s="178">
        <v>1533.845376</v>
      </c>
      <c r="D66" s="80">
        <f t="shared" si="21"/>
        <v>2.8E-3</v>
      </c>
      <c r="E66" s="178">
        <v>1596</v>
      </c>
      <c r="F66" s="80">
        <f t="shared" si="22"/>
        <v>2.8E-3</v>
      </c>
      <c r="G66" s="178">
        <v>1660.4</v>
      </c>
      <c r="H66" s="80">
        <f t="shared" si="23"/>
        <v>2.8E-3</v>
      </c>
      <c r="I66" s="178">
        <v>1727.6000000000001</v>
      </c>
      <c r="J66" s="80">
        <f t="shared" si="24"/>
        <v>2.8000000000000004E-3</v>
      </c>
      <c r="K66" s="178">
        <v>1778</v>
      </c>
      <c r="L66" s="80">
        <f t="shared" si="25"/>
        <v>2.8E-3</v>
      </c>
      <c r="M66" s="178">
        <v>1831.2000000000003</v>
      </c>
      <c r="N66" s="80">
        <f t="shared" si="26"/>
        <v>2.8000000000000004E-3</v>
      </c>
      <c r="O66" s="178">
        <v>1887.2</v>
      </c>
      <c r="P66" s="80">
        <f t="shared" si="27"/>
        <v>2.8E-3</v>
      </c>
      <c r="Q66" s="178">
        <v>1943.2</v>
      </c>
      <c r="R66" s="80">
        <f t="shared" si="28"/>
        <v>2.8E-3</v>
      </c>
      <c r="S66" s="178">
        <v>2002</v>
      </c>
      <c r="T66" s="80">
        <f t="shared" si="29"/>
        <v>2.8E-3</v>
      </c>
      <c r="U66" s="178">
        <v>2060.8000000000002</v>
      </c>
      <c r="V66" s="80">
        <f t="shared" si="30"/>
        <v>2.8000000000000004E-3</v>
      </c>
      <c r="X66" s="192"/>
    </row>
    <row r="67" spans="1:24" ht="12.75" customHeight="1">
      <c r="A67" s="2" t="s">
        <v>411</v>
      </c>
      <c r="B67" s="35"/>
      <c r="C67" s="178">
        <v>8217.0288</v>
      </c>
      <c r="D67" s="80">
        <f t="shared" si="21"/>
        <v>1.4999999999999999E-2</v>
      </c>
      <c r="E67" s="178">
        <v>8550</v>
      </c>
      <c r="F67" s="80">
        <f t="shared" si="22"/>
        <v>1.4999999999999999E-2</v>
      </c>
      <c r="G67" s="178">
        <v>8895</v>
      </c>
      <c r="H67" s="80">
        <f t="shared" si="23"/>
        <v>1.4999999999999999E-2</v>
      </c>
      <c r="I67" s="178">
        <v>9255</v>
      </c>
      <c r="J67" s="80">
        <f t="shared" si="24"/>
        <v>1.4999999999999999E-2</v>
      </c>
      <c r="K67" s="178">
        <v>9525</v>
      </c>
      <c r="L67" s="80">
        <f t="shared" si="25"/>
        <v>1.4999999999999999E-2</v>
      </c>
      <c r="M67" s="178">
        <v>9810</v>
      </c>
      <c r="N67" s="80">
        <f t="shared" si="26"/>
        <v>1.4999999999999999E-2</v>
      </c>
      <c r="O67" s="178">
        <v>10110</v>
      </c>
      <c r="P67" s="80">
        <f t="shared" si="27"/>
        <v>1.4999999999999999E-2</v>
      </c>
      <c r="Q67" s="178">
        <v>10409.999999999998</v>
      </c>
      <c r="R67" s="80">
        <f t="shared" si="28"/>
        <v>1.4999999999999998E-2</v>
      </c>
      <c r="S67" s="178">
        <v>10725</v>
      </c>
      <c r="T67" s="80">
        <f t="shared" si="29"/>
        <v>1.4999999999999999E-2</v>
      </c>
      <c r="U67" s="178">
        <v>11039.999999999998</v>
      </c>
      <c r="V67" s="80">
        <f t="shared" si="30"/>
        <v>1.4999999999999998E-2</v>
      </c>
      <c r="X67" s="192"/>
    </row>
    <row r="68" spans="1:24" ht="12.75" customHeight="1">
      <c r="A68" s="2" t="s">
        <v>412</v>
      </c>
      <c r="B68" s="35"/>
      <c r="C68" s="178">
        <v>931.26326399999994</v>
      </c>
      <c r="D68" s="80">
        <f t="shared" si="21"/>
        <v>1.6999999999999997E-3</v>
      </c>
      <c r="E68" s="178">
        <v>968.99999999999989</v>
      </c>
      <c r="F68" s="80">
        <f t="shared" si="22"/>
        <v>1.6999999999999999E-3</v>
      </c>
      <c r="G68" s="178">
        <v>1008.0999999999999</v>
      </c>
      <c r="H68" s="80">
        <f t="shared" si="23"/>
        <v>1.6999999999999999E-3</v>
      </c>
      <c r="I68" s="178">
        <v>1048.8999999999999</v>
      </c>
      <c r="J68" s="80">
        <f t="shared" si="24"/>
        <v>1.6999999999999997E-3</v>
      </c>
      <c r="K68" s="178">
        <v>1079.5</v>
      </c>
      <c r="L68" s="80">
        <f t="shared" si="25"/>
        <v>1.6999999999999999E-3</v>
      </c>
      <c r="M68" s="178">
        <v>1111.8</v>
      </c>
      <c r="N68" s="80">
        <f t="shared" si="26"/>
        <v>1.6999999999999999E-3</v>
      </c>
      <c r="O68" s="178">
        <v>1145.8</v>
      </c>
      <c r="P68" s="80">
        <f t="shared" si="27"/>
        <v>1.6999999999999999E-3</v>
      </c>
      <c r="Q68" s="178">
        <v>1179.8</v>
      </c>
      <c r="R68" s="80">
        <f t="shared" si="28"/>
        <v>1.6999999999999999E-3</v>
      </c>
      <c r="S68" s="178">
        <v>1215.5</v>
      </c>
      <c r="T68" s="80">
        <f t="shared" si="29"/>
        <v>1.6999999999999999E-3</v>
      </c>
      <c r="U68" s="178">
        <v>1251.1999999999998</v>
      </c>
      <c r="V68" s="80">
        <f t="shared" si="30"/>
        <v>1.6999999999999997E-3</v>
      </c>
      <c r="X68" s="192"/>
    </row>
    <row r="69" spans="1:24" ht="12.75" customHeight="1">
      <c r="A69" s="2" t="s">
        <v>413</v>
      </c>
      <c r="B69" s="35"/>
      <c r="C69" s="178">
        <v>0</v>
      </c>
      <c r="D69" s="80">
        <f t="shared" si="21"/>
        <v>0</v>
      </c>
      <c r="E69" s="178">
        <v>0</v>
      </c>
      <c r="F69" s="80">
        <f t="shared" si="22"/>
        <v>0</v>
      </c>
      <c r="G69" s="178">
        <v>0</v>
      </c>
      <c r="H69" s="80">
        <f t="shared" si="23"/>
        <v>0</v>
      </c>
      <c r="I69" s="178">
        <v>0</v>
      </c>
      <c r="J69" s="80">
        <f t="shared" si="24"/>
        <v>0</v>
      </c>
      <c r="K69" s="178">
        <v>0</v>
      </c>
      <c r="L69" s="80">
        <f t="shared" si="25"/>
        <v>0</v>
      </c>
      <c r="M69" s="178">
        <v>0</v>
      </c>
      <c r="N69" s="80">
        <f t="shared" si="26"/>
        <v>0</v>
      </c>
      <c r="O69" s="178">
        <v>0</v>
      </c>
      <c r="P69" s="80">
        <f t="shared" si="27"/>
        <v>0</v>
      </c>
      <c r="Q69" s="178">
        <v>0</v>
      </c>
      <c r="R69" s="80">
        <f t="shared" si="28"/>
        <v>0</v>
      </c>
      <c r="S69" s="178">
        <v>0</v>
      </c>
      <c r="T69" s="80">
        <f t="shared" si="29"/>
        <v>0</v>
      </c>
      <c r="U69" s="178">
        <v>0</v>
      </c>
      <c r="V69" s="80">
        <f t="shared" si="30"/>
        <v>0</v>
      </c>
      <c r="X69" s="192"/>
    </row>
    <row r="70" spans="1:24" ht="12.75" customHeight="1">
      <c r="A70" s="2" t="s">
        <v>414</v>
      </c>
      <c r="B70" s="35"/>
      <c r="C70" s="178">
        <v>54.780192000000007</v>
      </c>
      <c r="D70" s="80">
        <f t="shared" si="21"/>
        <v>1E-4</v>
      </c>
      <c r="E70" s="178">
        <v>57.000000000000007</v>
      </c>
      <c r="F70" s="80">
        <f t="shared" si="22"/>
        <v>1.0000000000000002E-4</v>
      </c>
      <c r="G70" s="178">
        <v>59.300000000000004</v>
      </c>
      <c r="H70" s="80">
        <f t="shared" si="23"/>
        <v>1E-4</v>
      </c>
      <c r="I70" s="178">
        <v>61.7</v>
      </c>
      <c r="J70" s="80">
        <f t="shared" si="24"/>
        <v>1E-4</v>
      </c>
      <c r="K70" s="178">
        <v>63.500000000000007</v>
      </c>
      <c r="L70" s="80">
        <f t="shared" si="25"/>
        <v>1E-4</v>
      </c>
      <c r="M70" s="178">
        <v>65.400000000000006</v>
      </c>
      <c r="N70" s="80">
        <f t="shared" si="26"/>
        <v>1E-4</v>
      </c>
      <c r="O70" s="178">
        <v>67.400000000000006</v>
      </c>
      <c r="P70" s="80">
        <f t="shared" si="27"/>
        <v>1E-4</v>
      </c>
      <c r="Q70" s="178">
        <v>69.400000000000006</v>
      </c>
      <c r="R70" s="80">
        <f t="shared" si="28"/>
        <v>1E-4</v>
      </c>
      <c r="S70" s="178">
        <v>71.5</v>
      </c>
      <c r="T70" s="80">
        <f t="shared" si="29"/>
        <v>1E-4</v>
      </c>
      <c r="U70" s="178">
        <v>73.599999999999994</v>
      </c>
      <c r="V70" s="80">
        <f t="shared" si="30"/>
        <v>9.9999999999999991E-5</v>
      </c>
      <c r="X70" s="192"/>
    </row>
    <row r="71" spans="1:24" ht="12.75" customHeight="1">
      <c r="A71" s="2" t="s">
        <v>415</v>
      </c>
      <c r="B71" s="35"/>
      <c r="C71" s="178">
        <v>0</v>
      </c>
      <c r="D71" s="80">
        <f t="shared" si="21"/>
        <v>0</v>
      </c>
      <c r="E71" s="178">
        <v>0</v>
      </c>
      <c r="F71" s="80">
        <f t="shared" si="22"/>
        <v>0</v>
      </c>
      <c r="G71" s="178">
        <v>0</v>
      </c>
      <c r="H71" s="80">
        <f t="shared" si="23"/>
        <v>0</v>
      </c>
      <c r="I71" s="178">
        <v>0</v>
      </c>
      <c r="J71" s="80">
        <f t="shared" si="24"/>
        <v>0</v>
      </c>
      <c r="K71" s="178">
        <v>0</v>
      </c>
      <c r="L71" s="80">
        <f t="shared" si="25"/>
        <v>0</v>
      </c>
      <c r="M71" s="178">
        <v>0</v>
      </c>
      <c r="N71" s="80">
        <f t="shared" si="26"/>
        <v>0</v>
      </c>
      <c r="O71" s="178">
        <v>0</v>
      </c>
      <c r="P71" s="80">
        <f t="shared" si="27"/>
        <v>0</v>
      </c>
      <c r="Q71" s="178">
        <v>0</v>
      </c>
      <c r="R71" s="80">
        <f t="shared" si="28"/>
        <v>0</v>
      </c>
      <c r="S71" s="178">
        <v>0</v>
      </c>
      <c r="T71" s="80">
        <f t="shared" si="29"/>
        <v>0</v>
      </c>
      <c r="U71" s="178">
        <v>0</v>
      </c>
      <c r="V71" s="80">
        <f t="shared" si="30"/>
        <v>0</v>
      </c>
      <c r="X71" s="192"/>
    </row>
    <row r="72" spans="1:24" ht="12.75" customHeight="1">
      <c r="A72" s="2" t="s">
        <v>416</v>
      </c>
      <c r="B72" s="35"/>
      <c r="C72" s="178">
        <v>0</v>
      </c>
      <c r="D72" s="80">
        <f t="shared" si="21"/>
        <v>0</v>
      </c>
      <c r="E72" s="178">
        <v>0</v>
      </c>
      <c r="F72" s="80">
        <f t="shared" si="22"/>
        <v>0</v>
      </c>
      <c r="G72" s="178">
        <v>0</v>
      </c>
      <c r="H72" s="80">
        <f t="shared" si="23"/>
        <v>0</v>
      </c>
      <c r="I72" s="178">
        <v>0</v>
      </c>
      <c r="J72" s="80">
        <f t="shared" si="24"/>
        <v>0</v>
      </c>
      <c r="K72" s="178">
        <v>0</v>
      </c>
      <c r="L72" s="80">
        <f t="shared" si="25"/>
        <v>0</v>
      </c>
      <c r="M72" s="178">
        <v>0</v>
      </c>
      <c r="N72" s="80">
        <f t="shared" si="26"/>
        <v>0</v>
      </c>
      <c r="O72" s="178">
        <v>0</v>
      </c>
      <c r="P72" s="80">
        <f t="shared" si="27"/>
        <v>0</v>
      </c>
      <c r="Q72" s="178">
        <v>0</v>
      </c>
      <c r="R72" s="80">
        <f t="shared" si="28"/>
        <v>0</v>
      </c>
      <c r="S72" s="178">
        <v>0</v>
      </c>
      <c r="T72" s="80">
        <f t="shared" si="29"/>
        <v>0</v>
      </c>
      <c r="U72" s="178">
        <v>0</v>
      </c>
      <c r="V72" s="80">
        <f t="shared" si="30"/>
        <v>0</v>
      </c>
      <c r="X72" s="192"/>
    </row>
    <row r="73" spans="1:24" ht="12.75" customHeight="1">
      <c r="A73" s="2" t="s">
        <v>417</v>
      </c>
      <c r="B73" s="35"/>
      <c r="C73" s="178">
        <v>0</v>
      </c>
      <c r="D73" s="80">
        <f t="shared" si="21"/>
        <v>0</v>
      </c>
      <c r="E73" s="178">
        <v>0</v>
      </c>
      <c r="F73" s="80">
        <f t="shared" si="22"/>
        <v>0</v>
      </c>
      <c r="G73" s="178">
        <v>0</v>
      </c>
      <c r="H73" s="80">
        <f t="shared" si="23"/>
        <v>0</v>
      </c>
      <c r="I73" s="178">
        <v>0</v>
      </c>
      <c r="J73" s="80">
        <f t="shared" si="24"/>
        <v>0</v>
      </c>
      <c r="K73" s="178">
        <v>0</v>
      </c>
      <c r="L73" s="80">
        <f t="shared" si="25"/>
        <v>0</v>
      </c>
      <c r="M73" s="178">
        <v>0</v>
      </c>
      <c r="N73" s="80">
        <f t="shared" si="26"/>
        <v>0</v>
      </c>
      <c r="O73" s="178">
        <v>0</v>
      </c>
      <c r="P73" s="80">
        <f t="shared" si="27"/>
        <v>0</v>
      </c>
      <c r="Q73" s="178">
        <v>0</v>
      </c>
      <c r="R73" s="80">
        <f t="shared" si="28"/>
        <v>0</v>
      </c>
      <c r="S73" s="178">
        <v>0</v>
      </c>
      <c r="T73" s="80">
        <f t="shared" si="29"/>
        <v>0</v>
      </c>
      <c r="U73" s="178">
        <v>0</v>
      </c>
      <c r="V73" s="80">
        <f t="shared" si="30"/>
        <v>0</v>
      </c>
      <c r="X73" s="192"/>
    </row>
    <row r="74" spans="1:24" ht="12.75" customHeight="1">
      <c r="A74" s="2" t="s">
        <v>418</v>
      </c>
      <c r="B74" s="35"/>
      <c r="C74" s="178">
        <v>0</v>
      </c>
      <c r="D74" s="80">
        <f t="shared" si="21"/>
        <v>0</v>
      </c>
      <c r="E74" s="178">
        <v>0</v>
      </c>
      <c r="F74" s="80">
        <f t="shared" si="22"/>
        <v>0</v>
      </c>
      <c r="G74" s="178">
        <v>0</v>
      </c>
      <c r="H74" s="80">
        <f t="shared" si="23"/>
        <v>0</v>
      </c>
      <c r="I74" s="178">
        <v>0</v>
      </c>
      <c r="J74" s="80">
        <f t="shared" si="24"/>
        <v>0</v>
      </c>
      <c r="K74" s="178">
        <v>0</v>
      </c>
      <c r="L74" s="80">
        <f t="shared" si="25"/>
        <v>0</v>
      </c>
      <c r="M74" s="178">
        <v>0</v>
      </c>
      <c r="N74" s="80">
        <f t="shared" si="26"/>
        <v>0</v>
      </c>
      <c r="O74" s="178">
        <v>0</v>
      </c>
      <c r="P74" s="80">
        <f t="shared" si="27"/>
        <v>0</v>
      </c>
      <c r="Q74" s="178">
        <v>0</v>
      </c>
      <c r="R74" s="80">
        <f t="shared" si="28"/>
        <v>0</v>
      </c>
      <c r="S74" s="178">
        <v>0</v>
      </c>
      <c r="T74" s="80">
        <f t="shared" si="29"/>
        <v>0</v>
      </c>
      <c r="U74" s="178">
        <v>0</v>
      </c>
      <c r="V74" s="80">
        <f t="shared" si="30"/>
        <v>0</v>
      </c>
      <c r="X74" s="192"/>
    </row>
    <row r="75" spans="1:24" ht="12.75" customHeight="1">
      <c r="A75" s="2" t="s">
        <v>419</v>
      </c>
      <c r="B75" s="35"/>
      <c r="C75" s="178">
        <v>2465.1086399999999</v>
      </c>
      <c r="D75" s="80">
        <f t="shared" si="21"/>
        <v>4.4999999999999997E-3</v>
      </c>
      <c r="E75" s="178">
        <v>2565</v>
      </c>
      <c r="F75" s="80">
        <f t="shared" si="22"/>
        <v>4.4999999999999997E-3</v>
      </c>
      <c r="G75" s="178">
        <v>2668.4999999999995</v>
      </c>
      <c r="H75" s="80">
        <f t="shared" si="23"/>
        <v>4.4999999999999997E-3</v>
      </c>
      <c r="I75" s="178">
        <v>2776.5</v>
      </c>
      <c r="J75" s="80">
        <f t="shared" si="24"/>
        <v>4.4999999999999997E-3</v>
      </c>
      <c r="K75" s="178">
        <v>2857.5</v>
      </c>
      <c r="L75" s="80">
        <f t="shared" si="25"/>
        <v>4.4999999999999997E-3</v>
      </c>
      <c r="M75" s="178">
        <v>2943</v>
      </c>
      <c r="N75" s="80">
        <f t="shared" si="26"/>
        <v>4.4999999999999997E-3</v>
      </c>
      <c r="O75" s="178">
        <v>3032.9999999999995</v>
      </c>
      <c r="P75" s="80">
        <f t="shared" si="27"/>
        <v>4.4999999999999997E-3</v>
      </c>
      <c r="Q75" s="178">
        <v>3123</v>
      </c>
      <c r="R75" s="80">
        <f t="shared" si="28"/>
        <v>4.4999999999999997E-3</v>
      </c>
      <c r="S75" s="178">
        <v>3217.4999999999995</v>
      </c>
      <c r="T75" s="80">
        <f t="shared" si="29"/>
        <v>4.4999999999999997E-3</v>
      </c>
      <c r="U75" s="178">
        <v>3311.9999999999995</v>
      </c>
      <c r="V75" s="80">
        <f t="shared" si="30"/>
        <v>4.4999999999999997E-3</v>
      </c>
      <c r="X75" s="192"/>
    </row>
    <row r="76" spans="1:24" ht="12.75" customHeight="1">
      <c r="A76" s="2" t="s">
        <v>420</v>
      </c>
      <c r="B76" s="35"/>
      <c r="C76" s="178">
        <v>219.12076800000003</v>
      </c>
      <c r="D76" s="80">
        <f t="shared" si="21"/>
        <v>4.0000000000000002E-4</v>
      </c>
      <c r="E76" s="178">
        <v>228.00000000000003</v>
      </c>
      <c r="F76" s="80">
        <f t="shared" si="22"/>
        <v>4.0000000000000007E-4</v>
      </c>
      <c r="G76" s="178">
        <v>237.20000000000002</v>
      </c>
      <c r="H76" s="80">
        <f t="shared" si="23"/>
        <v>4.0000000000000002E-4</v>
      </c>
      <c r="I76" s="178">
        <v>246.8</v>
      </c>
      <c r="J76" s="80">
        <f t="shared" si="24"/>
        <v>4.0000000000000002E-4</v>
      </c>
      <c r="K76" s="178">
        <v>254.00000000000003</v>
      </c>
      <c r="L76" s="80">
        <f t="shared" si="25"/>
        <v>4.0000000000000002E-4</v>
      </c>
      <c r="M76" s="178">
        <v>261.60000000000002</v>
      </c>
      <c r="N76" s="80">
        <f t="shared" si="26"/>
        <v>4.0000000000000002E-4</v>
      </c>
      <c r="O76" s="178">
        <v>269.60000000000002</v>
      </c>
      <c r="P76" s="80">
        <f t="shared" si="27"/>
        <v>4.0000000000000002E-4</v>
      </c>
      <c r="Q76" s="178">
        <v>277.60000000000002</v>
      </c>
      <c r="R76" s="80">
        <f t="shared" si="28"/>
        <v>4.0000000000000002E-4</v>
      </c>
      <c r="S76" s="178">
        <v>286</v>
      </c>
      <c r="T76" s="80">
        <f t="shared" si="29"/>
        <v>4.0000000000000002E-4</v>
      </c>
      <c r="U76" s="178">
        <v>294.39999999999998</v>
      </c>
      <c r="V76" s="80">
        <f t="shared" si="30"/>
        <v>3.9999999999999996E-4</v>
      </c>
      <c r="X76" s="192"/>
    </row>
    <row r="77" spans="1:24" ht="12.75" customHeight="1">
      <c r="A77" s="2" t="s">
        <v>421</v>
      </c>
      <c r="B77" s="35"/>
      <c r="C77" s="178">
        <v>712.14249600000005</v>
      </c>
      <c r="D77" s="80">
        <f t="shared" si="21"/>
        <v>1.2999999999999999E-3</v>
      </c>
      <c r="E77" s="178">
        <v>741</v>
      </c>
      <c r="F77" s="80">
        <f t="shared" si="22"/>
        <v>1.2999999999999999E-3</v>
      </c>
      <c r="G77" s="178">
        <v>770.9</v>
      </c>
      <c r="H77" s="80">
        <f t="shared" si="23"/>
        <v>1.2999999999999999E-3</v>
      </c>
      <c r="I77" s="178">
        <v>802.1</v>
      </c>
      <c r="J77" s="80">
        <f t="shared" si="24"/>
        <v>1.2999999999999999E-3</v>
      </c>
      <c r="K77" s="178">
        <v>825.5</v>
      </c>
      <c r="L77" s="80">
        <f t="shared" si="25"/>
        <v>1.2999999999999999E-3</v>
      </c>
      <c r="M77" s="178">
        <v>850.2</v>
      </c>
      <c r="N77" s="80">
        <f t="shared" si="26"/>
        <v>1.3000000000000002E-3</v>
      </c>
      <c r="O77" s="178">
        <v>876.19999999999993</v>
      </c>
      <c r="P77" s="80">
        <f t="shared" si="27"/>
        <v>1.2999999999999999E-3</v>
      </c>
      <c r="Q77" s="178">
        <v>902.19999999999993</v>
      </c>
      <c r="R77" s="80">
        <f t="shared" si="28"/>
        <v>1.2999999999999999E-3</v>
      </c>
      <c r="S77" s="178">
        <v>929.5</v>
      </c>
      <c r="T77" s="80">
        <f t="shared" si="29"/>
        <v>1.2999999999999999E-3</v>
      </c>
      <c r="U77" s="178">
        <v>956.8</v>
      </c>
      <c r="V77" s="80">
        <f t="shared" si="30"/>
        <v>1.2999999999999999E-3</v>
      </c>
      <c r="X77" s="192"/>
    </row>
    <row r="78" spans="1:24" ht="12.75" customHeight="1">
      <c r="A78" s="2" t="s">
        <v>422</v>
      </c>
      <c r="B78" s="35"/>
      <c r="C78" s="178">
        <v>12051.642239999999</v>
      </c>
      <c r="D78" s="80">
        <f t="shared" si="21"/>
        <v>2.1999999999999995E-2</v>
      </c>
      <c r="E78" s="178">
        <v>12539.999999999998</v>
      </c>
      <c r="F78" s="80">
        <f t="shared" si="22"/>
        <v>2.1999999999999995E-2</v>
      </c>
      <c r="G78" s="178">
        <v>13046</v>
      </c>
      <c r="H78" s="80">
        <f t="shared" si="23"/>
        <v>2.1999999999999999E-2</v>
      </c>
      <c r="I78" s="178">
        <v>13574</v>
      </c>
      <c r="J78" s="80">
        <f t="shared" si="24"/>
        <v>2.1999999999999999E-2</v>
      </c>
      <c r="K78" s="178">
        <v>13970</v>
      </c>
      <c r="L78" s="80">
        <f t="shared" si="25"/>
        <v>2.1999999999999999E-2</v>
      </c>
      <c r="M78" s="178">
        <v>14388</v>
      </c>
      <c r="N78" s="80">
        <f t="shared" si="26"/>
        <v>2.1999999999999999E-2</v>
      </c>
      <c r="O78" s="178">
        <v>14827.999999999998</v>
      </c>
      <c r="P78" s="80">
        <f t="shared" si="27"/>
        <v>2.1999999999999999E-2</v>
      </c>
      <c r="Q78" s="178">
        <v>15267.999999999998</v>
      </c>
      <c r="R78" s="80">
        <f t="shared" si="28"/>
        <v>2.1999999999999999E-2</v>
      </c>
      <c r="S78" s="178">
        <v>15730</v>
      </c>
      <c r="T78" s="80">
        <f t="shared" si="29"/>
        <v>2.1999999999999999E-2</v>
      </c>
      <c r="U78" s="178">
        <v>16191.999999999998</v>
      </c>
      <c r="V78" s="80">
        <f t="shared" si="30"/>
        <v>2.1999999999999999E-2</v>
      </c>
      <c r="X78" s="192"/>
    </row>
    <row r="79" spans="1:24" ht="12.75" customHeight="1">
      <c r="A79" s="2" t="s">
        <v>423</v>
      </c>
      <c r="B79" s="35"/>
      <c r="C79" s="178">
        <v>0</v>
      </c>
      <c r="D79" s="80">
        <f t="shared" si="21"/>
        <v>0</v>
      </c>
      <c r="E79" s="178">
        <v>0</v>
      </c>
      <c r="F79" s="80">
        <f t="shared" si="22"/>
        <v>0</v>
      </c>
      <c r="G79" s="178">
        <v>0</v>
      </c>
      <c r="H79" s="80">
        <f t="shared" si="23"/>
        <v>0</v>
      </c>
      <c r="I79" s="178">
        <v>0</v>
      </c>
      <c r="J79" s="80">
        <f t="shared" si="24"/>
        <v>0</v>
      </c>
      <c r="K79" s="178">
        <v>0</v>
      </c>
      <c r="L79" s="80">
        <f t="shared" si="25"/>
        <v>0</v>
      </c>
      <c r="M79" s="178">
        <v>0</v>
      </c>
      <c r="N79" s="80">
        <f t="shared" si="26"/>
        <v>0</v>
      </c>
      <c r="O79" s="178">
        <v>0</v>
      </c>
      <c r="P79" s="80">
        <f t="shared" si="27"/>
        <v>0</v>
      </c>
      <c r="Q79" s="178">
        <v>0</v>
      </c>
      <c r="R79" s="80">
        <f t="shared" si="28"/>
        <v>0</v>
      </c>
      <c r="S79" s="178">
        <v>0</v>
      </c>
      <c r="T79" s="80">
        <f t="shared" si="29"/>
        <v>0</v>
      </c>
      <c r="U79" s="178">
        <v>0</v>
      </c>
      <c r="V79" s="80">
        <f t="shared" si="30"/>
        <v>0</v>
      </c>
      <c r="X79" s="192"/>
    </row>
    <row r="80" spans="1:24" ht="12.75" customHeight="1">
      <c r="A80" s="2" t="s">
        <v>424</v>
      </c>
      <c r="B80" s="35"/>
      <c r="C80" s="178">
        <v>0</v>
      </c>
      <c r="D80" s="80">
        <f t="shared" si="21"/>
        <v>0</v>
      </c>
      <c r="E80" s="178">
        <v>0</v>
      </c>
      <c r="F80" s="80">
        <f t="shared" si="22"/>
        <v>0</v>
      </c>
      <c r="G80" s="178">
        <v>0</v>
      </c>
      <c r="H80" s="80">
        <f t="shared" si="23"/>
        <v>0</v>
      </c>
      <c r="I80" s="178">
        <v>0</v>
      </c>
      <c r="J80" s="80">
        <f t="shared" si="24"/>
        <v>0</v>
      </c>
      <c r="K80" s="178">
        <v>0</v>
      </c>
      <c r="L80" s="80">
        <f t="shared" si="25"/>
        <v>0</v>
      </c>
      <c r="M80" s="178">
        <v>0</v>
      </c>
      <c r="N80" s="80">
        <f t="shared" si="26"/>
        <v>0</v>
      </c>
      <c r="O80" s="178">
        <v>0</v>
      </c>
      <c r="P80" s="80">
        <f t="shared" si="27"/>
        <v>0</v>
      </c>
      <c r="Q80" s="178">
        <v>0</v>
      </c>
      <c r="R80" s="80">
        <f t="shared" si="28"/>
        <v>0</v>
      </c>
      <c r="S80" s="178">
        <v>0</v>
      </c>
      <c r="T80" s="80">
        <f t="shared" si="29"/>
        <v>0</v>
      </c>
      <c r="U80" s="178">
        <v>0</v>
      </c>
      <c r="V80" s="80">
        <f t="shared" si="30"/>
        <v>0</v>
      </c>
      <c r="X80" s="192"/>
    </row>
    <row r="81" spans="1:24" ht="12.75" customHeight="1">
      <c r="A81" s="2" t="s">
        <v>425</v>
      </c>
      <c r="B81" s="35"/>
      <c r="C81" s="178">
        <v>0</v>
      </c>
      <c r="D81" s="80">
        <f t="shared" si="21"/>
        <v>0</v>
      </c>
      <c r="E81" s="178">
        <v>0</v>
      </c>
      <c r="F81" s="80">
        <f t="shared" si="22"/>
        <v>0</v>
      </c>
      <c r="G81" s="178">
        <v>0</v>
      </c>
      <c r="H81" s="80">
        <f t="shared" si="23"/>
        <v>0</v>
      </c>
      <c r="I81" s="178">
        <v>0</v>
      </c>
      <c r="J81" s="80">
        <f t="shared" si="24"/>
        <v>0</v>
      </c>
      <c r="K81" s="178">
        <v>0</v>
      </c>
      <c r="L81" s="80">
        <f t="shared" si="25"/>
        <v>0</v>
      </c>
      <c r="M81" s="178">
        <v>0</v>
      </c>
      <c r="N81" s="80">
        <f t="shared" si="26"/>
        <v>0</v>
      </c>
      <c r="O81" s="178">
        <v>0</v>
      </c>
      <c r="P81" s="80">
        <f t="shared" si="27"/>
        <v>0</v>
      </c>
      <c r="Q81" s="178">
        <v>0</v>
      </c>
      <c r="R81" s="80">
        <f t="shared" si="28"/>
        <v>0</v>
      </c>
      <c r="S81" s="178">
        <v>0</v>
      </c>
      <c r="T81" s="80">
        <f t="shared" si="29"/>
        <v>0</v>
      </c>
      <c r="U81" s="178">
        <v>0</v>
      </c>
      <c r="V81" s="80">
        <f t="shared" si="30"/>
        <v>0</v>
      </c>
      <c r="X81" s="192"/>
    </row>
    <row r="82" spans="1:24" ht="12.75" customHeight="1">
      <c r="A82" s="2" t="s">
        <v>426</v>
      </c>
      <c r="B82" s="35"/>
      <c r="C82" s="178">
        <v>0</v>
      </c>
      <c r="D82" s="80">
        <f t="shared" si="21"/>
        <v>0</v>
      </c>
      <c r="E82" s="178">
        <v>0</v>
      </c>
      <c r="F82" s="80">
        <f t="shared" si="22"/>
        <v>0</v>
      </c>
      <c r="G82" s="178">
        <v>0</v>
      </c>
      <c r="H82" s="80">
        <f t="shared" si="23"/>
        <v>0</v>
      </c>
      <c r="I82" s="178">
        <v>0</v>
      </c>
      <c r="J82" s="80">
        <f t="shared" si="24"/>
        <v>0</v>
      </c>
      <c r="K82" s="178">
        <v>0</v>
      </c>
      <c r="L82" s="80">
        <f t="shared" si="25"/>
        <v>0</v>
      </c>
      <c r="M82" s="178">
        <v>0</v>
      </c>
      <c r="N82" s="80">
        <f t="shared" si="26"/>
        <v>0</v>
      </c>
      <c r="O82" s="178">
        <v>0</v>
      </c>
      <c r="P82" s="80">
        <f t="shared" si="27"/>
        <v>0</v>
      </c>
      <c r="Q82" s="178">
        <v>0</v>
      </c>
      <c r="R82" s="80">
        <f t="shared" si="28"/>
        <v>0</v>
      </c>
      <c r="S82" s="178">
        <v>0</v>
      </c>
      <c r="T82" s="80">
        <f t="shared" si="29"/>
        <v>0</v>
      </c>
      <c r="U82" s="178">
        <v>0</v>
      </c>
      <c r="V82" s="80">
        <f t="shared" si="30"/>
        <v>0</v>
      </c>
      <c r="X82" s="192"/>
    </row>
    <row r="83" spans="1:24" ht="12.75" customHeight="1">
      <c r="A83" s="2" t="s">
        <v>427</v>
      </c>
      <c r="B83" s="35"/>
      <c r="C83" s="178">
        <v>0</v>
      </c>
      <c r="D83" s="80">
        <f t="shared" si="21"/>
        <v>0</v>
      </c>
      <c r="E83" s="178">
        <v>0</v>
      </c>
      <c r="F83" s="80">
        <f t="shared" si="22"/>
        <v>0</v>
      </c>
      <c r="G83" s="178">
        <v>0</v>
      </c>
      <c r="H83" s="80">
        <f t="shared" si="23"/>
        <v>0</v>
      </c>
      <c r="I83" s="178">
        <v>0</v>
      </c>
      <c r="J83" s="80">
        <f t="shared" si="24"/>
        <v>0</v>
      </c>
      <c r="K83" s="178">
        <v>0</v>
      </c>
      <c r="L83" s="80">
        <f t="shared" si="25"/>
        <v>0</v>
      </c>
      <c r="M83" s="178">
        <v>0</v>
      </c>
      <c r="N83" s="80">
        <f t="shared" si="26"/>
        <v>0</v>
      </c>
      <c r="O83" s="178">
        <v>0</v>
      </c>
      <c r="P83" s="80">
        <f t="shared" si="27"/>
        <v>0</v>
      </c>
      <c r="Q83" s="178">
        <v>0</v>
      </c>
      <c r="R83" s="80">
        <f t="shared" si="28"/>
        <v>0</v>
      </c>
      <c r="S83" s="178">
        <v>0</v>
      </c>
      <c r="T83" s="80">
        <f t="shared" si="29"/>
        <v>0</v>
      </c>
      <c r="U83" s="178">
        <v>0</v>
      </c>
      <c r="V83" s="80">
        <f t="shared" si="30"/>
        <v>0</v>
      </c>
      <c r="X83" s="192"/>
    </row>
    <row r="84" spans="1:24" ht="12.75" customHeight="1">
      <c r="A84" s="2" t="s">
        <v>428</v>
      </c>
      <c r="B84" s="35"/>
      <c r="C84" s="178">
        <v>0</v>
      </c>
      <c r="D84" s="80">
        <f t="shared" si="21"/>
        <v>0</v>
      </c>
      <c r="E84" s="178">
        <v>0</v>
      </c>
      <c r="F84" s="80">
        <f t="shared" si="22"/>
        <v>0</v>
      </c>
      <c r="G84" s="178">
        <v>0</v>
      </c>
      <c r="H84" s="80">
        <f t="shared" si="23"/>
        <v>0</v>
      </c>
      <c r="I84" s="178">
        <v>0</v>
      </c>
      <c r="J84" s="80">
        <f t="shared" si="24"/>
        <v>0</v>
      </c>
      <c r="K84" s="178">
        <v>0</v>
      </c>
      <c r="L84" s="80">
        <f t="shared" si="25"/>
        <v>0</v>
      </c>
      <c r="M84" s="178">
        <v>0</v>
      </c>
      <c r="N84" s="80">
        <f t="shared" si="26"/>
        <v>0</v>
      </c>
      <c r="O84" s="178">
        <v>0</v>
      </c>
      <c r="P84" s="80">
        <f t="shared" si="27"/>
        <v>0</v>
      </c>
      <c r="Q84" s="178">
        <v>0</v>
      </c>
      <c r="R84" s="80">
        <f t="shared" si="28"/>
        <v>0</v>
      </c>
      <c r="S84" s="178">
        <v>0</v>
      </c>
      <c r="T84" s="80">
        <f t="shared" si="29"/>
        <v>0</v>
      </c>
      <c r="U84" s="178">
        <v>0</v>
      </c>
      <c r="V84" s="80">
        <f t="shared" si="30"/>
        <v>0</v>
      </c>
      <c r="X84" s="192"/>
    </row>
    <row r="85" spans="1:24" ht="12.75" customHeight="1">
      <c r="A85" s="2" t="s">
        <v>429</v>
      </c>
      <c r="B85" s="35"/>
      <c r="C85" s="178">
        <v>0</v>
      </c>
      <c r="D85" s="80">
        <f t="shared" si="21"/>
        <v>0</v>
      </c>
      <c r="E85" s="178">
        <v>0</v>
      </c>
      <c r="F85" s="80">
        <f t="shared" si="22"/>
        <v>0</v>
      </c>
      <c r="G85" s="178">
        <v>0</v>
      </c>
      <c r="H85" s="80">
        <f t="shared" si="23"/>
        <v>0</v>
      </c>
      <c r="I85" s="178">
        <v>0</v>
      </c>
      <c r="J85" s="80">
        <f t="shared" si="24"/>
        <v>0</v>
      </c>
      <c r="K85" s="178">
        <v>0</v>
      </c>
      <c r="L85" s="80">
        <f t="shared" si="25"/>
        <v>0</v>
      </c>
      <c r="M85" s="178">
        <v>0</v>
      </c>
      <c r="N85" s="80">
        <f t="shared" si="26"/>
        <v>0</v>
      </c>
      <c r="O85" s="178">
        <v>0</v>
      </c>
      <c r="P85" s="80">
        <f t="shared" si="27"/>
        <v>0</v>
      </c>
      <c r="Q85" s="178">
        <v>0</v>
      </c>
      <c r="R85" s="80">
        <f t="shared" si="28"/>
        <v>0</v>
      </c>
      <c r="S85" s="178">
        <v>0</v>
      </c>
      <c r="T85" s="80">
        <f t="shared" si="29"/>
        <v>0</v>
      </c>
      <c r="U85" s="178">
        <v>0</v>
      </c>
      <c r="V85" s="80">
        <f t="shared" si="30"/>
        <v>0</v>
      </c>
      <c r="X85" s="192"/>
    </row>
    <row r="86" spans="1:24" ht="12.75" customHeight="1">
      <c r="A86" s="2" t="s">
        <v>430</v>
      </c>
      <c r="B86" s="35"/>
      <c r="C86" s="178">
        <v>2191.20768</v>
      </c>
      <c r="D86" s="80">
        <f t="shared" si="21"/>
        <v>4.0000000000000001E-3</v>
      </c>
      <c r="E86" s="178">
        <v>2280</v>
      </c>
      <c r="F86" s="80">
        <f t="shared" si="22"/>
        <v>4.0000000000000001E-3</v>
      </c>
      <c r="G86" s="178">
        <v>2372</v>
      </c>
      <c r="H86" s="80">
        <f t="shared" si="23"/>
        <v>4.0000000000000001E-3</v>
      </c>
      <c r="I86" s="178">
        <v>2468</v>
      </c>
      <c r="J86" s="80">
        <f t="shared" si="24"/>
        <v>4.0000000000000001E-3</v>
      </c>
      <c r="K86" s="178">
        <v>2540</v>
      </c>
      <c r="L86" s="80">
        <f t="shared" si="25"/>
        <v>4.0000000000000001E-3</v>
      </c>
      <c r="M86" s="178">
        <v>2616</v>
      </c>
      <c r="N86" s="80">
        <f t="shared" si="26"/>
        <v>4.0000000000000001E-3</v>
      </c>
      <c r="O86" s="178">
        <v>2696</v>
      </c>
      <c r="P86" s="80">
        <f t="shared" si="27"/>
        <v>4.0000000000000001E-3</v>
      </c>
      <c r="Q86" s="178">
        <v>2776</v>
      </c>
      <c r="R86" s="80">
        <f t="shared" si="28"/>
        <v>4.0000000000000001E-3</v>
      </c>
      <c r="S86" s="178">
        <v>2860</v>
      </c>
      <c r="T86" s="80">
        <f t="shared" si="29"/>
        <v>4.0000000000000001E-3</v>
      </c>
      <c r="U86" s="178">
        <v>2943.9999999999995</v>
      </c>
      <c r="V86" s="80">
        <f t="shared" si="30"/>
        <v>3.9999999999999992E-3</v>
      </c>
      <c r="X86" s="192"/>
    </row>
    <row r="87" spans="1:24" ht="12.75" customHeight="1">
      <c r="A87" s="2" t="s">
        <v>431</v>
      </c>
      <c r="B87" s="35"/>
      <c r="C87" s="178">
        <v>0</v>
      </c>
      <c r="D87" s="80">
        <f t="shared" si="21"/>
        <v>0</v>
      </c>
      <c r="E87" s="178">
        <v>0</v>
      </c>
      <c r="F87" s="80">
        <f t="shared" si="22"/>
        <v>0</v>
      </c>
      <c r="G87" s="178">
        <v>0</v>
      </c>
      <c r="H87" s="80">
        <f t="shared" si="23"/>
        <v>0</v>
      </c>
      <c r="I87" s="178">
        <v>0</v>
      </c>
      <c r="J87" s="80">
        <f t="shared" si="24"/>
        <v>0</v>
      </c>
      <c r="K87" s="178">
        <v>0</v>
      </c>
      <c r="L87" s="80">
        <f t="shared" si="25"/>
        <v>0</v>
      </c>
      <c r="M87" s="178">
        <v>0</v>
      </c>
      <c r="N87" s="80">
        <f t="shared" si="26"/>
        <v>0</v>
      </c>
      <c r="O87" s="178">
        <v>0</v>
      </c>
      <c r="P87" s="80">
        <f t="shared" si="27"/>
        <v>0</v>
      </c>
      <c r="Q87" s="178">
        <v>0</v>
      </c>
      <c r="R87" s="80">
        <f t="shared" si="28"/>
        <v>0</v>
      </c>
      <c r="S87" s="178">
        <v>0</v>
      </c>
      <c r="T87" s="80">
        <f t="shared" si="29"/>
        <v>0</v>
      </c>
      <c r="U87" s="178">
        <v>0</v>
      </c>
      <c r="V87" s="80">
        <f t="shared" si="30"/>
        <v>0</v>
      </c>
      <c r="X87" s="192"/>
    </row>
    <row r="88" spans="1:24" ht="12.75" customHeight="1">
      <c r="A88" s="2" t="s">
        <v>432</v>
      </c>
      <c r="B88" s="35"/>
      <c r="C88" s="178">
        <v>2793.7897920000005</v>
      </c>
      <c r="D88" s="80">
        <f t="shared" si="21"/>
        <v>5.1000000000000004E-3</v>
      </c>
      <c r="E88" s="178">
        <v>2907</v>
      </c>
      <c r="F88" s="80">
        <f t="shared" si="22"/>
        <v>5.1000000000000004E-3</v>
      </c>
      <c r="G88" s="178">
        <v>3024.3</v>
      </c>
      <c r="H88" s="80">
        <f t="shared" si="23"/>
        <v>5.1000000000000004E-3</v>
      </c>
      <c r="I88" s="178">
        <v>3146.7000000000003</v>
      </c>
      <c r="J88" s="80">
        <f t="shared" si="24"/>
        <v>5.1000000000000004E-3</v>
      </c>
      <c r="K88" s="178">
        <v>3238.5000000000005</v>
      </c>
      <c r="L88" s="80">
        <f t="shared" si="25"/>
        <v>5.1000000000000004E-3</v>
      </c>
      <c r="M88" s="178">
        <v>3335.4000000000005</v>
      </c>
      <c r="N88" s="80">
        <f t="shared" si="26"/>
        <v>5.1000000000000012E-3</v>
      </c>
      <c r="O88" s="178">
        <v>3437.4</v>
      </c>
      <c r="P88" s="80">
        <f t="shared" si="27"/>
        <v>5.1000000000000004E-3</v>
      </c>
      <c r="Q88" s="178">
        <v>3539.4</v>
      </c>
      <c r="R88" s="80">
        <f t="shared" si="28"/>
        <v>5.1000000000000004E-3</v>
      </c>
      <c r="S88" s="178">
        <v>3646.5</v>
      </c>
      <c r="T88" s="80">
        <f t="shared" si="29"/>
        <v>5.1000000000000004E-3</v>
      </c>
      <c r="U88" s="178">
        <v>3753.6</v>
      </c>
      <c r="V88" s="80">
        <f t="shared" si="30"/>
        <v>5.0999999999999995E-3</v>
      </c>
      <c r="X88" s="192"/>
    </row>
    <row r="89" spans="1:24" ht="12.75" customHeight="1">
      <c r="A89" s="2" t="s">
        <v>433</v>
      </c>
      <c r="B89" s="35"/>
      <c r="C89" s="178">
        <v>0</v>
      </c>
      <c r="D89" s="80">
        <f t="shared" si="21"/>
        <v>0</v>
      </c>
      <c r="E89" s="178">
        <v>0</v>
      </c>
      <c r="F89" s="80">
        <f t="shared" si="22"/>
        <v>0</v>
      </c>
      <c r="G89" s="178">
        <v>0</v>
      </c>
      <c r="H89" s="80">
        <f t="shared" si="23"/>
        <v>0</v>
      </c>
      <c r="I89" s="178">
        <v>0</v>
      </c>
      <c r="J89" s="80">
        <f t="shared" si="24"/>
        <v>0</v>
      </c>
      <c r="K89" s="178">
        <v>0</v>
      </c>
      <c r="L89" s="80">
        <f t="shared" si="25"/>
        <v>0</v>
      </c>
      <c r="M89" s="178">
        <v>0</v>
      </c>
      <c r="N89" s="80">
        <f t="shared" si="26"/>
        <v>0</v>
      </c>
      <c r="O89" s="178">
        <v>0</v>
      </c>
      <c r="P89" s="80">
        <f t="shared" si="27"/>
        <v>0</v>
      </c>
      <c r="Q89" s="178">
        <v>0</v>
      </c>
      <c r="R89" s="80">
        <f t="shared" si="28"/>
        <v>0</v>
      </c>
      <c r="S89" s="178">
        <v>0</v>
      </c>
      <c r="T89" s="80">
        <f t="shared" si="29"/>
        <v>0</v>
      </c>
      <c r="U89" s="178">
        <v>0</v>
      </c>
      <c r="V89" s="80">
        <f t="shared" si="30"/>
        <v>0</v>
      </c>
      <c r="X89" s="192"/>
    </row>
    <row r="90" spans="1:24" ht="12.75" customHeight="1">
      <c r="A90" s="2" t="s">
        <v>434</v>
      </c>
      <c r="B90" s="35"/>
      <c r="C90" s="178">
        <v>109.56038400000001</v>
      </c>
      <c r="D90" s="80">
        <f t="shared" si="21"/>
        <v>2.0000000000000001E-4</v>
      </c>
      <c r="E90" s="178">
        <v>114.00000000000001</v>
      </c>
      <c r="F90" s="80">
        <f t="shared" si="22"/>
        <v>2.0000000000000004E-4</v>
      </c>
      <c r="G90" s="178">
        <v>118.60000000000001</v>
      </c>
      <c r="H90" s="80">
        <f t="shared" si="23"/>
        <v>2.0000000000000001E-4</v>
      </c>
      <c r="I90" s="178">
        <v>123.4</v>
      </c>
      <c r="J90" s="80">
        <f t="shared" si="24"/>
        <v>2.0000000000000001E-4</v>
      </c>
      <c r="K90" s="178">
        <v>127.00000000000001</v>
      </c>
      <c r="L90" s="80">
        <f t="shared" si="25"/>
        <v>2.0000000000000001E-4</v>
      </c>
      <c r="M90" s="178">
        <v>130.80000000000001</v>
      </c>
      <c r="N90" s="80">
        <f t="shared" si="26"/>
        <v>2.0000000000000001E-4</v>
      </c>
      <c r="O90" s="178">
        <v>134.80000000000001</v>
      </c>
      <c r="P90" s="80">
        <f t="shared" si="27"/>
        <v>2.0000000000000001E-4</v>
      </c>
      <c r="Q90" s="178">
        <v>138.80000000000001</v>
      </c>
      <c r="R90" s="80">
        <f t="shared" si="28"/>
        <v>2.0000000000000001E-4</v>
      </c>
      <c r="S90" s="178">
        <v>143</v>
      </c>
      <c r="T90" s="80">
        <f t="shared" si="29"/>
        <v>2.0000000000000001E-4</v>
      </c>
      <c r="U90" s="178">
        <v>147.19999999999999</v>
      </c>
      <c r="V90" s="80">
        <f t="shared" si="30"/>
        <v>1.9999999999999998E-4</v>
      </c>
      <c r="X90" s="192"/>
    </row>
    <row r="91" spans="1:24" ht="12.75" customHeight="1">
      <c r="A91" s="2" t="s">
        <v>435</v>
      </c>
      <c r="C91" s="178">
        <v>0</v>
      </c>
      <c r="D91" s="80">
        <f t="shared" si="21"/>
        <v>0</v>
      </c>
      <c r="E91" s="178">
        <v>0</v>
      </c>
      <c r="F91" s="80">
        <f t="shared" si="22"/>
        <v>0</v>
      </c>
      <c r="G91" s="178">
        <v>0</v>
      </c>
      <c r="H91" s="80">
        <f t="shared" si="23"/>
        <v>0</v>
      </c>
      <c r="I91" s="178">
        <v>0</v>
      </c>
      <c r="J91" s="80">
        <f t="shared" si="24"/>
        <v>0</v>
      </c>
      <c r="K91" s="178">
        <v>0</v>
      </c>
      <c r="L91" s="80">
        <f t="shared" si="25"/>
        <v>0</v>
      </c>
      <c r="M91" s="178">
        <v>0</v>
      </c>
      <c r="N91" s="80">
        <f t="shared" si="26"/>
        <v>0</v>
      </c>
      <c r="O91" s="178">
        <v>0</v>
      </c>
      <c r="P91" s="80">
        <f t="shared" si="27"/>
        <v>0</v>
      </c>
      <c r="Q91" s="178">
        <v>0</v>
      </c>
      <c r="R91" s="80">
        <f t="shared" si="28"/>
        <v>0</v>
      </c>
      <c r="S91" s="178">
        <v>0</v>
      </c>
      <c r="T91" s="80">
        <f t="shared" si="29"/>
        <v>0</v>
      </c>
      <c r="U91" s="178">
        <v>0</v>
      </c>
      <c r="V91" s="80">
        <f t="shared" si="30"/>
        <v>0</v>
      </c>
      <c r="X91" s="192"/>
    </row>
    <row r="92" spans="1:24" ht="12.75" customHeight="1">
      <c r="A92" s="2" t="s">
        <v>436</v>
      </c>
      <c r="B92" s="35"/>
      <c r="C92" s="178">
        <v>2848.5699840000002</v>
      </c>
      <c r="D92" s="80">
        <f t="shared" si="21"/>
        <v>5.1999999999999998E-3</v>
      </c>
      <c r="E92" s="178">
        <v>2964</v>
      </c>
      <c r="F92" s="80">
        <f t="shared" si="22"/>
        <v>5.1999999999999998E-3</v>
      </c>
      <c r="G92" s="178">
        <v>3083.6</v>
      </c>
      <c r="H92" s="80">
        <f t="shared" si="23"/>
        <v>5.1999999999999998E-3</v>
      </c>
      <c r="I92" s="178">
        <v>3208.4</v>
      </c>
      <c r="J92" s="80">
        <f t="shared" si="24"/>
        <v>5.1999999999999998E-3</v>
      </c>
      <c r="K92" s="178">
        <v>3302</v>
      </c>
      <c r="L92" s="80">
        <f t="shared" si="25"/>
        <v>5.1999999999999998E-3</v>
      </c>
      <c r="M92" s="178">
        <v>3400.8</v>
      </c>
      <c r="N92" s="80">
        <f t="shared" si="26"/>
        <v>5.2000000000000006E-3</v>
      </c>
      <c r="O92" s="178">
        <v>3504.7999999999997</v>
      </c>
      <c r="P92" s="80">
        <f t="shared" si="27"/>
        <v>5.1999999999999998E-3</v>
      </c>
      <c r="Q92" s="178">
        <v>3608.7999999999997</v>
      </c>
      <c r="R92" s="80">
        <f t="shared" si="28"/>
        <v>5.1999999999999998E-3</v>
      </c>
      <c r="S92" s="178">
        <v>3718</v>
      </c>
      <c r="T92" s="80">
        <f t="shared" si="29"/>
        <v>5.1999999999999998E-3</v>
      </c>
      <c r="U92" s="178">
        <v>3827.2</v>
      </c>
      <c r="V92" s="80">
        <f t="shared" si="30"/>
        <v>5.1999999999999998E-3</v>
      </c>
      <c r="X92" s="192"/>
    </row>
    <row r="93" spans="1:24" ht="12.75" customHeight="1">
      <c r="A93" s="2" t="s">
        <v>437</v>
      </c>
      <c r="B93" s="35"/>
      <c r="C93" s="178">
        <v>0</v>
      </c>
      <c r="D93" s="80">
        <f t="shared" si="21"/>
        <v>0</v>
      </c>
      <c r="E93" s="178">
        <v>0</v>
      </c>
      <c r="F93" s="80">
        <f t="shared" si="22"/>
        <v>0</v>
      </c>
      <c r="G93" s="178">
        <v>0</v>
      </c>
      <c r="H93" s="80">
        <f t="shared" si="23"/>
        <v>0</v>
      </c>
      <c r="I93" s="178">
        <v>0</v>
      </c>
      <c r="J93" s="80">
        <f t="shared" si="24"/>
        <v>0</v>
      </c>
      <c r="K93" s="178">
        <v>0</v>
      </c>
      <c r="L93" s="80">
        <f t="shared" si="25"/>
        <v>0</v>
      </c>
      <c r="M93" s="178">
        <v>0</v>
      </c>
      <c r="N93" s="80">
        <f t="shared" si="26"/>
        <v>0</v>
      </c>
      <c r="O93" s="178">
        <v>0</v>
      </c>
      <c r="P93" s="80">
        <f t="shared" si="27"/>
        <v>0</v>
      </c>
      <c r="Q93" s="178">
        <v>0</v>
      </c>
      <c r="R93" s="80">
        <f t="shared" si="28"/>
        <v>0</v>
      </c>
      <c r="S93" s="178">
        <v>0</v>
      </c>
      <c r="T93" s="80">
        <f t="shared" si="29"/>
        <v>0</v>
      </c>
      <c r="U93" s="178">
        <v>0</v>
      </c>
      <c r="V93" s="80">
        <f t="shared" si="30"/>
        <v>0</v>
      </c>
      <c r="X93" s="192"/>
    </row>
    <row r="94" spans="1:24" ht="12.75" customHeight="1">
      <c r="A94" s="2" t="s">
        <v>438</v>
      </c>
      <c r="B94" s="35"/>
      <c r="C94" s="178">
        <v>0</v>
      </c>
      <c r="D94" s="80">
        <f t="shared" si="21"/>
        <v>0</v>
      </c>
      <c r="E94" s="178">
        <v>0</v>
      </c>
      <c r="F94" s="80">
        <f t="shared" si="22"/>
        <v>0</v>
      </c>
      <c r="G94" s="178">
        <v>0</v>
      </c>
      <c r="H94" s="80">
        <f t="shared" si="23"/>
        <v>0</v>
      </c>
      <c r="I94" s="178">
        <v>0</v>
      </c>
      <c r="J94" s="80">
        <f t="shared" si="24"/>
        <v>0</v>
      </c>
      <c r="K94" s="178">
        <v>0</v>
      </c>
      <c r="L94" s="80">
        <f t="shared" si="25"/>
        <v>0</v>
      </c>
      <c r="M94" s="178">
        <v>0</v>
      </c>
      <c r="N94" s="80">
        <f t="shared" si="26"/>
        <v>0</v>
      </c>
      <c r="O94" s="178">
        <v>0</v>
      </c>
      <c r="P94" s="80">
        <f t="shared" si="27"/>
        <v>0</v>
      </c>
      <c r="Q94" s="178">
        <v>0</v>
      </c>
      <c r="R94" s="80">
        <f t="shared" si="28"/>
        <v>0</v>
      </c>
      <c r="S94" s="178">
        <v>0</v>
      </c>
      <c r="T94" s="80">
        <f t="shared" si="29"/>
        <v>0</v>
      </c>
      <c r="U94" s="178">
        <v>0</v>
      </c>
      <c r="V94" s="80">
        <f t="shared" si="30"/>
        <v>0</v>
      </c>
      <c r="X94" s="192"/>
    </row>
    <row r="95" spans="1:24" ht="12.75" customHeight="1">
      <c r="A95" s="2" t="s">
        <v>439</v>
      </c>
      <c r="B95" s="35"/>
      <c r="C95" s="178">
        <v>0</v>
      </c>
      <c r="D95" s="80">
        <f t="shared" si="21"/>
        <v>0</v>
      </c>
      <c r="E95" s="178">
        <v>0</v>
      </c>
      <c r="F95" s="80">
        <f t="shared" si="22"/>
        <v>0</v>
      </c>
      <c r="G95" s="178">
        <v>0</v>
      </c>
      <c r="H95" s="80">
        <f t="shared" si="23"/>
        <v>0</v>
      </c>
      <c r="I95" s="178">
        <v>0</v>
      </c>
      <c r="J95" s="80">
        <f t="shared" si="24"/>
        <v>0</v>
      </c>
      <c r="K95" s="178">
        <v>0</v>
      </c>
      <c r="L95" s="80">
        <f t="shared" si="25"/>
        <v>0</v>
      </c>
      <c r="M95" s="178">
        <v>0</v>
      </c>
      <c r="N95" s="80">
        <f t="shared" si="26"/>
        <v>0</v>
      </c>
      <c r="O95" s="178">
        <v>0</v>
      </c>
      <c r="P95" s="80">
        <f t="shared" si="27"/>
        <v>0</v>
      </c>
      <c r="Q95" s="178">
        <v>0</v>
      </c>
      <c r="R95" s="80">
        <f t="shared" si="28"/>
        <v>0</v>
      </c>
      <c r="S95" s="178">
        <v>0</v>
      </c>
      <c r="T95" s="80">
        <f t="shared" si="29"/>
        <v>0</v>
      </c>
      <c r="U95" s="178">
        <v>0</v>
      </c>
      <c r="V95" s="80">
        <f t="shared" si="30"/>
        <v>0</v>
      </c>
      <c r="X95" s="192"/>
    </row>
    <row r="96" spans="1:24" ht="12.75" customHeight="1">
      <c r="A96" s="2" t="s">
        <v>440</v>
      </c>
      <c r="B96" s="35"/>
      <c r="C96" s="178">
        <v>0</v>
      </c>
      <c r="D96" s="80">
        <f t="shared" si="21"/>
        <v>0</v>
      </c>
      <c r="E96" s="178">
        <v>0</v>
      </c>
      <c r="F96" s="80">
        <f t="shared" si="22"/>
        <v>0</v>
      </c>
      <c r="G96" s="178">
        <v>0</v>
      </c>
      <c r="H96" s="80">
        <f t="shared" si="23"/>
        <v>0</v>
      </c>
      <c r="I96" s="178">
        <v>0</v>
      </c>
      <c r="J96" s="80">
        <f t="shared" si="24"/>
        <v>0</v>
      </c>
      <c r="K96" s="178">
        <v>0</v>
      </c>
      <c r="L96" s="80">
        <f t="shared" si="25"/>
        <v>0</v>
      </c>
      <c r="M96" s="178">
        <v>0</v>
      </c>
      <c r="N96" s="80">
        <f t="shared" si="26"/>
        <v>0</v>
      </c>
      <c r="O96" s="178">
        <v>0</v>
      </c>
      <c r="P96" s="80">
        <f t="shared" si="27"/>
        <v>0</v>
      </c>
      <c r="Q96" s="178">
        <v>0</v>
      </c>
      <c r="R96" s="80">
        <f t="shared" si="28"/>
        <v>0</v>
      </c>
      <c r="S96" s="178">
        <v>0</v>
      </c>
      <c r="T96" s="80">
        <f t="shared" si="29"/>
        <v>0</v>
      </c>
      <c r="U96" s="178">
        <v>0</v>
      </c>
      <c r="V96" s="80">
        <f t="shared" si="30"/>
        <v>0</v>
      </c>
      <c r="X96" s="192"/>
    </row>
    <row r="97" spans="1:24" ht="12.75" customHeight="1">
      <c r="A97" s="2" t="s">
        <v>441</v>
      </c>
      <c r="B97" s="35"/>
      <c r="C97" s="178">
        <v>6612.0407999999998</v>
      </c>
      <c r="D97" s="80">
        <f t="shared" si="21"/>
        <v>1.2070130750910839E-2</v>
      </c>
      <c r="E97" s="178">
        <v>7361.7748860000011</v>
      </c>
      <c r="F97" s="80">
        <f t="shared" si="22"/>
        <v>1.2915394536842107E-2</v>
      </c>
      <c r="G97" s="178">
        <v>7619.4370070100003</v>
      </c>
      <c r="H97" s="80">
        <f t="shared" si="23"/>
        <v>1.2848966285008432E-2</v>
      </c>
      <c r="I97" s="178">
        <v>7863.2589912343201</v>
      </c>
      <c r="J97" s="80">
        <f t="shared" si="24"/>
        <v>1.2744341963102626E-2</v>
      </c>
      <c r="K97" s="178">
        <v>8059.8404660151773</v>
      </c>
      <c r="L97" s="80">
        <f t="shared" si="25"/>
        <v>1.2692662151205004E-2</v>
      </c>
      <c r="M97" s="178">
        <v>8261.3364776655562</v>
      </c>
      <c r="N97" s="80">
        <f t="shared" si="26"/>
        <v>1.2632012962791371E-2</v>
      </c>
      <c r="O97" s="178">
        <v>8467.8698896071946</v>
      </c>
      <c r="P97" s="80">
        <f t="shared" si="27"/>
        <v>1.2563605177458746E-2</v>
      </c>
      <c r="Q97" s="178">
        <v>8679.566636847374</v>
      </c>
      <c r="R97" s="80">
        <f t="shared" si="28"/>
        <v>1.2506580168367974E-2</v>
      </c>
      <c r="S97" s="178">
        <v>8867.953740605366</v>
      </c>
      <c r="T97" s="80">
        <f t="shared" si="29"/>
        <v>1.2402732504343169E-2</v>
      </c>
      <c r="U97" s="178">
        <v>9089.6525841205003</v>
      </c>
      <c r="V97" s="80">
        <f t="shared" si="30"/>
        <v>1.2350071445815897E-2</v>
      </c>
      <c r="X97" s="192"/>
    </row>
    <row r="98" spans="1:24" ht="12.75" customHeight="1">
      <c r="A98" s="117" t="s">
        <v>444</v>
      </c>
      <c r="B98" s="35"/>
      <c r="C98" s="178">
        <v>657.36230399999999</v>
      </c>
      <c r="D98" s="80">
        <f t="shared" si="21"/>
        <v>1.1999999999999999E-3</v>
      </c>
      <c r="E98" s="178">
        <v>683.99999999999989</v>
      </c>
      <c r="F98" s="80">
        <f t="shared" si="22"/>
        <v>1.1999999999999999E-3</v>
      </c>
      <c r="G98" s="178">
        <v>711.59999999999991</v>
      </c>
      <c r="H98" s="80">
        <f t="shared" si="23"/>
        <v>1.1999999999999999E-3</v>
      </c>
      <c r="I98" s="178">
        <v>740.39999999999986</v>
      </c>
      <c r="J98" s="80">
        <f t="shared" si="24"/>
        <v>1.1999999999999997E-3</v>
      </c>
      <c r="K98" s="178">
        <v>762</v>
      </c>
      <c r="L98" s="80">
        <f t="shared" si="25"/>
        <v>1.1999999999999999E-3</v>
      </c>
      <c r="M98" s="178">
        <v>784.8</v>
      </c>
      <c r="N98" s="80">
        <f t="shared" si="26"/>
        <v>1.1999999999999999E-3</v>
      </c>
      <c r="O98" s="178">
        <v>808.8</v>
      </c>
      <c r="P98" s="80">
        <f t="shared" si="27"/>
        <v>1.1999999999999999E-3</v>
      </c>
      <c r="Q98" s="178">
        <v>832.79999999999984</v>
      </c>
      <c r="R98" s="80">
        <f t="shared" si="28"/>
        <v>1.1999999999999997E-3</v>
      </c>
      <c r="S98" s="178">
        <v>857.99999999999989</v>
      </c>
      <c r="T98" s="80">
        <f t="shared" si="29"/>
        <v>1.1999999999999999E-3</v>
      </c>
      <c r="U98" s="178">
        <v>883.19999999999982</v>
      </c>
      <c r="V98" s="80">
        <f t="shared" si="30"/>
        <v>1.1999999999999997E-3</v>
      </c>
      <c r="X98" s="192"/>
    </row>
    <row r="99" spans="1:24" ht="12.75" customHeight="1">
      <c r="A99" s="117" t="s">
        <v>444</v>
      </c>
      <c r="B99" s="35"/>
      <c r="C99" s="178">
        <v>0</v>
      </c>
      <c r="D99" s="80">
        <f t="shared" si="21"/>
        <v>0</v>
      </c>
      <c r="E99" s="178">
        <v>0</v>
      </c>
      <c r="F99" s="80">
        <f t="shared" si="22"/>
        <v>0</v>
      </c>
      <c r="G99" s="178">
        <v>0</v>
      </c>
      <c r="H99" s="80">
        <f t="shared" si="23"/>
        <v>0</v>
      </c>
      <c r="I99" s="178">
        <v>0</v>
      </c>
      <c r="J99" s="80">
        <f t="shared" si="24"/>
        <v>0</v>
      </c>
      <c r="K99" s="178">
        <v>0</v>
      </c>
      <c r="L99" s="80">
        <f t="shared" si="25"/>
        <v>0</v>
      </c>
      <c r="M99" s="178">
        <v>0</v>
      </c>
      <c r="N99" s="80">
        <f t="shared" si="26"/>
        <v>0</v>
      </c>
      <c r="O99" s="178">
        <v>0</v>
      </c>
      <c r="P99" s="80">
        <f t="shared" si="27"/>
        <v>0</v>
      </c>
      <c r="Q99" s="178">
        <v>0</v>
      </c>
      <c r="R99" s="80">
        <f t="shared" si="28"/>
        <v>0</v>
      </c>
      <c r="S99" s="178">
        <v>0</v>
      </c>
      <c r="T99" s="80">
        <f t="shared" si="29"/>
        <v>0</v>
      </c>
      <c r="U99" s="178">
        <v>0</v>
      </c>
      <c r="V99" s="80">
        <f t="shared" si="30"/>
        <v>0</v>
      </c>
      <c r="X99" s="192"/>
    </row>
    <row r="100" spans="1:24" ht="12.75" customHeight="1">
      <c r="A100" s="117" t="s">
        <v>444</v>
      </c>
      <c r="B100" s="35"/>
      <c r="C100" s="178">
        <v>0</v>
      </c>
      <c r="D100" s="80">
        <f t="shared" si="21"/>
        <v>0</v>
      </c>
      <c r="E100" s="178">
        <v>0</v>
      </c>
      <c r="F100" s="80">
        <f t="shared" si="22"/>
        <v>0</v>
      </c>
      <c r="G100" s="178">
        <v>0</v>
      </c>
      <c r="H100" s="80">
        <f t="shared" si="23"/>
        <v>0</v>
      </c>
      <c r="I100" s="178">
        <v>0</v>
      </c>
      <c r="J100" s="80">
        <f t="shared" si="24"/>
        <v>0</v>
      </c>
      <c r="K100" s="178">
        <v>0</v>
      </c>
      <c r="L100" s="80">
        <f t="shared" si="25"/>
        <v>0</v>
      </c>
      <c r="M100" s="178">
        <v>0</v>
      </c>
      <c r="N100" s="80">
        <f t="shared" si="26"/>
        <v>0</v>
      </c>
      <c r="O100" s="178">
        <v>0</v>
      </c>
      <c r="P100" s="80">
        <f t="shared" si="27"/>
        <v>0</v>
      </c>
      <c r="Q100" s="178">
        <v>0</v>
      </c>
      <c r="R100" s="80">
        <f t="shared" si="28"/>
        <v>0</v>
      </c>
      <c r="S100" s="178">
        <v>0</v>
      </c>
      <c r="T100" s="80">
        <f t="shared" si="29"/>
        <v>0</v>
      </c>
      <c r="U100" s="178">
        <v>0</v>
      </c>
      <c r="V100" s="80">
        <f t="shared" si="30"/>
        <v>0</v>
      </c>
      <c r="X100" s="192"/>
    </row>
    <row r="101" spans="1:24" ht="12.75" customHeight="1">
      <c r="A101" s="2" t="s">
        <v>445</v>
      </c>
      <c r="B101" s="35"/>
      <c r="C101" s="178"/>
      <c r="D101" s="80">
        <f t="shared" si="21"/>
        <v>0</v>
      </c>
      <c r="E101" s="178"/>
      <c r="F101" s="80">
        <f t="shared" si="22"/>
        <v>0</v>
      </c>
      <c r="G101" s="178"/>
      <c r="H101" s="80">
        <f t="shared" si="23"/>
        <v>0</v>
      </c>
      <c r="I101" s="178">
        <v>0</v>
      </c>
      <c r="J101" s="80">
        <f t="shared" si="24"/>
        <v>0</v>
      </c>
      <c r="K101" s="178">
        <v>0</v>
      </c>
      <c r="L101" s="80">
        <f t="shared" si="25"/>
        <v>0</v>
      </c>
      <c r="M101" s="178">
        <v>0</v>
      </c>
      <c r="N101" s="80">
        <f t="shared" si="26"/>
        <v>0</v>
      </c>
      <c r="O101" s="178">
        <v>0</v>
      </c>
      <c r="P101" s="80">
        <f t="shared" si="27"/>
        <v>0</v>
      </c>
      <c r="Q101" s="178">
        <v>0</v>
      </c>
      <c r="R101" s="80">
        <f t="shared" si="28"/>
        <v>0</v>
      </c>
      <c r="S101" s="178">
        <v>0</v>
      </c>
      <c r="T101" s="80">
        <f t="shared" si="29"/>
        <v>0</v>
      </c>
      <c r="U101" s="178">
        <v>0</v>
      </c>
      <c r="V101" s="80">
        <f t="shared" si="30"/>
        <v>0</v>
      </c>
      <c r="X101" s="192"/>
    </row>
    <row r="102" spans="1:24" ht="12.75" customHeight="1">
      <c r="A102" s="117" t="s">
        <v>446</v>
      </c>
      <c r="B102" s="35"/>
      <c r="C102" s="178">
        <v>5478.0192000000006</v>
      </c>
      <c r="D102" s="80">
        <f t="shared" si="21"/>
        <v>0.01</v>
      </c>
      <c r="E102" s="178">
        <v>5700</v>
      </c>
      <c r="F102" s="80">
        <f t="shared" si="22"/>
        <v>0.01</v>
      </c>
      <c r="G102" s="178">
        <v>5930</v>
      </c>
      <c r="H102" s="80">
        <f t="shared" si="23"/>
        <v>0.01</v>
      </c>
      <c r="I102" s="178">
        <v>6170.0000000000009</v>
      </c>
      <c r="J102" s="80">
        <f t="shared" si="24"/>
        <v>1.0000000000000002E-2</v>
      </c>
      <c r="K102" s="178">
        <v>6350.0000000000009</v>
      </c>
      <c r="L102" s="80">
        <f t="shared" si="25"/>
        <v>1.0000000000000002E-2</v>
      </c>
      <c r="M102" s="178">
        <v>6540</v>
      </c>
      <c r="N102" s="80">
        <f t="shared" si="26"/>
        <v>0.01</v>
      </c>
      <c r="O102" s="178">
        <v>6740.0000000000009</v>
      </c>
      <c r="P102" s="80">
        <f t="shared" si="27"/>
        <v>1.0000000000000002E-2</v>
      </c>
      <c r="Q102" s="178">
        <v>6940</v>
      </c>
      <c r="R102" s="80">
        <f t="shared" si="28"/>
        <v>0.01</v>
      </c>
      <c r="S102" s="178">
        <v>7150</v>
      </c>
      <c r="T102" s="80">
        <f t="shared" si="29"/>
        <v>0.01</v>
      </c>
      <c r="U102" s="178">
        <v>7359.9999999999991</v>
      </c>
      <c r="V102" s="80">
        <f t="shared" si="30"/>
        <v>9.9999999999999985E-3</v>
      </c>
      <c r="X102" s="192"/>
    </row>
    <row r="103" spans="1:24" ht="12.75" customHeight="1">
      <c r="A103" s="117" t="s">
        <v>446</v>
      </c>
      <c r="B103" s="35"/>
      <c r="C103" s="178">
        <v>0</v>
      </c>
      <c r="D103" s="80">
        <f t="shared" si="21"/>
        <v>0</v>
      </c>
      <c r="E103" s="178">
        <v>0</v>
      </c>
      <c r="F103" s="80">
        <f t="shared" si="22"/>
        <v>0</v>
      </c>
      <c r="G103" s="178">
        <v>0</v>
      </c>
      <c r="H103" s="80">
        <f t="shared" si="23"/>
        <v>0</v>
      </c>
      <c r="I103" s="178">
        <v>0</v>
      </c>
      <c r="J103" s="80">
        <f t="shared" si="24"/>
        <v>0</v>
      </c>
      <c r="K103" s="178">
        <v>0</v>
      </c>
      <c r="L103" s="80">
        <f t="shared" si="25"/>
        <v>0</v>
      </c>
      <c r="M103" s="178">
        <v>0</v>
      </c>
      <c r="N103" s="80">
        <f t="shared" si="26"/>
        <v>0</v>
      </c>
      <c r="O103" s="178">
        <v>0</v>
      </c>
      <c r="P103" s="80">
        <f t="shared" si="27"/>
        <v>0</v>
      </c>
      <c r="Q103" s="178">
        <v>0</v>
      </c>
      <c r="R103" s="80">
        <f t="shared" si="28"/>
        <v>0</v>
      </c>
      <c r="S103" s="178">
        <v>0</v>
      </c>
      <c r="T103" s="80">
        <f t="shared" si="29"/>
        <v>0</v>
      </c>
      <c r="U103" s="178">
        <v>0</v>
      </c>
      <c r="V103" s="80">
        <f t="shared" si="30"/>
        <v>0</v>
      </c>
      <c r="X103" s="192"/>
    </row>
    <row r="104" spans="1:24" ht="12.75" customHeight="1">
      <c r="A104" s="117" t="s">
        <v>446</v>
      </c>
      <c r="B104" s="1"/>
      <c r="C104" s="178">
        <v>0</v>
      </c>
      <c r="D104" s="80">
        <f t="shared" si="21"/>
        <v>0</v>
      </c>
      <c r="E104" s="178">
        <v>0</v>
      </c>
      <c r="F104" s="80">
        <f t="shared" si="22"/>
        <v>0</v>
      </c>
      <c r="G104" s="178">
        <v>0</v>
      </c>
      <c r="H104" s="80">
        <f t="shared" si="23"/>
        <v>0</v>
      </c>
      <c r="I104" s="178">
        <v>0</v>
      </c>
      <c r="J104" s="80">
        <f t="shared" si="24"/>
        <v>0</v>
      </c>
      <c r="K104" s="178">
        <v>0</v>
      </c>
      <c r="L104" s="80">
        <f t="shared" si="25"/>
        <v>0</v>
      </c>
      <c r="M104" s="178">
        <v>0</v>
      </c>
      <c r="N104" s="80">
        <f t="shared" si="26"/>
        <v>0</v>
      </c>
      <c r="O104" s="178">
        <v>0</v>
      </c>
      <c r="P104" s="80">
        <f t="shared" si="27"/>
        <v>0</v>
      </c>
      <c r="Q104" s="178">
        <v>0</v>
      </c>
      <c r="R104" s="80">
        <f t="shared" si="28"/>
        <v>0</v>
      </c>
      <c r="S104" s="178">
        <v>0</v>
      </c>
      <c r="T104" s="80">
        <f t="shared" si="29"/>
        <v>0</v>
      </c>
      <c r="U104" s="178">
        <v>0</v>
      </c>
      <c r="V104" s="80">
        <f t="shared" si="30"/>
        <v>0</v>
      </c>
      <c r="X104" s="192"/>
    </row>
    <row r="105" spans="1:24" ht="12.75" customHeight="1">
      <c r="A105" s="1" t="s">
        <v>447</v>
      </c>
      <c r="B105" s="53"/>
      <c r="C105" s="82">
        <f>SUM(C52:C104)</f>
        <v>84496.151195646074</v>
      </c>
      <c r="D105" s="83">
        <f t="shared" ref="D105" si="31">IFERROR(C105/C$28,0)</f>
        <v>0.15424581059454132</v>
      </c>
      <c r="E105" s="82">
        <f>SUM(E52:E104)</f>
        <v>88504.290772277702</v>
      </c>
      <c r="F105" s="83">
        <f t="shared" ref="F105" si="32">IFERROR(E105/E$28,0)</f>
        <v>0.15527068556539947</v>
      </c>
      <c r="G105" s="82">
        <f>SUM(G52:G104)</f>
        <v>91958.634449737772</v>
      </c>
      <c r="H105" s="83">
        <f t="shared" ref="H105" si="33">IFERROR(G105/G$28,0)</f>
        <v>0.15507358254593218</v>
      </c>
      <c r="I105" s="82">
        <f>SUM(I52:I104)</f>
        <v>95635.199046125854</v>
      </c>
      <c r="J105" s="83">
        <f t="shared" ref="J105" si="34">IFERROR(I105/I$28,0)</f>
        <v>0.15500032260312133</v>
      </c>
      <c r="K105" s="82">
        <f>SUM(K52:K104)</f>
        <v>98368.42221599177</v>
      </c>
      <c r="L105" s="83">
        <f t="shared" ref="L105" si="35">IFERROR(K105/K$28,0)</f>
        <v>0.1549109011275461</v>
      </c>
      <c r="M105" s="82">
        <f>SUM(M52:M104)</f>
        <v>101285.52531502646</v>
      </c>
      <c r="N105" s="83">
        <f t="shared" ref="N105" si="36">IFERROR(M105/M$28,0)</f>
        <v>0.15487083381502517</v>
      </c>
      <c r="O105" s="82">
        <f>SUM(O52:O104)</f>
        <v>104353.82738065127</v>
      </c>
      <c r="P105" s="83">
        <f t="shared" ref="P105" si="37">IFERROR(O105/O$28,0)</f>
        <v>0.15482763706328082</v>
      </c>
      <c r="Q105" s="82">
        <f>SUM(Q52:Q104)</f>
        <v>107435.78039313511</v>
      </c>
      <c r="R105" s="83">
        <f t="shared" ref="R105" si="38">IFERROR(Q105/Q$28,0)</f>
        <v>0.15480659999010823</v>
      </c>
      <c r="S105" s="82">
        <f>SUM(S52:S104)</f>
        <v>110637.57085300081</v>
      </c>
      <c r="T105" s="83">
        <f t="shared" ref="T105" si="39">IFERROR(S105/S$28,0)</f>
        <v>0.15473786133286827</v>
      </c>
      <c r="U105" s="82">
        <f>SUM(U52:U104)</f>
        <v>113875.91986467781</v>
      </c>
      <c r="V105" s="83">
        <f t="shared" si="30"/>
        <v>0.15472271720744268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448</v>
      </c>
      <c r="B107" s="53"/>
      <c r="C107" s="82">
        <f>C28-C33-C46-C105</f>
        <v>150770.73968435399</v>
      </c>
      <c r="D107" s="83">
        <f>IFERROR(C107/C$28,0)</f>
        <v>0.27522857109437293</v>
      </c>
      <c r="E107" s="82">
        <f>E28-E33-E46-E105</f>
        <v>143899.38366772229</v>
      </c>
      <c r="F107" s="83">
        <f>IFERROR(E107/E$28,0)</f>
        <v>0.25245505906617943</v>
      </c>
      <c r="G107" s="82">
        <f>G28-G33-G46-G105</f>
        <v>150833.11859566218</v>
      </c>
      <c r="H107" s="83">
        <f>IFERROR(G107/G$28,0)</f>
        <v>0.25435601786789575</v>
      </c>
      <c r="I107" s="82">
        <f>I28-I33-I46-I105</f>
        <v>158638.62609672692</v>
      </c>
      <c r="J107" s="83">
        <f>IFERROR(I107/I$28,0)</f>
        <v>0.25711284618594316</v>
      </c>
      <c r="K107" s="82">
        <f>K28-K33-K46-K105</f>
        <v>164165.17355543235</v>
      </c>
      <c r="L107" s="83">
        <f>IFERROR(K107/K$28,0)</f>
        <v>0.2585278323707596</v>
      </c>
      <c r="M107" s="82">
        <f>M28-M33-M46-M105</f>
        <v>170120.78535068332</v>
      </c>
      <c r="N107" s="83">
        <f>IFERROR(M107/M$28,0)</f>
        <v>0.26012352500104485</v>
      </c>
      <c r="O107" s="82">
        <f>O28-O33-O46-O105</f>
        <v>176534.99105170125</v>
      </c>
      <c r="P107" s="83">
        <f>IFERROR(O107/O$28,0)</f>
        <v>0.26192135170875558</v>
      </c>
      <c r="Q107" s="82">
        <f>Q28-Q33-Q46-Q105</f>
        <v>182803.10850002622</v>
      </c>
      <c r="R107" s="83">
        <f>IFERROR(Q107/Q$28,0)</f>
        <v>0.2634050554755421</v>
      </c>
      <c r="S107" s="82">
        <f>S28-S33-S46-S105</f>
        <v>190260.97561252414</v>
      </c>
      <c r="T107" s="83">
        <f>IFERROR(S107/S$28,0)</f>
        <v>0.26609926659094285</v>
      </c>
      <c r="U107" s="82">
        <f>U28-U33-U46-U105</f>
        <v>196854.46526248532</v>
      </c>
      <c r="V107" s="83">
        <f>IFERROR(U107/U$28,0)</f>
        <v>0.26746530606315938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449</v>
      </c>
      <c r="B110" s="40"/>
      <c r="C110" s="86" t="str">
        <f>C50</f>
        <v>FY 2018-19</v>
      </c>
      <c r="D110" s="86" t="s">
        <v>366</v>
      </c>
      <c r="E110" s="86" t="str">
        <f>E50</f>
        <v>FY 2019-20</v>
      </c>
      <c r="F110" s="86" t="s">
        <v>366</v>
      </c>
      <c r="G110" s="86" t="str">
        <f>G50</f>
        <v>FY 2020-21</v>
      </c>
      <c r="H110" s="86" t="s">
        <v>366</v>
      </c>
      <c r="I110" s="86" t="str">
        <f>I50</f>
        <v>FY 2021-22</v>
      </c>
      <c r="J110" s="86" t="s">
        <v>366</v>
      </c>
      <c r="K110" s="86" t="str">
        <f>K50</f>
        <v>FY 2022-23</v>
      </c>
      <c r="L110" s="86" t="s">
        <v>366</v>
      </c>
      <c r="M110" s="86" t="str">
        <f>M50</f>
        <v>FY 2023-24</v>
      </c>
      <c r="N110" s="86" t="s">
        <v>366</v>
      </c>
      <c r="O110" s="86" t="str">
        <f>O50</f>
        <v>FY 2024-25</v>
      </c>
      <c r="P110" s="86" t="s">
        <v>366</v>
      </c>
      <c r="Q110" s="86" t="str">
        <f>Q50</f>
        <v>FY 2025-26</v>
      </c>
      <c r="R110" s="86" t="s">
        <v>366</v>
      </c>
      <c r="S110" s="86" t="str">
        <f>S50</f>
        <v>FY 2026-27</v>
      </c>
      <c r="T110" s="86" t="s">
        <v>366</v>
      </c>
      <c r="U110" s="86" t="str">
        <f>U50</f>
        <v>FY 2027-28</v>
      </c>
      <c r="V110" s="86" t="s">
        <v>366</v>
      </c>
    </row>
    <row r="111" spans="1:24" ht="12.75" customHeight="1">
      <c r="A111" s="2" t="s">
        <v>403</v>
      </c>
      <c r="B111" s="35"/>
      <c r="C111" s="79">
        <f>C59</f>
        <v>0</v>
      </c>
      <c r="D111" s="80">
        <f t="shared" ref="D111:D116" si="40">IFERROR(C111/C$28,0)</f>
        <v>0</v>
      </c>
      <c r="E111" s="79">
        <f>E59</f>
        <v>0</v>
      </c>
      <c r="F111" s="80">
        <f t="shared" ref="F111:F116" si="41">IFERROR(E111/E$28,0)</f>
        <v>0</v>
      </c>
      <c r="G111" s="79">
        <f>G59</f>
        <v>0</v>
      </c>
      <c r="H111" s="80">
        <f t="shared" ref="H111:H116" si="42">IFERROR(G111/G$28,0)</f>
        <v>0</v>
      </c>
      <c r="I111" s="79">
        <f>I59</f>
        <v>0</v>
      </c>
      <c r="J111" s="80">
        <f t="shared" ref="J111:J116" si="43">IFERROR(I111/I$28,0)</f>
        <v>0</v>
      </c>
      <c r="K111" s="79">
        <f>K59</f>
        <v>0</v>
      </c>
      <c r="L111" s="80">
        <f t="shared" ref="L111:L116" si="44">IFERROR(K111/K$28,0)</f>
        <v>0</v>
      </c>
      <c r="M111" s="79">
        <f>M59</f>
        <v>0</v>
      </c>
      <c r="N111" s="80">
        <f t="shared" ref="N111:N116" si="45">IFERROR(M111/M$28,0)</f>
        <v>0</v>
      </c>
      <c r="O111" s="79">
        <f>O59</f>
        <v>0</v>
      </c>
      <c r="P111" s="80">
        <f t="shared" ref="P111:P116" si="46">IFERROR(O111/O$28,0)</f>
        <v>0</v>
      </c>
      <c r="Q111" s="79">
        <f>Q59</f>
        <v>0</v>
      </c>
      <c r="R111" s="80">
        <f t="shared" ref="R111:R116" si="47">IFERROR(Q111/Q$28,0)</f>
        <v>0</v>
      </c>
      <c r="S111" s="79">
        <f>S59</f>
        <v>0</v>
      </c>
      <c r="T111" s="80">
        <f t="shared" ref="T111:T116" si="48">IFERROR(S111/S$28,0)</f>
        <v>0</v>
      </c>
      <c r="U111" s="79">
        <f>U59</f>
        <v>0</v>
      </c>
      <c r="V111" s="80">
        <f t="shared" ref="V111:V116" si="49">IFERROR(U111/U$28,0)</f>
        <v>0</v>
      </c>
    </row>
    <row r="112" spans="1:24" ht="12.75" customHeight="1">
      <c r="A112" s="2" t="s">
        <v>450</v>
      </c>
      <c r="B112" s="35"/>
      <c r="C112" s="79">
        <f>C62</f>
        <v>0</v>
      </c>
      <c r="D112" s="80">
        <f t="shared" si="40"/>
        <v>0</v>
      </c>
      <c r="E112" s="79">
        <f>E62</f>
        <v>0</v>
      </c>
      <c r="F112" s="80">
        <f t="shared" si="41"/>
        <v>0</v>
      </c>
      <c r="G112" s="79">
        <f>G62</f>
        <v>0</v>
      </c>
      <c r="H112" s="80">
        <f t="shared" si="42"/>
        <v>0</v>
      </c>
      <c r="I112" s="79">
        <f>I62</f>
        <v>0</v>
      </c>
      <c r="J112" s="80">
        <f t="shared" si="43"/>
        <v>0</v>
      </c>
      <c r="K112" s="79">
        <f>K62</f>
        <v>0</v>
      </c>
      <c r="L112" s="80">
        <f t="shared" si="44"/>
        <v>0</v>
      </c>
      <c r="M112" s="79">
        <f>M62</f>
        <v>0</v>
      </c>
      <c r="N112" s="80">
        <f t="shared" si="45"/>
        <v>0</v>
      </c>
      <c r="O112" s="79">
        <f>O62</f>
        <v>0</v>
      </c>
      <c r="P112" s="80">
        <f t="shared" si="46"/>
        <v>0</v>
      </c>
      <c r="Q112" s="79">
        <f>Q62</f>
        <v>0</v>
      </c>
      <c r="R112" s="80">
        <f t="shared" si="47"/>
        <v>0</v>
      </c>
      <c r="S112" s="79">
        <f>S62</f>
        <v>0</v>
      </c>
      <c r="T112" s="80">
        <f t="shared" si="48"/>
        <v>0</v>
      </c>
      <c r="U112" s="79">
        <f>U62</f>
        <v>0</v>
      </c>
      <c r="V112" s="80">
        <f t="shared" si="49"/>
        <v>0</v>
      </c>
    </row>
    <row r="113" spans="1:22" ht="12.75" customHeight="1">
      <c r="A113" s="117" t="s">
        <v>446</v>
      </c>
      <c r="B113" s="41"/>
      <c r="C113" s="111">
        <v>0</v>
      </c>
      <c r="D113" s="80">
        <f t="shared" si="40"/>
        <v>0</v>
      </c>
      <c r="E113" s="111">
        <v>0</v>
      </c>
      <c r="F113" s="80">
        <f t="shared" si="41"/>
        <v>0</v>
      </c>
      <c r="G113" s="111">
        <v>0</v>
      </c>
      <c r="H113" s="80">
        <f t="shared" si="42"/>
        <v>0</v>
      </c>
      <c r="I113" s="111">
        <v>0</v>
      </c>
      <c r="J113" s="80">
        <f t="shared" si="43"/>
        <v>0</v>
      </c>
      <c r="K113" s="111">
        <v>0</v>
      </c>
      <c r="L113" s="80">
        <f t="shared" si="44"/>
        <v>0</v>
      </c>
      <c r="M113" s="111">
        <v>0</v>
      </c>
      <c r="N113" s="80">
        <f t="shared" si="45"/>
        <v>0</v>
      </c>
      <c r="O113" s="111">
        <v>0</v>
      </c>
      <c r="P113" s="80">
        <f t="shared" si="46"/>
        <v>0</v>
      </c>
      <c r="Q113" s="111">
        <v>0</v>
      </c>
      <c r="R113" s="80">
        <f t="shared" si="47"/>
        <v>0</v>
      </c>
      <c r="S113" s="111">
        <v>0</v>
      </c>
      <c r="T113" s="80">
        <f t="shared" si="48"/>
        <v>0</v>
      </c>
      <c r="U113" s="111">
        <v>0</v>
      </c>
      <c r="V113" s="80">
        <f t="shared" si="49"/>
        <v>0</v>
      </c>
    </row>
    <row r="114" spans="1:22" ht="12.75" customHeight="1">
      <c r="A114" s="117" t="s">
        <v>446</v>
      </c>
      <c r="B114" s="41"/>
      <c r="C114" s="111">
        <v>0</v>
      </c>
      <c r="D114" s="80">
        <f t="shared" si="40"/>
        <v>0</v>
      </c>
      <c r="E114" s="111">
        <v>0</v>
      </c>
      <c r="F114" s="80">
        <f t="shared" si="41"/>
        <v>0</v>
      </c>
      <c r="G114" s="111">
        <v>0</v>
      </c>
      <c r="H114" s="80">
        <f t="shared" si="42"/>
        <v>0</v>
      </c>
      <c r="I114" s="111">
        <v>0</v>
      </c>
      <c r="J114" s="80">
        <f t="shared" si="43"/>
        <v>0</v>
      </c>
      <c r="K114" s="111">
        <v>0</v>
      </c>
      <c r="L114" s="80">
        <f t="shared" si="44"/>
        <v>0</v>
      </c>
      <c r="M114" s="111">
        <v>0</v>
      </c>
      <c r="N114" s="80">
        <f t="shared" si="45"/>
        <v>0</v>
      </c>
      <c r="O114" s="111">
        <v>0</v>
      </c>
      <c r="P114" s="80">
        <f t="shared" si="46"/>
        <v>0</v>
      </c>
      <c r="Q114" s="111">
        <v>0</v>
      </c>
      <c r="R114" s="80">
        <f t="shared" si="47"/>
        <v>0</v>
      </c>
      <c r="S114" s="111">
        <v>0</v>
      </c>
      <c r="T114" s="80">
        <f t="shared" si="48"/>
        <v>0</v>
      </c>
      <c r="U114" s="111">
        <v>0</v>
      </c>
      <c r="V114" s="80">
        <f t="shared" si="49"/>
        <v>0</v>
      </c>
    </row>
    <row r="115" spans="1:22" ht="12.75" customHeight="1">
      <c r="A115" s="117" t="s">
        <v>446</v>
      </c>
      <c r="B115" s="41"/>
      <c r="C115" s="112">
        <v>0</v>
      </c>
      <c r="D115" s="80">
        <f t="shared" si="40"/>
        <v>0</v>
      </c>
      <c r="E115" s="112">
        <v>0</v>
      </c>
      <c r="F115" s="80">
        <f t="shared" si="41"/>
        <v>0</v>
      </c>
      <c r="G115" s="112">
        <v>0</v>
      </c>
      <c r="H115" s="80">
        <f t="shared" si="42"/>
        <v>0</v>
      </c>
      <c r="I115" s="112">
        <v>0</v>
      </c>
      <c r="J115" s="80">
        <f t="shared" si="43"/>
        <v>0</v>
      </c>
      <c r="K115" s="112">
        <v>0</v>
      </c>
      <c r="L115" s="80">
        <f t="shared" si="44"/>
        <v>0</v>
      </c>
      <c r="M115" s="112">
        <v>0</v>
      </c>
      <c r="N115" s="80">
        <f t="shared" si="45"/>
        <v>0</v>
      </c>
      <c r="O115" s="112">
        <v>0</v>
      </c>
      <c r="P115" s="80">
        <f t="shared" si="46"/>
        <v>0</v>
      </c>
      <c r="Q115" s="112">
        <v>0</v>
      </c>
      <c r="R115" s="80">
        <f t="shared" si="47"/>
        <v>0</v>
      </c>
      <c r="S115" s="112">
        <v>0</v>
      </c>
      <c r="T115" s="80">
        <f t="shared" si="48"/>
        <v>0</v>
      </c>
      <c r="U115" s="112">
        <v>0</v>
      </c>
      <c r="V115" s="80">
        <f t="shared" si="49"/>
        <v>0</v>
      </c>
    </row>
    <row r="116" spans="1:22" ht="12.75" customHeight="1">
      <c r="A116" s="40" t="s">
        <v>451</v>
      </c>
      <c r="B116" s="42"/>
      <c r="C116" s="85">
        <f>SUM(C111:C115)</f>
        <v>0</v>
      </c>
      <c r="D116" s="83">
        <f t="shared" si="40"/>
        <v>0</v>
      </c>
      <c r="E116" s="85">
        <f>SUM(E111:E115)</f>
        <v>0</v>
      </c>
      <c r="F116" s="83">
        <f t="shared" si="41"/>
        <v>0</v>
      </c>
      <c r="G116" s="85">
        <f>SUM(G111:G115)</f>
        <v>0</v>
      </c>
      <c r="H116" s="83">
        <f t="shared" si="42"/>
        <v>0</v>
      </c>
      <c r="I116" s="85">
        <f>SUM(I111:I115)</f>
        <v>0</v>
      </c>
      <c r="J116" s="83">
        <f t="shared" si="43"/>
        <v>0</v>
      </c>
      <c r="K116" s="85">
        <f>SUM(K111:K115)</f>
        <v>0</v>
      </c>
      <c r="L116" s="83">
        <f t="shared" si="44"/>
        <v>0</v>
      </c>
      <c r="M116" s="85">
        <f>SUM(M111:M115)</f>
        <v>0</v>
      </c>
      <c r="N116" s="83">
        <f t="shared" si="45"/>
        <v>0</v>
      </c>
      <c r="O116" s="85">
        <f>SUM(O111:O115)</f>
        <v>0</v>
      </c>
      <c r="P116" s="83">
        <f t="shared" si="46"/>
        <v>0</v>
      </c>
      <c r="Q116" s="85">
        <f>SUM(Q111:Q115)</f>
        <v>0</v>
      </c>
      <c r="R116" s="83">
        <f t="shared" si="47"/>
        <v>0</v>
      </c>
      <c r="S116" s="85">
        <f>SUM(S111:S115)</f>
        <v>0</v>
      </c>
      <c r="T116" s="83">
        <f t="shared" si="48"/>
        <v>0</v>
      </c>
      <c r="U116" s="85">
        <f>SUM(U111:U115)</f>
        <v>0</v>
      </c>
      <c r="V116" s="83">
        <f t="shared" si="49"/>
        <v>0</v>
      </c>
    </row>
    <row r="118" spans="1:22" ht="12.75" customHeight="1">
      <c r="A118" s="43" t="s">
        <v>452</v>
      </c>
      <c r="B118" s="43"/>
    </row>
    <row r="119" spans="1:22" ht="12.75" customHeight="1">
      <c r="A119" s="47" t="s">
        <v>453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7" tint="0.59999389629810485"/>
  </sheetPr>
  <dimension ref="A1:X119"/>
  <sheetViews>
    <sheetView topLeftCell="A9" zoomScale="70" zoomScaleNormal="70" workbookViewId="0" xr3:uid="{AB5DE215-5931-5800-A1A6-141DC62B4C85}">
      <selection activeCell="W59" sqref="W59"/>
    </sheetView>
  </sheetViews>
  <sheetFormatPr defaultColWidth="9.140625" defaultRowHeight="12.75" customHeight="1"/>
  <cols>
    <col min="1" max="1" width="9.5703125" style="2" customWidth="1"/>
    <col min="2" max="2" width="41" style="2" customWidth="1"/>
    <col min="3" max="3" width="13.5703125" style="2" bestFit="1" customWidth="1"/>
    <col min="4" max="4" width="8.7109375" style="2" customWidth="1"/>
    <col min="5" max="5" width="13.42578125" style="2" customWidth="1"/>
    <col min="6" max="6" width="8.7109375" style="2" customWidth="1"/>
    <col min="7" max="7" width="12.7109375" style="2" customWidth="1"/>
    <col min="8" max="8" width="8.7109375" style="2" customWidth="1"/>
    <col min="9" max="9" width="14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3.4257812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3.7109375" style="2" bestFit="1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355</v>
      </c>
      <c r="G2" s="33" t="s">
        <v>44</v>
      </c>
      <c r="H2" s="34"/>
      <c r="I2" s="34"/>
      <c r="V2" s="32"/>
    </row>
    <row r="3" spans="1:22" ht="12.75" customHeight="1">
      <c r="A3" s="1" t="s">
        <v>357</v>
      </c>
      <c r="D3" s="118" t="s">
        <v>358</v>
      </c>
      <c r="G3" s="115" t="str">
        <f>+G2</f>
        <v>Pollo Tropical (Graham Center)</v>
      </c>
      <c r="H3" s="116"/>
      <c r="I3" s="116"/>
      <c r="V3" s="32"/>
    </row>
    <row r="4" spans="1:22" ht="12.75" customHeight="1">
      <c r="A4" s="1" t="s">
        <v>359</v>
      </c>
      <c r="B4" s="109" t="s">
        <v>221</v>
      </c>
      <c r="D4" s="118" t="s">
        <v>360</v>
      </c>
      <c r="G4" s="115" t="s">
        <v>65</v>
      </c>
      <c r="H4" s="116"/>
      <c r="I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361</v>
      </c>
      <c r="B7" s="1"/>
    </row>
    <row r="8" spans="1:22" ht="12.75" customHeight="1">
      <c r="A8" s="2" t="s">
        <v>362</v>
      </c>
      <c r="C8" s="109">
        <v>250</v>
      </c>
      <c r="E8" s="109">
        <f>+C8</f>
        <v>250</v>
      </c>
      <c r="G8" s="109">
        <f>+E8</f>
        <v>250</v>
      </c>
      <c r="I8" s="109">
        <f>+G8</f>
        <v>250</v>
      </c>
      <c r="K8" s="109">
        <f>+I8</f>
        <v>250</v>
      </c>
      <c r="M8" s="109">
        <f>+K8</f>
        <v>250</v>
      </c>
      <c r="O8" s="109">
        <f>+M8</f>
        <v>250</v>
      </c>
      <c r="Q8" s="109">
        <f>+O8</f>
        <v>250</v>
      </c>
      <c r="S8" s="109">
        <f>+Q8</f>
        <v>250</v>
      </c>
      <c r="U8" s="109">
        <f>+S8</f>
        <v>250</v>
      </c>
    </row>
    <row r="10" spans="1:22" ht="12.75" customHeight="1">
      <c r="A10" s="2" t="s">
        <v>462</v>
      </c>
      <c r="C10" s="109">
        <f>+C14/C8/C12</f>
        <v>598.27200000000005</v>
      </c>
      <c r="E10" s="109">
        <f>+E14/E8/E12</f>
        <v>743.69189907038515</v>
      </c>
      <c r="G10" s="109">
        <f>+G14/G8/G12</f>
        <v>766.13756613756618</v>
      </c>
      <c r="I10" s="109">
        <f>+I14/I8/I12</f>
        <v>789.45981554677212</v>
      </c>
      <c r="K10" s="109">
        <f>+K14/K8/K12</f>
        <v>807.88436268068324</v>
      </c>
      <c r="M10" s="109">
        <f>+M14/M8/M12</f>
        <v>821.49410222804715</v>
      </c>
      <c r="O10" s="109">
        <f>+O14/O8/O12</f>
        <v>839.68668407310702</v>
      </c>
      <c r="Q10" s="109">
        <f>+Q14/Q8/Q12</f>
        <v>858.77763328998697</v>
      </c>
      <c r="S10" s="109">
        <f>+S14/S8/S12</f>
        <v>879.37743190661479</v>
      </c>
      <c r="U10" s="109">
        <f>+U14/U8/U12</f>
        <v>900.38809831824062</v>
      </c>
    </row>
    <row r="12" spans="1:22" ht="12.75" customHeight="1">
      <c r="A12" s="2" t="s">
        <v>463</v>
      </c>
      <c r="C12" s="110">
        <v>7.5</v>
      </c>
      <c r="E12" s="110">
        <v>7.53</v>
      </c>
      <c r="G12" s="110">
        <v>7.56</v>
      </c>
      <c r="I12" s="110">
        <v>7.59</v>
      </c>
      <c r="K12" s="110">
        <v>7.61</v>
      </c>
      <c r="M12" s="110">
        <v>7.63</v>
      </c>
      <c r="O12" s="110">
        <v>7.66</v>
      </c>
      <c r="Q12" s="110">
        <v>7.69</v>
      </c>
      <c r="S12" s="110">
        <v>7.71</v>
      </c>
      <c r="U12" s="110">
        <v>7.73</v>
      </c>
    </row>
    <row r="14" spans="1:22" ht="12.75" customHeight="1">
      <c r="A14" s="2" t="s">
        <v>464</v>
      </c>
      <c r="C14" s="198">
        <v>1121760</v>
      </c>
      <c r="D14" s="12"/>
      <c r="E14" s="198">
        <f>1200000+200000</f>
        <v>1400000</v>
      </c>
      <c r="F14" s="12"/>
      <c r="G14" s="198">
        <v>1448000</v>
      </c>
      <c r="H14" s="12"/>
      <c r="I14" s="198">
        <v>1498000</v>
      </c>
      <c r="J14" s="12"/>
      <c r="K14" s="198">
        <v>1537000</v>
      </c>
      <c r="L14" s="12"/>
      <c r="M14" s="198">
        <f>-10000+1577000</f>
        <v>1567000</v>
      </c>
      <c r="N14" s="12"/>
      <c r="O14" s="198">
        <f>-10000+1618000</f>
        <v>1608000</v>
      </c>
      <c r="P14" s="12"/>
      <c r="Q14" s="198">
        <f>-10000+1661000</f>
        <v>1651000</v>
      </c>
      <c r="R14" s="12"/>
      <c r="S14" s="198">
        <f>-10000+1705000</f>
        <v>1695000</v>
      </c>
      <c r="T14" s="12"/>
      <c r="U14" s="198">
        <f>-10000+1750000</f>
        <v>1740000</v>
      </c>
    </row>
    <row r="15" spans="1:22" ht="12.75" customHeight="1">
      <c r="A15" s="39">
        <v>0.05</v>
      </c>
    </row>
    <row r="16" spans="1:22" ht="12.75" customHeight="1">
      <c r="B16" s="35"/>
      <c r="C16" s="86" t="str">
        <f>C6</f>
        <v>FY 2018-19</v>
      </c>
      <c r="D16" s="86" t="s">
        <v>366</v>
      </c>
      <c r="E16" s="86" t="str">
        <f>E6</f>
        <v>FY 2019-20</v>
      </c>
      <c r="F16" s="86" t="s">
        <v>366</v>
      </c>
      <c r="G16" s="86" t="str">
        <f>G6</f>
        <v>FY 2020-21</v>
      </c>
      <c r="H16" s="86" t="s">
        <v>366</v>
      </c>
      <c r="I16" s="86" t="str">
        <f>I6</f>
        <v>FY 2021-22</v>
      </c>
      <c r="J16" s="86" t="s">
        <v>366</v>
      </c>
      <c r="K16" s="86" t="str">
        <f>K6</f>
        <v>FY 2022-23</v>
      </c>
      <c r="L16" s="86" t="s">
        <v>366</v>
      </c>
      <c r="M16" s="86" t="str">
        <f>M6</f>
        <v>FY 2023-24</v>
      </c>
      <c r="N16" s="86" t="s">
        <v>366</v>
      </c>
      <c r="O16" s="86" t="str">
        <f>O6</f>
        <v>FY 2024-25</v>
      </c>
      <c r="P16" s="86" t="s">
        <v>366</v>
      </c>
      <c r="Q16" s="86" t="str">
        <f>Q6</f>
        <v>FY 2025-26</v>
      </c>
      <c r="R16" s="86" t="s">
        <v>366</v>
      </c>
      <c r="S16" s="86" t="str">
        <f>S6</f>
        <v>FY 2026-27</v>
      </c>
      <c r="T16" s="86" t="s">
        <v>366</v>
      </c>
      <c r="U16" s="86" t="str">
        <f>U6</f>
        <v>FY 2027-28</v>
      </c>
      <c r="V16" s="86" t="s">
        <v>366</v>
      </c>
    </row>
    <row r="17" spans="1:24" ht="12.75" customHeight="1">
      <c r="A17" s="1" t="s">
        <v>367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368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369</v>
      </c>
      <c r="B19" s="35"/>
      <c r="C19" s="196">
        <f>+C14-C20-C21</f>
        <v>938015.71199999994</v>
      </c>
      <c r="D19" s="80">
        <f>IFERROR(C19/C$28,0)</f>
        <v>0.83620000000000017</v>
      </c>
      <c r="E19" s="196">
        <f>+E14-E20-E21</f>
        <v>1120000</v>
      </c>
      <c r="F19" s="80">
        <f>IFERROR(E19/E$28,0)</f>
        <v>0.8</v>
      </c>
      <c r="G19" s="196">
        <f>+G14-G20-G21</f>
        <v>1210817.6000000001</v>
      </c>
      <c r="H19" s="80">
        <f>IFERROR(G19/G$28,0)</f>
        <v>0.83620000000000005</v>
      </c>
      <c r="I19" s="196">
        <f>+I14-I20-I21</f>
        <v>1252627.6000000001</v>
      </c>
      <c r="J19" s="80">
        <f>IFERROR(I19/I$28,0)</f>
        <v>0.83620000000000005</v>
      </c>
      <c r="K19" s="196">
        <f>+K14-K20-K21</f>
        <v>1277554.3999999999</v>
      </c>
      <c r="L19" s="80">
        <f>IFERROR(K19/K$28,0)</f>
        <v>0.83119999999999994</v>
      </c>
      <c r="M19" s="196">
        <f>+M14-M20-M21</f>
        <v>1302490.3999999999</v>
      </c>
      <c r="N19" s="80">
        <f>IFERROR(M19/M$28,0)</f>
        <v>0.83119999999999994</v>
      </c>
      <c r="O19" s="196">
        <f>+O14-O20-O21</f>
        <v>1328529.6000000001</v>
      </c>
      <c r="P19" s="80">
        <f>IFERROR(O19/O$28,0)</f>
        <v>0.82620000000000005</v>
      </c>
      <c r="Q19" s="196">
        <f>+Q14-Q20-Q21</f>
        <v>1364056.2</v>
      </c>
      <c r="R19" s="80">
        <f>IFERROR(Q19/Q$28,0)</f>
        <v>0.82619999999999993</v>
      </c>
      <c r="S19" s="196">
        <f>+S14-S20-S21</f>
        <v>1400409</v>
      </c>
      <c r="T19" s="80">
        <f>IFERROR(S19/S$28,0)</f>
        <v>0.82620000000000005</v>
      </c>
      <c r="U19" s="196">
        <f>+U14-U20-U21</f>
        <v>1437588</v>
      </c>
      <c r="V19" s="80">
        <f>IFERROR(U19/U$28,0)</f>
        <v>0.82620000000000005</v>
      </c>
    </row>
    <row r="20" spans="1:24" ht="12.75" customHeight="1">
      <c r="A20" s="2" t="s">
        <v>370</v>
      </c>
      <c r="B20" s="35"/>
      <c r="C20" s="111">
        <f>+C14*12.38%</f>
        <v>138873.88800000001</v>
      </c>
      <c r="D20" s="80">
        <f>IFERROR(C20/C$28,0)</f>
        <v>0.12380000000000004</v>
      </c>
      <c r="E20" s="111">
        <f>+E14*16%</f>
        <v>224000</v>
      </c>
      <c r="F20" s="80">
        <f>IFERROR(E20/E$28,0)</f>
        <v>0.16</v>
      </c>
      <c r="G20" s="111">
        <f>+G14*12.38%</f>
        <v>179262.40000000002</v>
      </c>
      <c r="H20" s="80">
        <f>IFERROR(G20/G$28,0)</f>
        <v>0.12380000000000002</v>
      </c>
      <c r="I20" s="111">
        <f>+I14*12.38%</f>
        <v>185452.40000000002</v>
      </c>
      <c r="J20" s="80">
        <f>IFERROR(I20/I$28,0)</f>
        <v>0.12380000000000002</v>
      </c>
      <c r="K20" s="111">
        <f>+K14*12.38%</f>
        <v>190280.6</v>
      </c>
      <c r="L20" s="80">
        <f>IFERROR(K20/K$28,0)</f>
        <v>0.12380000000000001</v>
      </c>
      <c r="M20" s="111">
        <f>+M14*12.38%</f>
        <v>193994.6</v>
      </c>
      <c r="N20" s="80">
        <f>IFERROR(M20/M$28,0)</f>
        <v>0.12380000000000001</v>
      </c>
      <c r="O20" s="111">
        <f>+O14*12.38%</f>
        <v>199070.40000000002</v>
      </c>
      <c r="P20" s="80">
        <f>IFERROR(O20/O$28,0)</f>
        <v>0.12380000000000002</v>
      </c>
      <c r="Q20" s="111">
        <f>+Q14*12.38%</f>
        <v>204393.80000000002</v>
      </c>
      <c r="R20" s="80">
        <f>IFERROR(Q20/Q$28,0)</f>
        <v>0.12380000000000001</v>
      </c>
      <c r="S20" s="111">
        <f>+S14*12.38%</f>
        <v>209841</v>
      </c>
      <c r="T20" s="80">
        <f>IFERROR(S20/S$28,0)</f>
        <v>0.12379999999999999</v>
      </c>
      <c r="U20" s="111">
        <f>+U14*12.38%</f>
        <v>215412</v>
      </c>
      <c r="V20" s="80">
        <f>IFERROR(U20/U$28,0)</f>
        <v>0.12379999999999999</v>
      </c>
    </row>
    <row r="21" spans="1:24" ht="12.75" customHeight="1">
      <c r="A21" s="186" t="s">
        <v>371</v>
      </c>
      <c r="B21" s="195"/>
      <c r="C21" s="111">
        <f>+C14*0.04</f>
        <v>44870.400000000001</v>
      </c>
      <c r="D21" s="80">
        <f>IFERROR(C21/C$28,0)</f>
        <v>4.0000000000000008E-2</v>
      </c>
      <c r="E21" s="111">
        <f>+E14*0.04</f>
        <v>56000</v>
      </c>
      <c r="F21" s="80">
        <f>IFERROR(E21/E$28,0)</f>
        <v>0.04</v>
      </c>
      <c r="G21" s="111">
        <f>+G14*0.04</f>
        <v>57920</v>
      </c>
      <c r="H21" s="80">
        <f>IFERROR(G21/G$28,0)</f>
        <v>0.04</v>
      </c>
      <c r="I21" s="111">
        <f>+I14*0.04</f>
        <v>59920</v>
      </c>
      <c r="J21" s="80">
        <f>IFERROR(I21/I$28,0)</f>
        <v>0.04</v>
      </c>
      <c r="K21" s="111">
        <f>+K14*0.045</f>
        <v>69165</v>
      </c>
      <c r="L21" s="80">
        <f>IFERROR(K21/K$28,0)</f>
        <v>4.4999999999999998E-2</v>
      </c>
      <c r="M21" s="111">
        <f>+M14*0.045</f>
        <v>70515</v>
      </c>
      <c r="N21" s="80">
        <f>IFERROR(M21/M$28,0)</f>
        <v>4.4999999999999998E-2</v>
      </c>
      <c r="O21" s="111">
        <f>+O14*0.05</f>
        <v>80400</v>
      </c>
      <c r="P21" s="80">
        <f>IFERROR(O21/O$28,0)</f>
        <v>0.05</v>
      </c>
      <c r="Q21" s="111">
        <f>+Q14*0.05</f>
        <v>82550</v>
      </c>
      <c r="R21" s="80">
        <f>IFERROR(Q21/Q$28,0)</f>
        <v>0.05</v>
      </c>
      <c r="S21" s="111">
        <f>+S14*0.05</f>
        <v>84750</v>
      </c>
      <c r="T21" s="80">
        <f>IFERROR(S21/S$28,0)</f>
        <v>0.05</v>
      </c>
      <c r="U21" s="111">
        <f>+U14*0.05</f>
        <v>87000</v>
      </c>
      <c r="V21" s="80">
        <f>IFERROR(U21/U$28,0)</f>
        <v>0.05</v>
      </c>
    </row>
    <row r="22" spans="1:24" ht="12.75" customHeight="1">
      <c r="A22" s="2" t="s">
        <v>372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373</v>
      </c>
      <c r="B23" s="123"/>
      <c r="C23" s="79"/>
      <c r="D23" s="80">
        <f t="shared" ref="D23:D28" si="0">IFERROR(C23/C$28,0)</f>
        <v>0</v>
      </c>
      <c r="E23" s="79"/>
      <c r="F23" s="80">
        <f t="shared" ref="F23:F28" si="1">IFERROR(E23/E$28,0)</f>
        <v>0</v>
      </c>
      <c r="G23" s="79"/>
      <c r="H23" s="80">
        <f t="shared" ref="H23:H28" si="2">IFERROR(G23/G$28,0)</f>
        <v>0</v>
      </c>
      <c r="I23" s="79"/>
      <c r="J23" s="80">
        <f t="shared" ref="J23:J28" si="3">IFERROR(I23/I$28,0)</f>
        <v>0</v>
      </c>
      <c r="K23" s="79"/>
      <c r="L23" s="80">
        <f t="shared" ref="L23:L28" si="4">IFERROR(K23/K$28,0)</f>
        <v>0</v>
      </c>
      <c r="M23" s="79"/>
      <c r="N23" s="80">
        <f t="shared" ref="N23:N28" si="5">IFERROR(M23/M$28,0)</f>
        <v>0</v>
      </c>
      <c r="O23" s="79"/>
      <c r="P23" s="80">
        <f t="shared" ref="P23:P28" si="6">IFERROR(O23/O$28,0)</f>
        <v>0</v>
      </c>
      <c r="Q23" s="79"/>
      <c r="R23" s="80">
        <f t="shared" ref="R23:R28" si="7">IFERROR(Q23/Q$28,0)</f>
        <v>0</v>
      </c>
      <c r="S23" s="79"/>
      <c r="T23" s="80">
        <f t="shared" ref="T23:T28" si="8">IFERROR(S23/S$28,0)</f>
        <v>0</v>
      </c>
      <c r="U23" s="79"/>
      <c r="V23" s="80">
        <f t="shared" ref="V23:V28" si="9">IFERROR(U23/U$28,0)</f>
        <v>0</v>
      </c>
    </row>
    <row r="24" spans="1:24" ht="12.75" customHeight="1">
      <c r="A24" s="122" t="s">
        <v>374</v>
      </c>
      <c r="B24" s="123"/>
      <c r="C24" s="79"/>
      <c r="D24" s="80">
        <f t="shared" si="0"/>
        <v>0</v>
      </c>
      <c r="E24" s="79"/>
      <c r="F24" s="80">
        <f t="shared" si="1"/>
        <v>0</v>
      </c>
      <c r="G24" s="79"/>
      <c r="H24" s="80">
        <f t="shared" si="2"/>
        <v>0</v>
      </c>
      <c r="I24" s="79"/>
      <c r="J24" s="80">
        <f t="shared" si="3"/>
        <v>0</v>
      </c>
      <c r="K24" s="79"/>
      <c r="L24" s="80">
        <f t="shared" si="4"/>
        <v>0</v>
      </c>
      <c r="M24" s="79"/>
      <c r="N24" s="80">
        <f t="shared" si="5"/>
        <v>0</v>
      </c>
      <c r="O24" s="79"/>
      <c r="P24" s="80">
        <f t="shared" si="6"/>
        <v>0</v>
      </c>
      <c r="Q24" s="79"/>
      <c r="R24" s="80">
        <f t="shared" si="7"/>
        <v>0</v>
      </c>
      <c r="S24" s="79"/>
      <c r="T24" s="80">
        <f t="shared" si="8"/>
        <v>0</v>
      </c>
      <c r="U24" s="79"/>
      <c r="V24" s="80">
        <f t="shared" si="9"/>
        <v>0</v>
      </c>
      <c r="X24" s="79"/>
    </row>
    <row r="25" spans="1:24" ht="12.75" customHeight="1">
      <c r="A25" s="2" t="s">
        <v>375</v>
      </c>
      <c r="B25" s="35"/>
      <c r="C25" s="111"/>
      <c r="D25" s="80">
        <f t="shared" si="0"/>
        <v>0</v>
      </c>
      <c r="E25" s="111"/>
      <c r="F25" s="80">
        <f t="shared" si="1"/>
        <v>0</v>
      </c>
      <c r="G25" s="111"/>
      <c r="H25" s="80">
        <f t="shared" si="2"/>
        <v>0</v>
      </c>
      <c r="I25" s="111"/>
      <c r="J25" s="80">
        <f t="shared" si="3"/>
        <v>0</v>
      </c>
      <c r="K25" s="111"/>
      <c r="L25" s="80">
        <f t="shared" si="4"/>
        <v>0</v>
      </c>
      <c r="M25" s="111"/>
      <c r="N25" s="80">
        <f t="shared" si="5"/>
        <v>0</v>
      </c>
      <c r="O25" s="111"/>
      <c r="P25" s="80">
        <f t="shared" si="6"/>
        <v>0</v>
      </c>
      <c r="Q25" s="111"/>
      <c r="R25" s="80">
        <f t="shared" si="7"/>
        <v>0</v>
      </c>
      <c r="S25" s="111"/>
      <c r="T25" s="80">
        <f t="shared" si="8"/>
        <v>0</v>
      </c>
      <c r="U25" s="111"/>
      <c r="V25" s="80">
        <f t="shared" si="9"/>
        <v>0</v>
      </c>
      <c r="X25" s="79"/>
    </row>
    <row r="26" spans="1:24" ht="12.75" customHeight="1">
      <c r="A26" s="122" t="s">
        <v>376</v>
      </c>
      <c r="B26" s="35"/>
      <c r="C26" s="79"/>
      <c r="D26" s="80">
        <f t="shared" si="0"/>
        <v>0</v>
      </c>
      <c r="E26" s="79"/>
      <c r="F26" s="80">
        <f t="shared" si="1"/>
        <v>0</v>
      </c>
      <c r="G26" s="79"/>
      <c r="H26" s="80">
        <f t="shared" si="2"/>
        <v>0</v>
      </c>
      <c r="I26" s="79"/>
      <c r="J26" s="80">
        <f t="shared" si="3"/>
        <v>0</v>
      </c>
      <c r="K26" s="79"/>
      <c r="L26" s="80">
        <f t="shared" si="4"/>
        <v>0</v>
      </c>
      <c r="M26" s="79"/>
      <c r="N26" s="80">
        <f t="shared" si="5"/>
        <v>0</v>
      </c>
      <c r="O26" s="79"/>
      <c r="P26" s="80">
        <f t="shared" si="6"/>
        <v>0</v>
      </c>
      <c r="Q26" s="79"/>
      <c r="R26" s="80">
        <f t="shared" si="7"/>
        <v>0</v>
      </c>
      <c r="S26" s="79"/>
      <c r="T26" s="80">
        <f t="shared" si="8"/>
        <v>0</v>
      </c>
      <c r="U26" s="79"/>
      <c r="V26" s="80">
        <f t="shared" si="9"/>
        <v>0</v>
      </c>
    </row>
    <row r="27" spans="1:24" ht="12.75" customHeight="1">
      <c r="A27" s="2" t="s">
        <v>377</v>
      </c>
      <c r="B27" s="35"/>
      <c r="C27" s="112"/>
      <c r="D27" s="80">
        <f t="shared" si="0"/>
        <v>0</v>
      </c>
      <c r="E27" s="112"/>
      <c r="F27" s="80">
        <f t="shared" si="1"/>
        <v>0</v>
      </c>
      <c r="G27" s="112"/>
      <c r="H27" s="80">
        <f t="shared" si="2"/>
        <v>0</v>
      </c>
      <c r="I27" s="112"/>
      <c r="J27" s="80">
        <f t="shared" si="3"/>
        <v>0</v>
      </c>
      <c r="K27" s="112"/>
      <c r="L27" s="80">
        <f t="shared" si="4"/>
        <v>0</v>
      </c>
      <c r="M27" s="112"/>
      <c r="N27" s="80">
        <f t="shared" si="5"/>
        <v>0</v>
      </c>
      <c r="O27" s="112"/>
      <c r="P27" s="80">
        <f t="shared" si="6"/>
        <v>0</v>
      </c>
      <c r="Q27" s="112"/>
      <c r="R27" s="80">
        <f t="shared" si="7"/>
        <v>0</v>
      </c>
      <c r="S27" s="112"/>
      <c r="T27" s="80">
        <f t="shared" si="8"/>
        <v>0</v>
      </c>
      <c r="U27" s="112"/>
      <c r="V27" s="80">
        <f t="shared" si="9"/>
        <v>0</v>
      </c>
    </row>
    <row r="28" spans="1:24" ht="12.75" customHeight="1">
      <c r="A28" s="1" t="s">
        <v>378</v>
      </c>
      <c r="B28" s="53"/>
      <c r="C28" s="82">
        <f>SUM(C19:C27)</f>
        <v>1121759.9999999998</v>
      </c>
      <c r="D28" s="83">
        <f t="shared" si="0"/>
        <v>1</v>
      </c>
      <c r="E28" s="82">
        <f>SUM(E19:E27)</f>
        <v>1400000</v>
      </c>
      <c r="F28" s="83">
        <f t="shared" si="1"/>
        <v>1</v>
      </c>
      <c r="G28" s="82">
        <f>SUM(G19:G27)</f>
        <v>1448000</v>
      </c>
      <c r="H28" s="83">
        <f t="shared" si="2"/>
        <v>1</v>
      </c>
      <c r="I28" s="82">
        <f>SUM(I19:I27)</f>
        <v>1498000</v>
      </c>
      <c r="J28" s="83">
        <f t="shared" si="3"/>
        <v>1</v>
      </c>
      <c r="K28" s="82">
        <f>SUM(K19:K27)</f>
        <v>1537000</v>
      </c>
      <c r="L28" s="83">
        <f t="shared" si="4"/>
        <v>1</v>
      </c>
      <c r="M28" s="82">
        <f>SUM(M19:M27)</f>
        <v>1567000</v>
      </c>
      <c r="N28" s="83">
        <f t="shared" si="5"/>
        <v>1</v>
      </c>
      <c r="O28" s="82">
        <f>SUM(O19:O27)</f>
        <v>1608000</v>
      </c>
      <c r="P28" s="83">
        <f t="shared" si="6"/>
        <v>1</v>
      </c>
      <c r="Q28" s="82">
        <f>SUM(Q19:Q27)</f>
        <v>1651000</v>
      </c>
      <c r="R28" s="83">
        <f t="shared" si="7"/>
        <v>1</v>
      </c>
      <c r="S28" s="82">
        <f>SUM(S19:S27)</f>
        <v>1695000</v>
      </c>
      <c r="T28" s="83">
        <f t="shared" si="8"/>
        <v>1</v>
      </c>
      <c r="U28" s="82">
        <f>SUM(U19:U27)</f>
        <v>1740000</v>
      </c>
      <c r="V28" s="83">
        <f t="shared" si="9"/>
        <v>1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379</v>
      </c>
      <c r="B30" s="53"/>
      <c r="C30" s="197">
        <v>0.33</v>
      </c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380</v>
      </c>
      <c r="B31" s="35"/>
      <c r="C31" s="178">
        <f>$C$30*C14</f>
        <v>370180.8</v>
      </c>
      <c r="D31" s="80">
        <f>IFERROR(C31/C$28,0)</f>
        <v>0.33000000000000007</v>
      </c>
      <c r="E31" s="178">
        <f>$C$30*E14</f>
        <v>462000</v>
      </c>
      <c r="F31" s="80">
        <f>IFERROR(E31/E$28,0)</f>
        <v>0.33</v>
      </c>
      <c r="G31" s="178">
        <f>$C$30*G14</f>
        <v>477840</v>
      </c>
      <c r="H31" s="80">
        <f>IFERROR(G31/G$28,0)</f>
        <v>0.33</v>
      </c>
      <c r="I31" s="178">
        <f>$C$30*I14</f>
        <v>494340</v>
      </c>
      <c r="J31" s="80">
        <f>IFERROR(I31/I$28,0)</f>
        <v>0.33</v>
      </c>
      <c r="K31" s="178">
        <f>$C$30*K14</f>
        <v>507210</v>
      </c>
      <c r="L31" s="80">
        <f>IFERROR(K31/K$28,0)</f>
        <v>0.33</v>
      </c>
      <c r="M31" s="178">
        <f>$C$30*M14</f>
        <v>517110</v>
      </c>
      <c r="N31" s="80">
        <f>IFERROR(M31/M$28,0)</f>
        <v>0.33</v>
      </c>
      <c r="O31" s="178">
        <f>$C$30*O14</f>
        <v>530640</v>
      </c>
      <c r="P31" s="80">
        <f>IFERROR(O31/O$28,0)</f>
        <v>0.33</v>
      </c>
      <c r="Q31" s="178">
        <f>$C$30*Q14</f>
        <v>544830</v>
      </c>
      <c r="R31" s="80">
        <f>IFERROR(Q31/Q$28,0)</f>
        <v>0.33</v>
      </c>
      <c r="S31" s="178">
        <f>$C$30*S14</f>
        <v>559350</v>
      </c>
      <c r="T31" s="80">
        <f>IFERROR(S31/S$28,0)</f>
        <v>0.33</v>
      </c>
      <c r="U31" s="178">
        <f>$C$30*U14</f>
        <v>574200</v>
      </c>
      <c r="V31" s="80">
        <f>IFERROR(U31/U$28,0)</f>
        <v>0.33</v>
      </c>
    </row>
    <row r="32" spans="1:24" ht="12.75" customHeight="1">
      <c r="A32" s="8" t="s">
        <v>381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382</v>
      </c>
      <c r="B33" s="53"/>
      <c r="C33" s="82">
        <f>SUM(C31:C32)</f>
        <v>370180.8</v>
      </c>
      <c r="D33" s="83">
        <f>IFERROR(C33/C$28,0)</f>
        <v>0.33000000000000007</v>
      </c>
      <c r="E33" s="82">
        <f>SUM(E31:E32)</f>
        <v>462000</v>
      </c>
      <c r="F33" s="83">
        <f>IFERROR(E33/E$28,0)</f>
        <v>0.33</v>
      </c>
      <c r="G33" s="82">
        <f>SUM(G31:G32)</f>
        <v>477840</v>
      </c>
      <c r="H33" s="83">
        <f>IFERROR(G33/G$28,0)</f>
        <v>0.33</v>
      </c>
      <c r="I33" s="82">
        <f>SUM(I31:I32)</f>
        <v>494340</v>
      </c>
      <c r="J33" s="83">
        <f>IFERROR(I33/I$28,0)</f>
        <v>0.33</v>
      </c>
      <c r="K33" s="82">
        <f>SUM(K31:K32)</f>
        <v>507210</v>
      </c>
      <c r="L33" s="83">
        <f>IFERROR(K33/K$28,0)</f>
        <v>0.33</v>
      </c>
      <c r="M33" s="82">
        <f>SUM(M31:M32)</f>
        <v>517110</v>
      </c>
      <c r="N33" s="83">
        <f>IFERROR(M33/M$28,0)</f>
        <v>0.33</v>
      </c>
      <c r="O33" s="82">
        <f>SUM(O31:O32)</f>
        <v>530640</v>
      </c>
      <c r="P33" s="83">
        <f>IFERROR(O33/O$28,0)</f>
        <v>0.33</v>
      </c>
      <c r="Q33" s="82">
        <f>SUM(Q31:Q32)</f>
        <v>544830</v>
      </c>
      <c r="R33" s="83">
        <f>IFERROR(Q33/Q$28,0)</f>
        <v>0.33</v>
      </c>
      <c r="S33" s="82">
        <f>SUM(S31:S32)</f>
        <v>559350</v>
      </c>
      <c r="T33" s="83">
        <f>IFERROR(S33/S$28,0)</f>
        <v>0.33</v>
      </c>
      <c r="U33" s="82">
        <f>SUM(U31:U32)</f>
        <v>574200</v>
      </c>
      <c r="V33" s="83">
        <f>IFERROR(U33/U$28,0)</f>
        <v>0.33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383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384</v>
      </c>
      <c r="B36" s="35"/>
      <c r="C36" s="178">
        <v>54415</v>
      </c>
      <c r="D36" s="80">
        <f t="shared" ref="D36:D46" si="10">IFERROR(C36/C$28,0)</f>
        <v>4.8508593638567972E-2</v>
      </c>
      <c r="E36" s="178">
        <f>+C36*1.025</f>
        <v>55775.374999999993</v>
      </c>
      <c r="F36" s="80">
        <f t="shared" ref="F36:F46" si="11">IFERROR(E36/E$28,0)</f>
        <v>3.9839553571428564E-2</v>
      </c>
      <c r="G36" s="178">
        <f>+E36*1.025</f>
        <v>57169.759374999987</v>
      </c>
      <c r="H36" s="80">
        <f t="shared" ref="H36:H46" si="12">IFERROR(G36/G$28,0)</f>
        <v>3.9481878021408831E-2</v>
      </c>
      <c r="I36" s="178">
        <f>+G36*1.025</f>
        <v>58599.003359374983</v>
      </c>
      <c r="J36" s="80">
        <f t="shared" ref="J36:J46" si="13">IFERROR(I36/I$28,0)</f>
        <v>3.9118159785964605E-2</v>
      </c>
      <c r="K36" s="178">
        <f>+I36*1.025</f>
        <v>60063.978443359352</v>
      </c>
      <c r="L36" s="80">
        <f t="shared" ref="L36:L46" si="14">IFERROR(K36/K$28,0)</f>
        <v>3.9078710763408818E-2</v>
      </c>
      <c r="M36" s="178">
        <f>+K36*1.025</f>
        <v>61565.577904443329</v>
      </c>
      <c r="N36" s="80">
        <f t="shared" ref="N36:N46" si="15">IFERROR(M36/M$28,0)</f>
        <v>3.9288818062822799E-2</v>
      </c>
      <c r="O36" s="178">
        <f>+M36*1.025</f>
        <v>63104.717352054409</v>
      </c>
      <c r="P36" s="80">
        <f t="shared" ref="P36:P46" si="16">IFERROR(O36/O$28,0)</f>
        <v>3.9244227208989062E-2</v>
      </c>
      <c r="Q36" s="178">
        <f>+O36*1.02</f>
        <v>64366.811699095495</v>
      </c>
      <c r="R36" s="80">
        <f t="shared" ref="R36:R46" si="17">IFERROR(Q36/Q$28,0)</f>
        <v>3.8986560689942759E-2</v>
      </c>
      <c r="S36" s="178">
        <f>+Q36*1.025</f>
        <v>65975.981991572873</v>
      </c>
      <c r="T36" s="80">
        <f t="shared" ref="T36:T46" si="18">IFERROR(S36/S$28,0)</f>
        <v>3.8923883180868951E-2</v>
      </c>
      <c r="U36" s="178">
        <f>+S36*1.025</f>
        <v>67625.381541362192</v>
      </c>
      <c r="V36" s="80">
        <f t="shared" ref="V36:V46" si="19">IFERROR(U36/U$28,0)</f>
        <v>3.886516180538057E-2</v>
      </c>
    </row>
    <row r="37" spans="1:22" ht="12.75" customHeight="1">
      <c r="A37" s="2" t="s">
        <v>385</v>
      </c>
      <c r="B37" s="35"/>
      <c r="C37" s="178">
        <v>235997</v>
      </c>
      <c r="D37" s="80">
        <f t="shared" si="10"/>
        <v>0.21038100841534735</v>
      </c>
      <c r="E37" s="178">
        <f>+C37*1.11</f>
        <v>261956.67</v>
      </c>
      <c r="F37" s="80">
        <f t="shared" si="11"/>
        <v>0.18711190714285716</v>
      </c>
      <c r="G37" s="178">
        <f>+E37*1.035-50000</f>
        <v>221125.15344999998</v>
      </c>
      <c r="H37" s="80">
        <f t="shared" si="12"/>
        <v>0.15271074133287291</v>
      </c>
      <c r="I37" s="178">
        <f>+G37*1.032</f>
        <v>228201.15836039998</v>
      </c>
      <c r="J37" s="80">
        <f t="shared" si="13"/>
        <v>0.15233722186942589</v>
      </c>
      <c r="K37" s="178">
        <f>+I37*1.02</f>
        <v>232765.18152760799</v>
      </c>
      <c r="L37" s="80">
        <f t="shared" si="14"/>
        <v>0.15144123716825503</v>
      </c>
      <c r="M37" s="178">
        <f>+K37*1.025</f>
        <v>238584.31106579816</v>
      </c>
      <c r="N37" s="80">
        <f t="shared" si="15"/>
        <v>0.15225546334766954</v>
      </c>
      <c r="O37" s="178">
        <f>+M37*1.025</f>
        <v>244548.91884244309</v>
      </c>
      <c r="P37" s="80">
        <f t="shared" si="16"/>
        <v>0.15208266097166859</v>
      </c>
      <c r="Q37" s="178">
        <f>+O37*1.02</f>
        <v>249439.89721929195</v>
      </c>
      <c r="R37" s="80">
        <f t="shared" si="17"/>
        <v>0.15108412914554328</v>
      </c>
      <c r="S37" s="178">
        <f>+Q37*1.02</f>
        <v>254428.6951636778</v>
      </c>
      <c r="T37" s="80">
        <f t="shared" si="18"/>
        <v>0.15010542487532613</v>
      </c>
      <c r="U37" s="178">
        <f>+S37*1.025</f>
        <v>260789.41254276971</v>
      </c>
      <c r="V37" s="80">
        <f t="shared" si="19"/>
        <v>0.14987897272572973</v>
      </c>
    </row>
    <row r="38" spans="1:22" ht="12.75" customHeight="1">
      <c r="A38" s="2" t="s">
        <v>386</v>
      </c>
      <c r="B38" s="35"/>
      <c r="C38" s="178">
        <v>42900</v>
      </c>
      <c r="D38" s="80">
        <f t="shared" si="10"/>
        <v>3.8243474540008565E-2</v>
      </c>
      <c r="E38" s="178">
        <f>+C38*1.11</f>
        <v>47619.000000000007</v>
      </c>
      <c r="F38" s="80">
        <f t="shared" si="11"/>
        <v>3.4013571428571435E-2</v>
      </c>
      <c r="G38" s="178">
        <f>+E38*1.035</f>
        <v>49285.665000000001</v>
      </c>
      <c r="H38" s="80">
        <f t="shared" si="12"/>
        <v>3.40370614640884E-2</v>
      </c>
      <c r="I38" s="178">
        <f>+G38*1.032</f>
        <v>50862.806280000004</v>
      </c>
      <c r="J38" s="80">
        <f t="shared" si="13"/>
        <v>3.3953809265687585E-2</v>
      </c>
      <c r="K38" s="178">
        <f>+I38*1.02</f>
        <v>51880.062405600009</v>
      </c>
      <c r="L38" s="80">
        <f t="shared" si="14"/>
        <v>3.3754106965256998E-2</v>
      </c>
      <c r="M38" s="178">
        <f>+K38*1.025</f>
        <v>53177.063965740002</v>
      </c>
      <c r="N38" s="80">
        <f t="shared" si="15"/>
        <v>3.3935586449100191E-2</v>
      </c>
      <c r="O38" s="178">
        <f>+M38*1.025</f>
        <v>54506.490564883497</v>
      </c>
      <c r="P38" s="80">
        <f t="shared" si="16"/>
        <v>3.3897071246818095E-2</v>
      </c>
      <c r="Q38" s="178">
        <f>+O38*1.02</f>
        <v>55596.62037618117</v>
      </c>
      <c r="R38" s="80">
        <f t="shared" si="17"/>
        <v>3.3674512644567639E-2</v>
      </c>
      <c r="S38" s="178">
        <f>+Q38*1.02</f>
        <v>56708.552783704792</v>
      </c>
      <c r="T38" s="80">
        <f t="shared" si="18"/>
        <v>3.3456373323719639E-2</v>
      </c>
      <c r="U38" s="178">
        <f>+S38*1.025</f>
        <v>58126.266603297408</v>
      </c>
      <c r="V38" s="80">
        <f t="shared" si="19"/>
        <v>3.3405900346722646E-2</v>
      </c>
    </row>
    <row r="39" spans="1:22" ht="12.75" customHeight="1">
      <c r="A39" s="2" t="s">
        <v>387</v>
      </c>
      <c r="B39" s="35"/>
      <c r="C39" s="178">
        <v>103983</v>
      </c>
      <c r="D39" s="80">
        <f t="shared" si="10"/>
        <v>9.2696298673513075E-2</v>
      </c>
      <c r="E39" s="178">
        <f>+C39*1.11</f>
        <v>115421.13</v>
      </c>
      <c r="F39" s="80">
        <f t="shared" si="11"/>
        <v>8.2443664285714285E-2</v>
      </c>
      <c r="G39" s="178">
        <f>+E39*1.035</f>
        <v>119460.86954999999</v>
      </c>
      <c r="H39" s="80">
        <f t="shared" si="12"/>
        <v>8.2500600517955797E-2</v>
      </c>
      <c r="I39" s="178">
        <f>+G39*1.032</f>
        <v>123283.61737559999</v>
      </c>
      <c r="J39" s="80">
        <f t="shared" si="13"/>
        <v>8.2298809997062738E-2</v>
      </c>
      <c r="K39" s="178">
        <f>+I39*1.02</f>
        <v>125749.289723112</v>
      </c>
      <c r="L39" s="80">
        <f t="shared" si="14"/>
        <v>8.1814762344249836E-2</v>
      </c>
      <c r="M39" s="178">
        <f>+K39*1.025</f>
        <v>128893.02196618979</v>
      </c>
      <c r="N39" s="80">
        <f t="shared" si="15"/>
        <v>8.2254640693165154E-2</v>
      </c>
      <c r="O39" s="178">
        <f>+M39*1.025</f>
        <v>132115.34751534453</v>
      </c>
      <c r="P39" s="80">
        <f t="shared" si="16"/>
        <v>8.216128576824909E-2</v>
      </c>
      <c r="Q39" s="178">
        <f>+O39*1.02</f>
        <v>134757.65446565143</v>
      </c>
      <c r="R39" s="80">
        <f t="shared" si="17"/>
        <v>8.1621837956178944E-2</v>
      </c>
      <c r="S39" s="178">
        <f>+Q39*1.02</f>
        <v>137452.80755496447</v>
      </c>
      <c r="T39" s="80">
        <f t="shared" si="18"/>
        <v>8.1093101802338918E-2</v>
      </c>
      <c r="U39" s="178">
        <f>+S39*1.025</f>
        <v>140889.12774383856</v>
      </c>
      <c r="V39" s="80">
        <f t="shared" si="19"/>
        <v>8.0970763071171584E-2</v>
      </c>
    </row>
    <row r="40" spans="1:22" ht="12.75" customHeight="1">
      <c r="A40" s="2" t="s">
        <v>388</v>
      </c>
      <c r="B40" s="35"/>
      <c r="C40" s="178">
        <f>C36*0.124</f>
        <v>6747.46</v>
      </c>
      <c r="D40" s="80">
        <f t="shared" si="10"/>
        <v>6.0150656111824293E-3</v>
      </c>
      <c r="E40" s="178">
        <f>E36*0.124</f>
        <v>6916.1464999999989</v>
      </c>
      <c r="F40" s="80">
        <f t="shared" si="11"/>
        <v>4.9401046428571424E-3</v>
      </c>
      <c r="G40" s="178">
        <f>G36*0.124</f>
        <v>7089.0501624999979</v>
      </c>
      <c r="H40" s="80">
        <f t="shared" si="12"/>
        <v>4.8957528746546948E-3</v>
      </c>
      <c r="I40" s="178">
        <f>I36*0.124</f>
        <v>7266.2764165624976</v>
      </c>
      <c r="J40" s="80">
        <f t="shared" si="13"/>
        <v>4.8506518134596114E-3</v>
      </c>
      <c r="K40" s="178">
        <f>K36*0.124</f>
        <v>7447.9333269765593</v>
      </c>
      <c r="L40" s="80">
        <f t="shared" si="14"/>
        <v>4.8457601346626935E-3</v>
      </c>
      <c r="M40" s="178">
        <f>M36*0.124</f>
        <v>7634.1316601509725</v>
      </c>
      <c r="N40" s="80">
        <f t="shared" si="15"/>
        <v>4.8718134397900273E-3</v>
      </c>
      <c r="O40" s="178">
        <f>O36*0.124</f>
        <v>7824.9849516547465</v>
      </c>
      <c r="P40" s="80">
        <f t="shared" si="16"/>
        <v>4.8662841739146433E-3</v>
      </c>
      <c r="Q40" s="178">
        <f>Q36*0.124</f>
        <v>7981.4846506878412</v>
      </c>
      <c r="R40" s="80">
        <f t="shared" si="17"/>
        <v>4.8343335255529021E-3</v>
      </c>
      <c r="S40" s="178">
        <f>S36*0.124</f>
        <v>8181.0217669550366</v>
      </c>
      <c r="T40" s="80">
        <f t="shared" si="18"/>
        <v>4.8265615144277504E-3</v>
      </c>
      <c r="U40" s="178">
        <f>U36*0.124</f>
        <v>8385.547311128912</v>
      </c>
      <c r="V40" s="80">
        <f t="shared" si="19"/>
        <v>4.8192800638671906E-3</v>
      </c>
    </row>
    <row r="41" spans="1:22" ht="12.75" customHeight="1">
      <c r="A41" s="2" t="s">
        <v>389</v>
      </c>
      <c r="B41" s="35"/>
      <c r="C41" s="178">
        <f>C37*0.124</f>
        <v>29263.628000000001</v>
      </c>
      <c r="D41" s="80">
        <f t="shared" si="10"/>
        <v>2.6087245043503071E-2</v>
      </c>
      <c r="E41" s="178">
        <f>E37*0.124</f>
        <v>32482.627080000002</v>
      </c>
      <c r="F41" s="80">
        <f t="shared" si="11"/>
        <v>2.3201876485714288E-2</v>
      </c>
      <c r="G41" s="178">
        <f>G37*0.124</f>
        <v>27419.519027799997</v>
      </c>
      <c r="H41" s="80">
        <f t="shared" si="12"/>
        <v>1.8936131925276243E-2</v>
      </c>
      <c r="I41" s="178">
        <f>I37*0.124</f>
        <v>28296.943636689597</v>
      </c>
      <c r="J41" s="80">
        <f t="shared" si="13"/>
        <v>1.8889815511808811E-2</v>
      </c>
      <c r="K41" s="178">
        <f>K37*0.124</f>
        <v>28862.882509423391</v>
      </c>
      <c r="L41" s="80">
        <f t="shared" si="14"/>
        <v>1.8778713408863626E-2</v>
      </c>
      <c r="M41" s="178">
        <f>M37*0.124</f>
        <v>29584.454572158971</v>
      </c>
      <c r="N41" s="80">
        <f t="shared" si="15"/>
        <v>1.8879677455111023E-2</v>
      </c>
      <c r="O41" s="178">
        <f>O37*0.124</f>
        <v>30324.065936462943</v>
      </c>
      <c r="P41" s="80">
        <f t="shared" si="16"/>
        <v>1.8858249960486906E-2</v>
      </c>
      <c r="Q41" s="178">
        <f>Q37*0.124</f>
        <v>30930.547255192199</v>
      </c>
      <c r="R41" s="80">
        <f t="shared" si="17"/>
        <v>1.8734432014047366E-2</v>
      </c>
      <c r="S41" s="178">
        <f>S37*0.124</f>
        <v>31549.158200296046</v>
      </c>
      <c r="T41" s="80">
        <f t="shared" si="18"/>
        <v>1.861307268454044E-2</v>
      </c>
      <c r="U41" s="178">
        <f>U37*0.124</f>
        <v>32337.887155303444</v>
      </c>
      <c r="V41" s="80">
        <f t="shared" si="19"/>
        <v>1.8584992617990487E-2</v>
      </c>
    </row>
    <row r="42" spans="1:22" ht="12.75" customHeight="1">
      <c r="A42" s="2" t="s">
        <v>390</v>
      </c>
      <c r="B42" s="35"/>
      <c r="C42" s="178"/>
      <c r="D42" s="80">
        <f t="shared" si="10"/>
        <v>0</v>
      </c>
      <c r="E42" s="178"/>
      <c r="F42" s="80">
        <f t="shared" si="11"/>
        <v>0</v>
      </c>
      <c r="G42" s="178"/>
      <c r="H42" s="80">
        <f t="shared" si="12"/>
        <v>0</v>
      </c>
      <c r="I42" s="178"/>
      <c r="J42" s="80">
        <f t="shared" si="13"/>
        <v>0</v>
      </c>
      <c r="K42" s="178"/>
      <c r="L42" s="80">
        <f t="shared" si="14"/>
        <v>0</v>
      </c>
      <c r="M42" s="178"/>
      <c r="N42" s="80">
        <f t="shared" si="15"/>
        <v>0</v>
      </c>
      <c r="O42" s="178"/>
      <c r="P42" s="80">
        <f t="shared" si="16"/>
        <v>0</v>
      </c>
      <c r="Q42" s="178"/>
      <c r="R42" s="80">
        <f t="shared" si="17"/>
        <v>0</v>
      </c>
      <c r="S42" s="178"/>
      <c r="T42" s="80">
        <f t="shared" si="18"/>
        <v>0</v>
      </c>
      <c r="U42" s="178"/>
      <c r="V42" s="80">
        <f t="shared" si="19"/>
        <v>0</v>
      </c>
    </row>
    <row r="43" spans="1:22" ht="12.75" customHeight="1">
      <c r="A43" s="2" t="s">
        <v>391</v>
      </c>
      <c r="B43" s="35"/>
      <c r="C43" s="178"/>
      <c r="D43" s="80">
        <f t="shared" si="10"/>
        <v>0</v>
      </c>
      <c r="E43" s="178"/>
      <c r="F43" s="80">
        <f t="shared" si="11"/>
        <v>0</v>
      </c>
      <c r="G43" s="178"/>
      <c r="H43" s="80">
        <f t="shared" si="12"/>
        <v>0</v>
      </c>
      <c r="I43" s="178"/>
      <c r="J43" s="80">
        <f t="shared" si="13"/>
        <v>0</v>
      </c>
      <c r="K43" s="178"/>
      <c r="L43" s="80">
        <f t="shared" si="14"/>
        <v>0</v>
      </c>
      <c r="M43" s="178"/>
      <c r="N43" s="80">
        <f t="shared" si="15"/>
        <v>0</v>
      </c>
      <c r="O43" s="178"/>
      <c r="P43" s="80">
        <f t="shared" si="16"/>
        <v>0</v>
      </c>
      <c r="Q43" s="178"/>
      <c r="R43" s="80">
        <f t="shared" si="17"/>
        <v>0</v>
      </c>
      <c r="S43" s="178"/>
      <c r="T43" s="80">
        <f t="shared" si="18"/>
        <v>0</v>
      </c>
      <c r="U43" s="178"/>
      <c r="V43" s="80">
        <f t="shared" si="19"/>
        <v>0</v>
      </c>
    </row>
    <row r="44" spans="1:22" ht="12.75" customHeight="1">
      <c r="A44" s="2" t="s">
        <v>392</v>
      </c>
      <c r="B44" s="35"/>
      <c r="C44" s="178"/>
      <c r="D44" s="80">
        <f t="shared" si="10"/>
        <v>0</v>
      </c>
      <c r="E44" s="178"/>
      <c r="F44" s="80">
        <f t="shared" si="11"/>
        <v>0</v>
      </c>
      <c r="G44" s="178"/>
      <c r="H44" s="80">
        <f t="shared" si="12"/>
        <v>0</v>
      </c>
      <c r="I44" s="178"/>
      <c r="J44" s="80">
        <f t="shared" si="13"/>
        <v>0</v>
      </c>
      <c r="K44" s="178"/>
      <c r="L44" s="80">
        <f t="shared" si="14"/>
        <v>0</v>
      </c>
      <c r="M44" s="178"/>
      <c r="N44" s="80">
        <f t="shared" si="15"/>
        <v>0</v>
      </c>
      <c r="O44" s="178"/>
      <c r="P44" s="80">
        <f t="shared" si="16"/>
        <v>0</v>
      </c>
      <c r="Q44" s="178"/>
      <c r="R44" s="80">
        <f t="shared" si="17"/>
        <v>0</v>
      </c>
      <c r="S44" s="178"/>
      <c r="T44" s="80">
        <f t="shared" si="18"/>
        <v>0</v>
      </c>
      <c r="U44" s="178"/>
      <c r="V44" s="80">
        <f t="shared" si="19"/>
        <v>0</v>
      </c>
    </row>
    <row r="45" spans="1:22" ht="12.75" customHeight="1">
      <c r="A45" s="2" t="s">
        <v>393</v>
      </c>
      <c r="B45" s="35"/>
      <c r="C45" s="181">
        <f>SUM(C36:C39)*0.094</f>
        <v>41105.730000000003</v>
      </c>
      <c r="D45" s="80">
        <f t="shared" si="10"/>
        <v>3.6643961275139081E-2</v>
      </c>
      <c r="E45" s="181">
        <f>SUM(E36:E39)*0.094</f>
        <v>45192.584450000002</v>
      </c>
      <c r="F45" s="80">
        <f t="shared" si="11"/>
        <v>3.2280417464285713E-2</v>
      </c>
      <c r="G45" s="181">
        <f>SUM(G36:G39)*0.094</f>
        <v>42021.896053249991</v>
      </c>
      <c r="H45" s="80">
        <f t="shared" si="12"/>
        <v>2.9020646445614636E-2</v>
      </c>
      <c r="I45" s="181">
        <f>SUM(I36:I39)*0.094</f>
        <v>43328.979025285247</v>
      </c>
      <c r="J45" s="80">
        <f t="shared" si="13"/>
        <v>2.892455208630524E-2</v>
      </c>
      <c r="K45" s="181">
        <f>SUM(K36:K39)*0.094</f>
        <v>44223.10013736986</v>
      </c>
      <c r="L45" s="80">
        <f t="shared" si="14"/>
        <v>2.8772348820670045E-2</v>
      </c>
      <c r="M45" s="181">
        <f>SUM(M36:M39)*0.094</f>
        <v>45328.677640804097</v>
      </c>
      <c r="N45" s="80">
        <f t="shared" si="15"/>
        <v>2.8927043803959218E-2</v>
      </c>
      <c r="O45" s="181">
        <f>SUM(O36:O39)*0.094</f>
        <v>46461.894581824199</v>
      </c>
      <c r="P45" s="80">
        <f t="shared" si="16"/>
        <v>2.8894213048398135E-2</v>
      </c>
      <c r="Q45" s="181">
        <f>SUM(Q36:Q39)*0.094</f>
        <v>47391.132473460682</v>
      </c>
      <c r="R45" s="80">
        <f t="shared" si="17"/>
        <v>2.8704501801005866E-2</v>
      </c>
      <c r="S45" s="181">
        <f>SUM(S36:S39)*0.094</f>
        <v>48369.207524428479</v>
      </c>
      <c r="T45" s="80">
        <f t="shared" si="18"/>
        <v>2.8536405619131847E-2</v>
      </c>
      <c r="U45" s="181">
        <f>SUM(U36:U39)*0.094</f>
        <v>49578.437712539177</v>
      </c>
      <c r="V45" s="80">
        <f t="shared" si="19"/>
        <v>2.8493355007206424E-2</v>
      </c>
    </row>
    <row r="46" spans="1:22" ht="12.75" customHeight="1">
      <c r="A46" s="1" t="s">
        <v>394</v>
      </c>
      <c r="B46" s="53"/>
      <c r="C46" s="82">
        <f>SUM(C36:C45)</f>
        <v>514411.81800000003</v>
      </c>
      <c r="D46" s="83">
        <f t="shared" si="10"/>
        <v>0.45857564719726157</v>
      </c>
      <c r="E46" s="82">
        <f>SUM(E36:E45)</f>
        <v>565363.53302999993</v>
      </c>
      <c r="F46" s="83">
        <f t="shared" si="11"/>
        <v>0.4038310950214285</v>
      </c>
      <c r="G46" s="82">
        <f>SUM(G36:G45)</f>
        <v>523571.91261854995</v>
      </c>
      <c r="H46" s="83">
        <f t="shared" si="12"/>
        <v>0.36158281258187153</v>
      </c>
      <c r="I46" s="82">
        <f>SUM(I36:I45)</f>
        <v>539838.78445391229</v>
      </c>
      <c r="J46" s="83">
        <f t="shared" si="13"/>
        <v>0.36037302032971447</v>
      </c>
      <c r="K46" s="82">
        <f>SUM(K36:K45)</f>
        <v>550992.42807344906</v>
      </c>
      <c r="L46" s="83">
        <f t="shared" si="14"/>
        <v>0.358485639605367</v>
      </c>
      <c r="M46" s="82">
        <f>SUM(M36:M45)</f>
        <v>564767.23877528531</v>
      </c>
      <c r="N46" s="83">
        <f t="shared" si="15"/>
        <v>0.36041304325161794</v>
      </c>
      <c r="O46" s="82">
        <f>SUM(O36:O45)</f>
        <v>578886.41974466736</v>
      </c>
      <c r="P46" s="83">
        <f t="shared" si="16"/>
        <v>0.36000399237852448</v>
      </c>
      <c r="Q46" s="82">
        <f>SUM(Q36:Q45)</f>
        <v>590464.14813956071</v>
      </c>
      <c r="R46" s="83">
        <f t="shared" si="17"/>
        <v>0.3576403077768387</v>
      </c>
      <c r="S46" s="82">
        <f>SUM(S36:S45)</f>
        <v>602665.42498559947</v>
      </c>
      <c r="T46" s="83">
        <f t="shared" si="18"/>
        <v>0.35555482300035368</v>
      </c>
      <c r="U46" s="82">
        <f>SUM(U36:U45)</f>
        <v>617732.06061023951</v>
      </c>
      <c r="V46" s="83">
        <f t="shared" si="19"/>
        <v>0.35501842563806868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366</v>
      </c>
      <c r="E50" s="86" t="str">
        <f>E6</f>
        <v>FY 2019-20</v>
      </c>
      <c r="F50" s="86" t="s">
        <v>366</v>
      </c>
      <c r="G50" s="86" t="str">
        <f>G6</f>
        <v>FY 2020-21</v>
      </c>
      <c r="H50" s="86" t="s">
        <v>366</v>
      </c>
      <c r="I50" s="86" t="str">
        <f>I6</f>
        <v>FY 2021-22</v>
      </c>
      <c r="J50" s="86" t="s">
        <v>366</v>
      </c>
      <c r="K50" s="86" t="str">
        <f>K6</f>
        <v>FY 2022-23</v>
      </c>
      <c r="L50" s="86" t="s">
        <v>366</v>
      </c>
      <c r="M50" s="86" t="str">
        <f>M6</f>
        <v>FY 2023-24</v>
      </c>
      <c r="N50" s="86" t="s">
        <v>366</v>
      </c>
      <c r="O50" s="86" t="str">
        <f>O6</f>
        <v>FY 2024-25</v>
      </c>
      <c r="P50" s="86" t="s">
        <v>366</v>
      </c>
      <c r="Q50" s="86" t="str">
        <f>Q6</f>
        <v>FY 2025-26</v>
      </c>
      <c r="R50" s="86" t="s">
        <v>366</v>
      </c>
      <c r="S50" s="86" t="str">
        <f>S6</f>
        <v>FY 2026-27</v>
      </c>
      <c r="T50" s="86" t="s">
        <v>366</v>
      </c>
      <c r="U50" s="86" t="str">
        <f>U6</f>
        <v>FY 2027-28</v>
      </c>
      <c r="V50" s="86" t="s">
        <v>366</v>
      </c>
    </row>
    <row r="51" spans="1:24" ht="12.75" customHeight="1">
      <c r="A51" s="1" t="s">
        <v>395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396</v>
      </c>
      <c r="B52" s="35"/>
      <c r="C52" s="178">
        <v>0</v>
      </c>
      <c r="D52" s="80">
        <f t="shared" ref="D52:D104" si="20">IFERROR(C52/C$28,0)</f>
        <v>0</v>
      </c>
      <c r="E52" s="178">
        <v>0</v>
      </c>
      <c r="F52" s="80">
        <f t="shared" ref="F52:F104" si="21">IFERROR(E52/E$28,0)</f>
        <v>0</v>
      </c>
      <c r="G52" s="178">
        <v>0</v>
      </c>
      <c r="H52" s="80">
        <f t="shared" ref="H52:H104" si="22">IFERROR(G52/G$28,0)</f>
        <v>0</v>
      </c>
      <c r="I52" s="178">
        <v>0</v>
      </c>
      <c r="J52" s="80">
        <f t="shared" ref="J52:J104" si="23">IFERROR(I52/I$28,0)</f>
        <v>0</v>
      </c>
      <c r="K52" s="178">
        <v>0</v>
      </c>
      <c r="L52" s="80">
        <f t="shared" ref="L52:L104" si="24">IFERROR(K52/K$28,0)</f>
        <v>0</v>
      </c>
      <c r="M52" s="178">
        <v>0</v>
      </c>
      <c r="N52" s="80">
        <f t="shared" ref="N52:N104" si="25">IFERROR(M52/M$28,0)</f>
        <v>0</v>
      </c>
      <c r="O52" s="178">
        <v>0</v>
      </c>
      <c r="P52" s="80">
        <f t="shared" ref="P52:P104" si="26">IFERROR(O52/O$28,0)</f>
        <v>0</v>
      </c>
      <c r="Q52" s="178">
        <v>0</v>
      </c>
      <c r="R52" s="80">
        <f t="shared" ref="R52:R104" si="27">IFERROR(Q52/Q$28,0)</f>
        <v>0</v>
      </c>
      <c r="S52" s="178">
        <v>0</v>
      </c>
      <c r="T52" s="80">
        <f t="shared" ref="T52:T104" si="28">IFERROR(S52/S$28,0)</f>
        <v>0</v>
      </c>
      <c r="U52" s="178">
        <v>0</v>
      </c>
      <c r="V52" s="80">
        <f t="shared" ref="V52:V105" si="29">IFERROR(U52/U$28,0)</f>
        <v>0</v>
      </c>
      <c r="X52" s="192"/>
    </row>
    <row r="53" spans="1:24" ht="12.75" customHeight="1">
      <c r="A53" s="2" t="s">
        <v>397</v>
      </c>
      <c r="B53" s="35"/>
      <c r="C53" s="178">
        <v>0</v>
      </c>
      <c r="D53" s="80">
        <f t="shared" si="20"/>
        <v>0</v>
      </c>
      <c r="E53" s="178">
        <v>0</v>
      </c>
      <c r="F53" s="80">
        <f t="shared" si="21"/>
        <v>0</v>
      </c>
      <c r="G53" s="178">
        <v>0</v>
      </c>
      <c r="H53" s="80">
        <f t="shared" si="22"/>
        <v>0</v>
      </c>
      <c r="I53" s="178">
        <v>0</v>
      </c>
      <c r="J53" s="80">
        <f t="shared" si="23"/>
        <v>0</v>
      </c>
      <c r="K53" s="178">
        <v>0</v>
      </c>
      <c r="L53" s="80">
        <f t="shared" si="24"/>
        <v>0</v>
      </c>
      <c r="M53" s="178">
        <v>0</v>
      </c>
      <c r="N53" s="80">
        <f t="shared" si="25"/>
        <v>0</v>
      </c>
      <c r="O53" s="178">
        <v>0</v>
      </c>
      <c r="P53" s="80">
        <f t="shared" si="26"/>
        <v>0</v>
      </c>
      <c r="Q53" s="178">
        <v>0</v>
      </c>
      <c r="R53" s="80">
        <f t="shared" si="27"/>
        <v>0</v>
      </c>
      <c r="S53" s="178">
        <v>0</v>
      </c>
      <c r="T53" s="80">
        <f t="shared" si="28"/>
        <v>0</v>
      </c>
      <c r="U53" s="178">
        <v>0</v>
      </c>
      <c r="V53" s="80">
        <f t="shared" si="29"/>
        <v>0</v>
      </c>
      <c r="X53" s="192"/>
    </row>
    <row r="54" spans="1:24" ht="12.75" customHeight="1">
      <c r="A54" s="2" t="s">
        <v>398</v>
      </c>
      <c r="B54" s="35"/>
      <c r="C54" s="178">
        <v>785.23199999999986</v>
      </c>
      <c r="D54" s="80">
        <f t="shared" si="20"/>
        <v>6.9999999999999999E-4</v>
      </c>
      <c r="E54" s="178">
        <v>979.99999999999989</v>
      </c>
      <c r="F54" s="80">
        <f t="shared" si="21"/>
        <v>6.9999999999999988E-4</v>
      </c>
      <c r="G54" s="178">
        <v>1013.6</v>
      </c>
      <c r="H54" s="80">
        <f t="shared" si="22"/>
        <v>6.9999999999999999E-4</v>
      </c>
      <c r="I54" s="178">
        <v>1048.5999999999999</v>
      </c>
      <c r="J54" s="80">
        <f t="shared" si="23"/>
        <v>6.9999999999999999E-4</v>
      </c>
      <c r="K54" s="178">
        <v>1075.8999999999999</v>
      </c>
      <c r="L54" s="80">
        <f t="shared" si="24"/>
        <v>6.9999999999999988E-4</v>
      </c>
      <c r="M54" s="178">
        <v>1096.9000000000001</v>
      </c>
      <c r="N54" s="80">
        <f t="shared" si="25"/>
        <v>7.000000000000001E-4</v>
      </c>
      <c r="O54" s="178">
        <v>1125.6000000000001</v>
      </c>
      <c r="P54" s="80">
        <f t="shared" si="26"/>
        <v>7.000000000000001E-4</v>
      </c>
      <c r="Q54" s="178">
        <v>1155.7</v>
      </c>
      <c r="R54" s="80">
        <f t="shared" si="27"/>
        <v>6.9999999999999999E-4</v>
      </c>
      <c r="S54" s="178">
        <v>1186.5</v>
      </c>
      <c r="T54" s="80">
        <f t="shared" si="28"/>
        <v>6.9999999999999999E-4</v>
      </c>
      <c r="U54" s="178">
        <v>1218</v>
      </c>
      <c r="V54" s="80">
        <f t="shared" si="29"/>
        <v>6.9999999999999999E-4</v>
      </c>
      <c r="X54" s="192"/>
    </row>
    <row r="55" spans="1:24" ht="12.75" customHeight="1">
      <c r="A55" s="2" t="s">
        <v>399</v>
      </c>
      <c r="B55" s="35"/>
      <c r="C55" s="178">
        <v>67305.599999999977</v>
      </c>
      <c r="D55" s="80">
        <f t="shared" si="20"/>
        <v>5.9999999999999991E-2</v>
      </c>
      <c r="E55" s="178">
        <v>84000</v>
      </c>
      <c r="F55" s="80">
        <f t="shared" si="21"/>
        <v>0.06</v>
      </c>
      <c r="G55" s="178">
        <v>86880</v>
      </c>
      <c r="H55" s="80">
        <f t="shared" si="22"/>
        <v>0.06</v>
      </c>
      <c r="I55" s="178">
        <v>89880</v>
      </c>
      <c r="J55" s="80">
        <f t="shared" si="23"/>
        <v>0.06</v>
      </c>
      <c r="K55" s="178">
        <v>92220</v>
      </c>
      <c r="L55" s="80">
        <f t="shared" si="24"/>
        <v>0.06</v>
      </c>
      <c r="M55" s="178">
        <v>94020</v>
      </c>
      <c r="N55" s="80">
        <f t="shared" si="25"/>
        <v>0.06</v>
      </c>
      <c r="O55" s="178">
        <v>96480</v>
      </c>
      <c r="P55" s="80">
        <f t="shared" si="26"/>
        <v>0.06</v>
      </c>
      <c r="Q55" s="178">
        <v>99060</v>
      </c>
      <c r="R55" s="80">
        <f t="shared" si="27"/>
        <v>0.06</v>
      </c>
      <c r="S55" s="178">
        <v>101700</v>
      </c>
      <c r="T55" s="80">
        <f t="shared" si="28"/>
        <v>0.06</v>
      </c>
      <c r="U55" s="178">
        <v>104400</v>
      </c>
      <c r="V55" s="80">
        <f t="shared" si="29"/>
        <v>0.06</v>
      </c>
      <c r="X55" s="192"/>
    </row>
    <row r="56" spans="1:24" ht="12.75" customHeight="1">
      <c r="A56" s="2" t="s">
        <v>400</v>
      </c>
      <c r="B56" s="35"/>
      <c r="C56" s="178">
        <v>572.09759999999994</v>
      </c>
      <c r="D56" s="80">
        <f t="shared" si="20"/>
        <v>5.1000000000000004E-4</v>
      </c>
      <c r="E56" s="178">
        <v>714</v>
      </c>
      <c r="F56" s="80">
        <f t="shared" si="21"/>
        <v>5.1000000000000004E-4</v>
      </c>
      <c r="G56" s="178">
        <v>738.48</v>
      </c>
      <c r="H56" s="80">
        <f t="shared" si="22"/>
        <v>5.1000000000000004E-4</v>
      </c>
      <c r="I56" s="178">
        <v>763.98</v>
      </c>
      <c r="J56" s="80">
        <f t="shared" si="23"/>
        <v>5.1000000000000004E-4</v>
      </c>
      <c r="K56" s="178">
        <v>783.87</v>
      </c>
      <c r="L56" s="80">
        <f t="shared" si="24"/>
        <v>5.1000000000000004E-4</v>
      </c>
      <c r="M56" s="178">
        <v>799.17000000000007</v>
      </c>
      <c r="N56" s="80">
        <f t="shared" si="25"/>
        <v>5.1000000000000004E-4</v>
      </c>
      <c r="O56" s="178">
        <v>820.08000000000015</v>
      </c>
      <c r="P56" s="80">
        <f t="shared" si="26"/>
        <v>5.1000000000000015E-4</v>
      </c>
      <c r="Q56" s="178">
        <v>842.0100000000001</v>
      </c>
      <c r="R56" s="80">
        <f t="shared" si="27"/>
        <v>5.1000000000000004E-4</v>
      </c>
      <c r="S56" s="178">
        <v>864.45</v>
      </c>
      <c r="T56" s="80">
        <f t="shared" si="28"/>
        <v>5.1000000000000004E-4</v>
      </c>
      <c r="U56" s="178">
        <v>887.4</v>
      </c>
      <c r="V56" s="80">
        <f t="shared" si="29"/>
        <v>5.1000000000000004E-4</v>
      </c>
      <c r="X56" s="192"/>
    </row>
    <row r="57" spans="1:24" ht="12.75" customHeight="1">
      <c r="A57" s="2" t="s">
        <v>401</v>
      </c>
      <c r="B57" s="35"/>
      <c r="C57" s="178">
        <v>0</v>
      </c>
      <c r="D57" s="80">
        <f t="shared" si="20"/>
        <v>0</v>
      </c>
      <c r="E57" s="178">
        <v>0</v>
      </c>
      <c r="F57" s="80">
        <f t="shared" si="21"/>
        <v>0</v>
      </c>
      <c r="G57" s="178">
        <v>0</v>
      </c>
      <c r="H57" s="80">
        <f t="shared" si="22"/>
        <v>0</v>
      </c>
      <c r="I57" s="178">
        <v>0</v>
      </c>
      <c r="J57" s="80">
        <f t="shared" si="23"/>
        <v>0</v>
      </c>
      <c r="K57" s="178">
        <v>0</v>
      </c>
      <c r="L57" s="80">
        <f t="shared" si="24"/>
        <v>0</v>
      </c>
      <c r="M57" s="178">
        <v>0</v>
      </c>
      <c r="N57" s="80">
        <f t="shared" si="25"/>
        <v>0</v>
      </c>
      <c r="O57" s="178">
        <v>0</v>
      </c>
      <c r="P57" s="80">
        <f t="shared" si="26"/>
        <v>0</v>
      </c>
      <c r="Q57" s="178">
        <v>0</v>
      </c>
      <c r="R57" s="80">
        <f t="shared" si="27"/>
        <v>0</v>
      </c>
      <c r="S57" s="178">
        <v>0</v>
      </c>
      <c r="T57" s="80">
        <f t="shared" si="28"/>
        <v>0</v>
      </c>
      <c r="U57" s="178">
        <v>0</v>
      </c>
      <c r="V57" s="80">
        <f t="shared" si="29"/>
        <v>0</v>
      </c>
      <c r="X57" s="192"/>
    </row>
    <row r="58" spans="1:24" ht="12.75" customHeight="1">
      <c r="A58" s="2" t="s">
        <v>402</v>
      </c>
      <c r="B58" s="35"/>
      <c r="C58" s="178">
        <v>0</v>
      </c>
      <c r="D58" s="80">
        <f t="shared" si="20"/>
        <v>0</v>
      </c>
      <c r="E58" s="178">
        <v>0</v>
      </c>
      <c r="F58" s="80">
        <f t="shared" si="21"/>
        <v>0</v>
      </c>
      <c r="G58" s="178">
        <v>0</v>
      </c>
      <c r="H58" s="80">
        <f t="shared" si="22"/>
        <v>0</v>
      </c>
      <c r="I58" s="178">
        <v>0</v>
      </c>
      <c r="J58" s="80">
        <f t="shared" si="23"/>
        <v>0</v>
      </c>
      <c r="K58" s="178">
        <v>0</v>
      </c>
      <c r="L58" s="80">
        <f t="shared" si="24"/>
        <v>0</v>
      </c>
      <c r="M58" s="178">
        <v>0</v>
      </c>
      <c r="N58" s="80">
        <f t="shared" si="25"/>
        <v>0</v>
      </c>
      <c r="O58" s="178">
        <v>0</v>
      </c>
      <c r="P58" s="80">
        <f t="shared" si="26"/>
        <v>0</v>
      </c>
      <c r="Q58" s="178">
        <v>0</v>
      </c>
      <c r="R58" s="80">
        <f t="shared" si="27"/>
        <v>0</v>
      </c>
      <c r="S58" s="178">
        <v>0</v>
      </c>
      <c r="T58" s="80">
        <f t="shared" si="28"/>
        <v>0</v>
      </c>
      <c r="U58" s="178">
        <v>0</v>
      </c>
      <c r="V58" s="80">
        <f t="shared" si="29"/>
        <v>0</v>
      </c>
      <c r="X58" s="192"/>
    </row>
    <row r="59" spans="1:24" ht="12.75" customHeight="1">
      <c r="A59" s="2" t="s">
        <v>403</v>
      </c>
      <c r="B59" s="35"/>
      <c r="C59" s="178"/>
      <c r="D59" s="80">
        <f t="shared" si="20"/>
        <v>0</v>
      </c>
      <c r="E59" s="178"/>
      <c r="F59" s="80">
        <f t="shared" si="21"/>
        <v>0</v>
      </c>
      <c r="G59" s="178"/>
      <c r="H59" s="80">
        <f t="shared" si="22"/>
        <v>0</v>
      </c>
      <c r="I59" s="178"/>
      <c r="J59" s="80">
        <f t="shared" si="23"/>
        <v>0</v>
      </c>
      <c r="K59" s="178"/>
      <c r="L59" s="80">
        <f t="shared" si="24"/>
        <v>0</v>
      </c>
      <c r="M59" s="178"/>
      <c r="N59" s="80">
        <f t="shared" si="25"/>
        <v>0</v>
      </c>
      <c r="O59" s="178"/>
      <c r="P59" s="80">
        <f t="shared" si="26"/>
        <v>0</v>
      </c>
      <c r="Q59" s="178"/>
      <c r="R59" s="80">
        <f t="shared" si="27"/>
        <v>0</v>
      </c>
      <c r="S59" s="178"/>
      <c r="T59" s="80">
        <f t="shared" si="28"/>
        <v>0</v>
      </c>
      <c r="U59" s="178"/>
      <c r="V59" s="80">
        <f t="shared" si="29"/>
        <v>0</v>
      </c>
      <c r="X59" s="192"/>
    </row>
    <row r="60" spans="1:24" ht="12.75" customHeight="1">
      <c r="A60" s="2" t="s">
        <v>404</v>
      </c>
      <c r="B60" s="35"/>
      <c r="C60" s="178">
        <v>0</v>
      </c>
      <c r="D60" s="80">
        <f t="shared" si="20"/>
        <v>0</v>
      </c>
      <c r="E60" s="178">
        <v>0</v>
      </c>
      <c r="F60" s="80">
        <f t="shared" si="21"/>
        <v>0</v>
      </c>
      <c r="G60" s="178">
        <v>0</v>
      </c>
      <c r="H60" s="80">
        <f t="shared" si="22"/>
        <v>0</v>
      </c>
      <c r="I60" s="178">
        <v>0</v>
      </c>
      <c r="J60" s="80">
        <f t="shared" si="23"/>
        <v>0</v>
      </c>
      <c r="K60" s="178">
        <v>0</v>
      </c>
      <c r="L60" s="80">
        <f t="shared" si="24"/>
        <v>0</v>
      </c>
      <c r="M60" s="178">
        <v>0</v>
      </c>
      <c r="N60" s="80">
        <f t="shared" si="25"/>
        <v>0</v>
      </c>
      <c r="O60" s="178">
        <v>0</v>
      </c>
      <c r="P60" s="80">
        <f t="shared" si="26"/>
        <v>0</v>
      </c>
      <c r="Q60" s="178">
        <v>0</v>
      </c>
      <c r="R60" s="80">
        <f t="shared" si="27"/>
        <v>0</v>
      </c>
      <c r="S60" s="178">
        <v>0</v>
      </c>
      <c r="T60" s="80">
        <f t="shared" si="28"/>
        <v>0</v>
      </c>
      <c r="U60" s="178">
        <v>0</v>
      </c>
      <c r="V60" s="80">
        <f t="shared" si="29"/>
        <v>0</v>
      </c>
      <c r="X60" s="192"/>
    </row>
    <row r="61" spans="1:24" ht="12.75" customHeight="1">
      <c r="A61" s="2" t="s">
        <v>405</v>
      </c>
      <c r="B61" s="35"/>
      <c r="C61" s="178">
        <v>0</v>
      </c>
      <c r="D61" s="80">
        <f t="shared" si="20"/>
        <v>0</v>
      </c>
      <c r="E61" s="178">
        <v>0</v>
      </c>
      <c r="F61" s="80">
        <f t="shared" si="21"/>
        <v>0</v>
      </c>
      <c r="G61" s="178">
        <v>0</v>
      </c>
      <c r="H61" s="80">
        <f t="shared" si="22"/>
        <v>0</v>
      </c>
      <c r="I61" s="178">
        <v>0</v>
      </c>
      <c r="J61" s="80">
        <f t="shared" si="23"/>
        <v>0</v>
      </c>
      <c r="K61" s="178">
        <v>0</v>
      </c>
      <c r="L61" s="80">
        <f t="shared" si="24"/>
        <v>0</v>
      </c>
      <c r="M61" s="178">
        <v>0</v>
      </c>
      <c r="N61" s="80">
        <f t="shared" si="25"/>
        <v>0</v>
      </c>
      <c r="O61" s="178">
        <v>0</v>
      </c>
      <c r="P61" s="80">
        <f t="shared" si="26"/>
        <v>0</v>
      </c>
      <c r="Q61" s="178">
        <v>0</v>
      </c>
      <c r="R61" s="80">
        <f t="shared" si="27"/>
        <v>0</v>
      </c>
      <c r="S61" s="178">
        <v>0</v>
      </c>
      <c r="T61" s="80">
        <f t="shared" si="28"/>
        <v>0</v>
      </c>
      <c r="U61" s="178">
        <v>0</v>
      </c>
      <c r="V61" s="80">
        <f t="shared" si="29"/>
        <v>0</v>
      </c>
      <c r="X61" s="192"/>
    </row>
    <row r="62" spans="1:24" ht="12.75" customHeight="1">
      <c r="A62" s="2" t="s">
        <v>406</v>
      </c>
      <c r="B62" s="35"/>
      <c r="C62" s="178">
        <v>0</v>
      </c>
      <c r="D62" s="80">
        <f t="shared" si="20"/>
        <v>0</v>
      </c>
      <c r="E62" s="178">
        <v>0</v>
      </c>
      <c r="F62" s="80">
        <f t="shared" si="21"/>
        <v>0</v>
      </c>
      <c r="G62" s="178">
        <v>0</v>
      </c>
      <c r="H62" s="80">
        <f t="shared" si="22"/>
        <v>0</v>
      </c>
      <c r="I62" s="178">
        <v>0</v>
      </c>
      <c r="J62" s="80">
        <f t="shared" si="23"/>
        <v>0</v>
      </c>
      <c r="K62" s="178">
        <v>0</v>
      </c>
      <c r="L62" s="80">
        <f t="shared" si="24"/>
        <v>0</v>
      </c>
      <c r="M62" s="178">
        <v>0</v>
      </c>
      <c r="N62" s="80">
        <f t="shared" si="25"/>
        <v>0</v>
      </c>
      <c r="O62" s="178">
        <v>0</v>
      </c>
      <c r="P62" s="80">
        <f t="shared" si="26"/>
        <v>0</v>
      </c>
      <c r="Q62" s="178">
        <v>0</v>
      </c>
      <c r="R62" s="80">
        <f t="shared" si="27"/>
        <v>0</v>
      </c>
      <c r="S62" s="178">
        <v>0</v>
      </c>
      <c r="T62" s="80">
        <f t="shared" si="28"/>
        <v>0</v>
      </c>
      <c r="U62" s="178">
        <v>0</v>
      </c>
      <c r="V62" s="80">
        <f t="shared" si="29"/>
        <v>0</v>
      </c>
      <c r="X62" s="192"/>
    </row>
    <row r="63" spans="1:24" ht="12.75" customHeight="1">
      <c r="A63" s="2" t="s">
        <v>407</v>
      </c>
      <c r="B63" s="35"/>
      <c r="C63" s="178">
        <v>13646.973021390928</v>
      </c>
      <c r="D63" s="80">
        <f t="shared" si="20"/>
        <v>1.2165679843630484E-2</v>
      </c>
      <c r="E63" s="178">
        <v>17283.407439980336</v>
      </c>
      <c r="F63" s="80">
        <f t="shared" si="21"/>
        <v>1.2345291028557383E-2</v>
      </c>
      <c r="G63" s="178">
        <v>17686.764345817508</v>
      </c>
      <c r="H63" s="80">
        <f t="shared" si="22"/>
        <v>1.2214616260923693E-2</v>
      </c>
      <c r="I63" s="178">
        <v>18344.478998748044</v>
      </c>
      <c r="J63" s="80">
        <f t="shared" si="23"/>
        <v>1.224598064001872E-2</v>
      </c>
      <c r="K63" s="178">
        <v>18764.063306636283</v>
      </c>
      <c r="L63" s="80">
        <f t="shared" si="24"/>
        <v>1.2208238976341108E-2</v>
      </c>
      <c r="M63" s="178">
        <v>19162.562275450375</v>
      </c>
      <c r="N63" s="80">
        <f t="shared" si="25"/>
        <v>1.2228820852233806E-2</v>
      </c>
      <c r="O63" s="178">
        <v>19704.483272401914</v>
      </c>
      <c r="P63" s="80">
        <f t="shared" si="26"/>
        <v>1.2254031885822086E-2</v>
      </c>
      <c r="Q63" s="178">
        <v>20290.822725693142</v>
      </c>
      <c r="R63" s="80">
        <f t="shared" si="27"/>
        <v>1.2290019821740243E-2</v>
      </c>
      <c r="S63" s="178">
        <v>20891.093364350025</v>
      </c>
      <c r="T63" s="80">
        <f t="shared" si="28"/>
        <v>1.2325128828525088E-2</v>
      </c>
      <c r="U63" s="178">
        <v>21511.003625230653</v>
      </c>
      <c r="V63" s="80">
        <f t="shared" si="29"/>
        <v>1.2362645761626812E-2</v>
      </c>
      <c r="X63" s="192"/>
    </row>
    <row r="64" spans="1:24" ht="12.75" customHeight="1">
      <c r="A64" s="2" t="s">
        <v>408</v>
      </c>
      <c r="B64" s="35"/>
      <c r="C64" s="178">
        <v>5384.4479999999985</v>
      </c>
      <c r="D64" s="80">
        <f t="shared" si="20"/>
        <v>4.7999999999999996E-3</v>
      </c>
      <c r="E64" s="178">
        <v>6719.9999999999991</v>
      </c>
      <c r="F64" s="80">
        <f t="shared" si="21"/>
        <v>4.7999999999999996E-3</v>
      </c>
      <c r="G64" s="178">
        <v>6950.4</v>
      </c>
      <c r="H64" s="80">
        <f t="shared" si="22"/>
        <v>4.7999999999999996E-3</v>
      </c>
      <c r="I64" s="178">
        <v>7190.3999999999987</v>
      </c>
      <c r="J64" s="80">
        <f t="shared" si="23"/>
        <v>4.7999999999999996E-3</v>
      </c>
      <c r="K64" s="178">
        <v>7377.5999999999995</v>
      </c>
      <c r="L64" s="80">
        <f t="shared" si="24"/>
        <v>4.7999999999999996E-3</v>
      </c>
      <c r="M64" s="178">
        <v>7521.5999999999995</v>
      </c>
      <c r="N64" s="80">
        <f t="shared" si="25"/>
        <v>4.7999999999999996E-3</v>
      </c>
      <c r="O64" s="178">
        <v>7718.4</v>
      </c>
      <c r="P64" s="80">
        <f t="shared" si="26"/>
        <v>4.7999999999999996E-3</v>
      </c>
      <c r="Q64" s="178">
        <v>7924.7999999999984</v>
      </c>
      <c r="R64" s="80">
        <f t="shared" si="27"/>
        <v>4.7999999999999987E-3</v>
      </c>
      <c r="S64" s="178">
        <v>8136</v>
      </c>
      <c r="T64" s="80">
        <f t="shared" si="28"/>
        <v>4.7999999999999996E-3</v>
      </c>
      <c r="U64" s="178">
        <v>8352</v>
      </c>
      <c r="V64" s="80">
        <f t="shared" si="29"/>
        <v>4.7999999999999996E-3</v>
      </c>
      <c r="X64" s="192"/>
    </row>
    <row r="65" spans="1:24" ht="12.75" customHeight="1">
      <c r="A65" s="2" t="s">
        <v>409</v>
      </c>
      <c r="B65" s="35"/>
      <c r="C65" s="178">
        <v>560.87999999999988</v>
      </c>
      <c r="D65" s="80">
        <f t="shared" si="20"/>
        <v>5.0000000000000001E-4</v>
      </c>
      <c r="E65" s="178">
        <v>700</v>
      </c>
      <c r="F65" s="80">
        <f t="shared" si="21"/>
        <v>5.0000000000000001E-4</v>
      </c>
      <c r="G65" s="178">
        <v>724</v>
      </c>
      <c r="H65" s="80">
        <f t="shared" si="22"/>
        <v>5.0000000000000001E-4</v>
      </c>
      <c r="I65" s="178">
        <v>749</v>
      </c>
      <c r="J65" s="80">
        <f t="shared" si="23"/>
        <v>5.0000000000000001E-4</v>
      </c>
      <c r="K65" s="178">
        <v>768.5</v>
      </c>
      <c r="L65" s="80">
        <f t="shared" si="24"/>
        <v>5.0000000000000001E-4</v>
      </c>
      <c r="M65" s="178">
        <v>783.5</v>
      </c>
      <c r="N65" s="80">
        <f t="shared" si="25"/>
        <v>5.0000000000000001E-4</v>
      </c>
      <c r="O65" s="178">
        <v>804.00000000000011</v>
      </c>
      <c r="P65" s="80">
        <f t="shared" si="26"/>
        <v>5.0000000000000012E-4</v>
      </c>
      <c r="Q65" s="178">
        <v>825.5</v>
      </c>
      <c r="R65" s="80">
        <f t="shared" si="27"/>
        <v>5.0000000000000001E-4</v>
      </c>
      <c r="S65" s="178">
        <v>847.5</v>
      </c>
      <c r="T65" s="80">
        <f t="shared" si="28"/>
        <v>5.0000000000000001E-4</v>
      </c>
      <c r="U65" s="178">
        <v>870</v>
      </c>
      <c r="V65" s="80">
        <f t="shared" si="29"/>
        <v>5.0000000000000001E-4</v>
      </c>
      <c r="X65" s="192"/>
    </row>
    <row r="66" spans="1:24" ht="12.75" customHeight="1">
      <c r="A66" s="2" t="s">
        <v>410</v>
      </c>
      <c r="B66" s="35"/>
      <c r="C66" s="178">
        <v>3140.9279999999994</v>
      </c>
      <c r="D66" s="80">
        <f t="shared" si="20"/>
        <v>2.8E-3</v>
      </c>
      <c r="E66" s="178">
        <v>3919.9999999999995</v>
      </c>
      <c r="F66" s="80">
        <f t="shared" si="21"/>
        <v>2.7999999999999995E-3</v>
      </c>
      <c r="G66" s="178">
        <v>4054.4</v>
      </c>
      <c r="H66" s="80">
        <f t="shared" si="22"/>
        <v>2.8E-3</v>
      </c>
      <c r="I66" s="178">
        <v>4194.3999999999996</v>
      </c>
      <c r="J66" s="80">
        <f t="shared" si="23"/>
        <v>2.8E-3</v>
      </c>
      <c r="K66" s="178">
        <v>4303.5999999999995</v>
      </c>
      <c r="L66" s="80">
        <f t="shared" si="24"/>
        <v>2.7999999999999995E-3</v>
      </c>
      <c r="M66" s="178">
        <v>4387.6000000000004</v>
      </c>
      <c r="N66" s="80">
        <f t="shared" si="25"/>
        <v>2.8000000000000004E-3</v>
      </c>
      <c r="O66" s="178">
        <v>4502.4000000000005</v>
      </c>
      <c r="P66" s="80">
        <f t="shared" si="26"/>
        <v>2.8000000000000004E-3</v>
      </c>
      <c r="Q66" s="178">
        <v>4622.8</v>
      </c>
      <c r="R66" s="80">
        <f t="shared" si="27"/>
        <v>2.8E-3</v>
      </c>
      <c r="S66" s="178">
        <v>4746</v>
      </c>
      <c r="T66" s="80">
        <f t="shared" si="28"/>
        <v>2.8E-3</v>
      </c>
      <c r="U66" s="178">
        <v>4872</v>
      </c>
      <c r="V66" s="80">
        <f t="shared" si="29"/>
        <v>2.8E-3</v>
      </c>
      <c r="X66" s="192"/>
    </row>
    <row r="67" spans="1:24" ht="12.75" customHeight="1">
      <c r="A67" s="2" t="s">
        <v>411</v>
      </c>
      <c r="B67" s="35"/>
      <c r="C67" s="178">
        <v>16826.399999999994</v>
      </c>
      <c r="D67" s="80">
        <f t="shared" si="20"/>
        <v>1.4999999999999998E-2</v>
      </c>
      <c r="E67" s="178">
        <v>21000</v>
      </c>
      <c r="F67" s="80">
        <f t="shared" si="21"/>
        <v>1.4999999999999999E-2</v>
      </c>
      <c r="G67" s="178">
        <v>21720</v>
      </c>
      <c r="H67" s="80">
        <f t="shared" si="22"/>
        <v>1.4999999999999999E-2</v>
      </c>
      <c r="I67" s="178">
        <v>22469.999999999996</v>
      </c>
      <c r="J67" s="80">
        <f t="shared" si="23"/>
        <v>1.4999999999999998E-2</v>
      </c>
      <c r="K67" s="178">
        <v>23054.999999999996</v>
      </c>
      <c r="L67" s="80">
        <f t="shared" si="24"/>
        <v>1.4999999999999998E-2</v>
      </c>
      <c r="M67" s="178">
        <v>23505</v>
      </c>
      <c r="N67" s="80">
        <f t="shared" si="25"/>
        <v>1.4999999999999999E-2</v>
      </c>
      <c r="O67" s="178">
        <v>24120</v>
      </c>
      <c r="P67" s="80">
        <f t="shared" si="26"/>
        <v>1.4999999999999999E-2</v>
      </c>
      <c r="Q67" s="178">
        <v>24764.999999999996</v>
      </c>
      <c r="R67" s="80">
        <f t="shared" si="27"/>
        <v>1.4999999999999998E-2</v>
      </c>
      <c r="S67" s="178">
        <v>25425</v>
      </c>
      <c r="T67" s="80">
        <f t="shared" si="28"/>
        <v>1.4999999999999999E-2</v>
      </c>
      <c r="U67" s="178">
        <v>26100</v>
      </c>
      <c r="V67" s="80">
        <f t="shared" si="29"/>
        <v>1.4999999999999999E-2</v>
      </c>
      <c r="X67" s="192"/>
    </row>
    <row r="68" spans="1:24" ht="12.75" customHeight="1">
      <c r="A68" s="2" t="s">
        <v>412</v>
      </c>
      <c r="B68" s="35"/>
      <c r="C68" s="178">
        <v>1906.9919999999995</v>
      </c>
      <c r="D68" s="80">
        <f t="shared" si="20"/>
        <v>1.6999999999999999E-3</v>
      </c>
      <c r="E68" s="178">
        <v>2379.9999999999995</v>
      </c>
      <c r="F68" s="80">
        <f t="shared" si="21"/>
        <v>1.6999999999999997E-3</v>
      </c>
      <c r="G68" s="178">
        <v>2461.6</v>
      </c>
      <c r="H68" s="80">
        <f t="shared" si="22"/>
        <v>1.6999999999999999E-3</v>
      </c>
      <c r="I68" s="178">
        <v>2546.5999999999995</v>
      </c>
      <c r="J68" s="80">
        <f t="shared" si="23"/>
        <v>1.6999999999999997E-3</v>
      </c>
      <c r="K68" s="178">
        <v>2612.8999999999996</v>
      </c>
      <c r="L68" s="80">
        <f t="shared" si="24"/>
        <v>1.6999999999999997E-3</v>
      </c>
      <c r="M68" s="178">
        <v>2663.8999999999996</v>
      </c>
      <c r="N68" s="80">
        <f t="shared" si="25"/>
        <v>1.6999999999999997E-3</v>
      </c>
      <c r="O68" s="178">
        <v>2733.6</v>
      </c>
      <c r="P68" s="80">
        <f t="shared" si="26"/>
        <v>1.6999999999999999E-3</v>
      </c>
      <c r="Q68" s="178">
        <v>2806.7</v>
      </c>
      <c r="R68" s="80">
        <f t="shared" si="27"/>
        <v>1.6999999999999999E-3</v>
      </c>
      <c r="S68" s="178">
        <v>2881.5</v>
      </c>
      <c r="T68" s="80">
        <f t="shared" si="28"/>
        <v>1.6999999999999999E-3</v>
      </c>
      <c r="U68" s="178">
        <v>2958</v>
      </c>
      <c r="V68" s="80">
        <f t="shared" si="29"/>
        <v>1.6999999999999999E-3</v>
      </c>
      <c r="X68" s="192"/>
    </row>
    <row r="69" spans="1:24" ht="12.75" customHeight="1">
      <c r="A69" s="2" t="s">
        <v>413</v>
      </c>
      <c r="B69" s="35"/>
      <c r="C69" s="178">
        <v>0</v>
      </c>
      <c r="D69" s="80">
        <f t="shared" si="20"/>
        <v>0</v>
      </c>
      <c r="E69" s="178">
        <v>0</v>
      </c>
      <c r="F69" s="80">
        <f t="shared" si="21"/>
        <v>0</v>
      </c>
      <c r="G69" s="178">
        <v>0</v>
      </c>
      <c r="H69" s="80">
        <f t="shared" si="22"/>
        <v>0</v>
      </c>
      <c r="I69" s="178">
        <v>0</v>
      </c>
      <c r="J69" s="80">
        <f t="shared" si="23"/>
        <v>0</v>
      </c>
      <c r="K69" s="178">
        <v>0</v>
      </c>
      <c r="L69" s="80">
        <f t="shared" si="24"/>
        <v>0</v>
      </c>
      <c r="M69" s="178">
        <v>0</v>
      </c>
      <c r="N69" s="80">
        <f t="shared" si="25"/>
        <v>0</v>
      </c>
      <c r="O69" s="178">
        <v>0</v>
      </c>
      <c r="P69" s="80">
        <f t="shared" si="26"/>
        <v>0</v>
      </c>
      <c r="Q69" s="178">
        <v>0</v>
      </c>
      <c r="R69" s="80">
        <f t="shared" si="27"/>
        <v>0</v>
      </c>
      <c r="S69" s="178">
        <v>0</v>
      </c>
      <c r="T69" s="80">
        <f t="shared" si="28"/>
        <v>0</v>
      </c>
      <c r="U69" s="178">
        <v>0</v>
      </c>
      <c r="V69" s="80">
        <f t="shared" si="29"/>
        <v>0</v>
      </c>
      <c r="X69" s="192"/>
    </row>
    <row r="70" spans="1:24" ht="12.75" customHeight="1">
      <c r="A70" s="2" t="s">
        <v>414</v>
      </c>
      <c r="B70" s="35"/>
      <c r="C70" s="178">
        <v>112.17599999999999</v>
      </c>
      <c r="D70" s="80">
        <f t="shared" si="20"/>
        <v>1E-4</v>
      </c>
      <c r="E70" s="178">
        <v>140</v>
      </c>
      <c r="F70" s="80">
        <f t="shared" si="21"/>
        <v>1E-4</v>
      </c>
      <c r="G70" s="178">
        <v>144.80000000000001</v>
      </c>
      <c r="H70" s="80">
        <f t="shared" si="22"/>
        <v>1E-4</v>
      </c>
      <c r="I70" s="178">
        <v>149.79999999999998</v>
      </c>
      <c r="J70" s="80">
        <f t="shared" si="23"/>
        <v>9.9999999999999991E-5</v>
      </c>
      <c r="K70" s="178">
        <v>153.69999999999999</v>
      </c>
      <c r="L70" s="80">
        <f t="shared" si="24"/>
        <v>9.9999999999999991E-5</v>
      </c>
      <c r="M70" s="178">
        <v>156.69999999999999</v>
      </c>
      <c r="N70" s="80">
        <f t="shared" si="25"/>
        <v>9.9999999999999991E-5</v>
      </c>
      <c r="O70" s="178">
        <v>160.80000000000001</v>
      </c>
      <c r="P70" s="80">
        <f t="shared" si="26"/>
        <v>1E-4</v>
      </c>
      <c r="Q70" s="178">
        <v>165.10000000000002</v>
      </c>
      <c r="R70" s="80">
        <f t="shared" si="27"/>
        <v>1.0000000000000002E-4</v>
      </c>
      <c r="S70" s="178">
        <v>169.50000000000003</v>
      </c>
      <c r="T70" s="80">
        <f t="shared" si="28"/>
        <v>1.0000000000000002E-4</v>
      </c>
      <c r="U70" s="178">
        <v>174</v>
      </c>
      <c r="V70" s="80">
        <f t="shared" si="29"/>
        <v>1E-4</v>
      </c>
      <c r="X70" s="192"/>
    </row>
    <row r="71" spans="1:24" ht="12.75" customHeight="1">
      <c r="A71" s="2" t="s">
        <v>415</v>
      </c>
      <c r="B71" s="35"/>
      <c r="C71" s="178">
        <v>0</v>
      </c>
      <c r="D71" s="80">
        <f t="shared" si="20"/>
        <v>0</v>
      </c>
      <c r="E71" s="178">
        <v>0</v>
      </c>
      <c r="F71" s="80">
        <f t="shared" si="21"/>
        <v>0</v>
      </c>
      <c r="G71" s="178">
        <v>0</v>
      </c>
      <c r="H71" s="80">
        <f t="shared" si="22"/>
        <v>0</v>
      </c>
      <c r="I71" s="178">
        <v>0</v>
      </c>
      <c r="J71" s="80">
        <f t="shared" si="23"/>
        <v>0</v>
      </c>
      <c r="K71" s="178">
        <v>0</v>
      </c>
      <c r="L71" s="80">
        <f t="shared" si="24"/>
        <v>0</v>
      </c>
      <c r="M71" s="178">
        <v>0</v>
      </c>
      <c r="N71" s="80">
        <f t="shared" si="25"/>
        <v>0</v>
      </c>
      <c r="O71" s="178">
        <v>0</v>
      </c>
      <c r="P71" s="80">
        <f t="shared" si="26"/>
        <v>0</v>
      </c>
      <c r="Q71" s="178">
        <v>0</v>
      </c>
      <c r="R71" s="80">
        <f t="shared" si="27"/>
        <v>0</v>
      </c>
      <c r="S71" s="178">
        <v>0</v>
      </c>
      <c r="T71" s="80">
        <f t="shared" si="28"/>
        <v>0</v>
      </c>
      <c r="U71" s="178">
        <v>0</v>
      </c>
      <c r="V71" s="80">
        <f t="shared" si="29"/>
        <v>0</v>
      </c>
      <c r="X71" s="192"/>
    </row>
    <row r="72" spans="1:24" ht="12.75" customHeight="1">
      <c r="A72" s="2" t="s">
        <v>416</v>
      </c>
      <c r="B72" s="35"/>
      <c r="C72" s="178">
        <v>0</v>
      </c>
      <c r="D72" s="80">
        <f t="shared" si="20"/>
        <v>0</v>
      </c>
      <c r="E72" s="178">
        <v>0</v>
      </c>
      <c r="F72" s="80">
        <f t="shared" si="21"/>
        <v>0</v>
      </c>
      <c r="G72" s="178">
        <v>0</v>
      </c>
      <c r="H72" s="80">
        <f t="shared" si="22"/>
        <v>0</v>
      </c>
      <c r="I72" s="178">
        <v>0</v>
      </c>
      <c r="J72" s="80">
        <f t="shared" si="23"/>
        <v>0</v>
      </c>
      <c r="K72" s="178">
        <v>0</v>
      </c>
      <c r="L72" s="80">
        <f t="shared" si="24"/>
        <v>0</v>
      </c>
      <c r="M72" s="178">
        <v>0</v>
      </c>
      <c r="N72" s="80">
        <f t="shared" si="25"/>
        <v>0</v>
      </c>
      <c r="O72" s="178">
        <v>0</v>
      </c>
      <c r="P72" s="80">
        <f t="shared" si="26"/>
        <v>0</v>
      </c>
      <c r="Q72" s="178">
        <v>0</v>
      </c>
      <c r="R72" s="80">
        <f t="shared" si="27"/>
        <v>0</v>
      </c>
      <c r="S72" s="178">
        <v>0</v>
      </c>
      <c r="T72" s="80">
        <f t="shared" si="28"/>
        <v>0</v>
      </c>
      <c r="U72" s="178">
        <v>0</v>
      </c>
      <c r="V72" s="80">
        <f t="shared" si="29"/>
        <v>0</v>
      </c>
      <c r="X72" s="192"/>
    </row>
    <row r="73" spans="1:24" ht="12.75" customHeight="1">
      <c r="A73" s="2" t="s">
        <v>417</v>
      </c>
      <c r="B73" s="35"/>
      <c r="C73" s="178">
        <v>0</v>
      </c>
      <c r="D73" s="80">
        <f t="shared" si="20"/>
        <v>0</v>
      </c>
      <c r="E73" s="178">
        <v>0</v>
      </c>
      <c r="F73" s="80">
        <f t="shared" si="21"/>
        <v>0</v>
      </c>
      <c r="G73" s="178">
        <v>0</v>
      </c>
      <c r="H73" s="80">
        <f t="shared" si="22"/>
        <v>0</v>
      </c>
      <c r="I73" s="178">
        <v>0</v>
      </c>
      <c r="J73" s="80">
        <f t="shared" si="23"/>
        <v>0</v>
      </c>
      <c r="K73" s="178">
        <v>0</v>
      </c>
      <c r="L73" s="80">
        <f t="shared" si="24"/>
        <v>0</v>
      </c>
      <c r="M73" s="178">
        <v>0</v>
      </c>
      <c r="N73" s="80">
        <f t="shared" si="25"/>
        <v>0</v>
      </c>
      <c r="O73" s="178">
        <v>0</v>
      </c>
      <c r="P73" s="80">
        <f t="shared" si="26"/>
        <v>0</v>
      </c>
      <c r="Q73" s="178">
        <v>0</v>
      </c>
      <c r="R73" s="80">
        <f t="shared" si="27"/>
        <v>0</v>
      </c>
      <c r="S73" s="178">
        <v>0</v>
      </c>
      <c r="T73" s="80">
        <f t="shared" si="28"/>
        <v>0</v>
      </c>
      <c r="U73" s="178">
        <v>0</v>
      </c>
      <c r="V73" s="80">
        <f t="shared" si="29"/>
        <v>0</v>
      </c>
      <c r="X73" s="192"/>
    </row>
    <row r="74" spans="1:24" ht="12.75" customHeight="1">
      <c r="A74" s="2" t="s">
        <v>418</v>
      </c>
      <c r="B74" s="35"/>
      <c r="C74" s="178">
        <v>0</v>
      </c>
      <c r="D74" s="80">
        <f t="shared" si="20"/>
        <v>0</v>
      </c>
      <c r="E74" s="178">
        <v>0</v>
      </c>
      <c r="F74" s="80">
        <f t="shared" si="21"/>
        <v>0</v>
      </c>
      <c r="G74" s="178">
        <v>0</v>
      </c>
      <c r="H74" s="80">
        <f t="shared" si="22"/>
        <v>0</v>
      </c>
      <c r="I74" s="178">
        <v>0</v>
      </c>
      <c r="J74" s="80">
        <f t="shared" si="23"/>
        <v>0</v>
      </c>
      <c r="K74" s="178">
        <v>0</v>
      </c>
      <c r="L74" s="80">
        <f t="shared" si="24"/>
        <v>0</v>
      </c>
      <c r="M74" s="178">
        <v>0</v>
      </c>
      <c r="N74" s="80">
        <f t="shared" si="25"/>
        <v>0</v>
      </c>
      <c r="O74" s="178">
        <v>0</v>
      </c>
      <c r="P74" s="80">
        <f t="shared" si="26"/>
        <v>0</v>
      </c>
      <c r="Q74" s="178">
        <v>0</v>
      </c>
      <c r="R74" s="80">
        <f t="shared" si="27"/>
        <v>0</v>
      </c>
      <c r="S74" s="178">
        <v>0</v>
      </c>
      <c r="T74" s="80">
        <f t="shared" si="28"/>
        <v>0</v>
      </c>
      <c r="U74" s="178">
        <v>0</v>
      </c>
      <c r="V74" s="80">
        <f t="shared" si="29"/>
        <v>0</v>
      </c>
      <c r="X74" s="192"/>
    </row>
    <row r="75" spans="1:24" ht="12.75" customHeight="1">
      <c r="A75" s="2" t="s">
        <v>419</v>
      </c>
      <c r="B75" s="35"/>
      <c r="C75" s="178">
        <v>5047.9199999999992</v>
      </c>
      <c r="D75" s="80">
        <f t="shared" si="20"/>
        <v>4.5000000000000005E-3</v>
      </c>
      <c r="E75" s="178">
        <v>6299.9999999999991</v>
      </c>
      <c r="F75" s="80">
        <f t="shared" si="21"/>
        <v>4.4999999999999997E-3</v>
      </c>
      <c r="G75" s="178">
        <v>6515.9999999999991</v>
      </c>
      <c r="H75" s="80">
        <f t="shared" si="22"/>
        <v>4.4999999999999997E-3</v>
      </c>
      <c r="I75" s="178">
        <v>6740.9999999999991</v>
      </c>
      <c r="J75" s="80">
        <f t="shared" si="23"/>
        <v>4.4999999999999997E-3</v>
      </c>
      <c r="K75" s="178">
        <v>6916.4999999999991</v>
      </c>
      <c r="L75" s="80">
        <f t="shared" si="24"/>
        <v>4.4999999999999997E-3</v>
      </c>
      <c r="M75" s="178">
        <v>7051.5</v>
      </c>
      <c r="N75" s="80">
        <f t="shared" si="25"/>
        <v>4.4999999999999997E-3</v>
      </c>
      <c r="O75" s="178">
        <v>7236</v>
      </c>
      <c r="P75" s="80">
        <f t="shared" si="26"/>
        <v>4.4999999999999997E-3</v>
      </c>
      <c r="Q75" s="178">
        <v>7429.5</v>
      </c>
      <c r="R75" s="80">
        <f t="shared" si="27"/>
        <v>4.4999999999999997E-3</v>
      </c>
      <c r="S75" s="178">
        <v>7627.5</v>
      </c>
      <c r="T75" s="80">
        <f t="shared" si="28"/>
        <v>4.4999999999999997E-3</v>
      </c>
      <c r="U75" s="178">
        <v>7830</v>
      </c>
      <c r="V75" s="80">
        <f t="shared" si="29"/>
        <v>4.4999999999999997E-3</v>
      </c>
      <c r="X75" s="192"/>
    </row>
    <row r="76" spans="1:24" ht="12.75" customHeight="1">
      <c r="A76" s="2" t="s">
        <v>420</v>
      </c>
      <c r="B76" s="35"/>
      <c r="C76" s="178">
        <v>448.70399999999995</v>
      </c>
      <c r="D76" s="80">
        <f t="shared" si="20"/>
        <v>4.0000000000000002E-4</v>
      </c>
      <c r="E76" s="178">
        <v>560</v>
      </c>
      <c r="F76" s="80">
        <f t="shared" si="21"/>
        <v>4.0000000000000002E-4</v>
      </c>
      <c r="G76" s="178">
        <v>579.20000000000005</v>
      </c>
      <c r="H76" s="80">
        <f t="shared" si="22"/>
        <v>4.0000000000000002E-4</v>
      </c>
      <c r="I76" s="178">
        <v>599.19999999999993</v>
      </c>
      <c r="J76" s="80">
        <f t="shared" si="23"/>
        <v>3.9999999999999996E-4</v>
      </c>
      <c r="K76" s="178">
        <v>614.79999999999995</v>
      </c>
      <c r="L76" s="80">
        <f t="shared" si="24"/>
        <v>3.9999999999999996E-4</v>
      </c>
      <c r="M76" s="178">
        <v>626.79999999999995</v>
      </c>
      <c r="N76" s="80">
        <f t="shared" si="25"/>
        <v>3.9999999999999996E-4</v>
      </c>
      <c r="O76" s="178">
        <v>643.20000000000005</v>
      </c>
      <c r="P76" s="80">
        <f t="shared" si="26"/>
        <v>4.0000000000000002E-4</v>
      </c>
      <c r="Q76" s="178">
        <v>660.40000000000009</v>
      </c>
      <c r="R76" s="80">
        <f t="shared" si="27"/>
        <v>4.0000000000000007E-4</v>
      </c>
      <c r="S76" s="178">
        <v>678.00000000000011</v>
      </c>
      <c r="T76" s="80">
        <f t="shared" si="28"/>
        <v>4.0000000000000007E-4</v>
      </c>
      <c r="U76" s="178">
        <v>696</v>
      </c>
      <c r="V76" s="80">
        <f t="shared" si="29"/>
        <v>4.0000000000000002E-4</v>
      </c>
      <c r="X76" s="192"/>
    </row>
    <row r="77" spans="1:24" ht="12.75" customHeight="1">
      <c r="A77" s="2" t="s">
        <v>421</v>
      </c>
      <c r="B77" s="35"/>
      <c r="C77" s="178">
        <v>1458.2879999999998</v>
      </c>
      <c r="D77" s="80">
        <f t="shared" si="20"/>
        <v>1.3000000000000002E-3</v>
      </c>
      <c r="E77" s="178">
        <v>1819.9999999999998</v>
      </c>
      <c r="F77" s="80">
        <f t="shared" si="21"/>
        <v>1.2999999999999999E-3</v>
      </c>
      <c r="G77" s="178">
        <v>1882.3999999999999</v>
      </c>
      <c r="H77" s="80">
        <f t="shared" si="22"/>
        <v>1.2999999999999999E-3</v>
      </c>
      <c r="I77" s="178">
        <v>1947.3999999999999</v>
      </c>
      <c r="J77" s="80">
        <f t="shared" si="23"/>
        <v>1.2999999999999999E-3</v>
      </c>
      <c r="K77" s="178">
        <v>1998.0999999999997</v>
      </c>
      <c r="L77" s="80">
        <f t="shared" si="24"/>
        <v>1.2999999999999997E-3</v>
      </c>
      <c r="M77" s="178">
        <v>2037.1</v>
      </c>
      <c r="N77" s="80">
        <f t="shared" si="25"/>
        <v>1.2999999999999999E-3</v>
      </c>
      <c r="O77" s="178">
        <v>2090.3999999999996</v>
      </c>
      <c r="P77" s="80">
        <f t="shared" si="26"/>
        <v>1.2999999999999997E-3</v>
      </c>
      <c r="Q77" s="178">
        <v>2146.2999999999997</v>
      </c>
      <c r="R77" s="80">
        <f t="shared" si="27"/>
        <v>1.2999999999999999E-3</v>
      </c>
      <c r="S77" s="178">
        <v>2203.5</v>
      </c>
      <c r="T77" s="80">
        <f t="shared" si="28"/>
        <v>1.2999999999999999E-3</v>
      </c>
      <c r="U77" s="178">
        <v>2262</v>
      </c>
      <c r="V77" s="80">
        <f t="shared" si="29"/>
        <v>1.2999999999999999E-3</v>
      </c>
      <c r="X77" s="192"/>
    </row>
    <row r="78" spans="1:24" ht="12.75" customHeight="1">
      <c r="A78" s="2" t="s">
        <v>422</v>
      </c>
      <c r="B78" s="35"/>
      <c r="C78" s="178">
        <v>24678.719999999994</v>
      </c>
      <c r="D78" s="80">
        <f t="shared" si="20"/>
        <v>2.1999999999999999E-2</v>
      </c>
      <c r="E78" s="178">
        <v>30799.999999999996</v>
      </c>
      <c r="F78" s="80">
        <f t="shared" si="21"/>
        <v>2.1999999999999999E-2</v>
      </c>
      <c r="G78" s="178">
        <v>31855.999999999996</v>
      </c>
      <c r="H78" s="80">
        <f t="shared" si="22"/>
        <v>2.1999999999999999E-2</v>
      </c>
      <c r="I78" s="178">
        <v>32955.999999999993</v>
      </c>
      <c r="J78" s="80">
        <f t="shared" si="23"/>
        <v>2.1999999999999995E-2</v>
      </c>
      <c r="K78" s="178">
        <v>33814</v>
      </c>
      <c r="L78" s="80">
        <f t="shared" si="24"/>
        <v>2.1999999999999999E-2</v>
      </c>
      <c r="M78" s="178">
        <v>34474</v>
      </c>
      <c r="N78" s="80">
        <f t="shared" si="25"/>
        <v>2.1999999999999999E-2</v>
      </c>
      <c r="O78" s="178">
        <v>35376</v>
      </c>
      <c r="P78" s="80">
        <f t="shared" si="26"/>
        <v>2.1999999999999999E-2</v>
      </c>
      <c r="Q78" s="178">
        <v>36322</v>
      </c>
      <c r="R78" s="80">
        <f t="shared" si="27"/>
        <v>2.1999999999999999E-2</v>
      </c>
      <c r="S78" s="178">
        <v>37290</v>
      </c>
      <c r="T78" s="80">
        <f t="shared" si="28"/>
        <v>2.1999999999999999E-2</v>
      </c>
      <c r="U78" s="178">
        <v>38280</v>
      </c>
      <c r="V78" s="80">
        <f t="shared" si="29"/>
        <v>2.1999999999999999E-2</v>
      </c>
      <c r="X78" s="192"/>
    </row>
    <row r="79" spans="1:24" ht="12.75" customHeight="1">
      <c r="A79" s="2" t="s">
        <v>423</v>
      </c>
      <c r="B79" s="35"/>
      <c r="C79" s="178">
        <v>0</v>
      </c>
      <c r="D79" s="80">
        <f t="shared" si="20"/>
        <v>0</v>
      </c>
      <c r="E79" s="178">
        <v>0</v>
      </c>
      <c r="F79" s="80">
        <f t="shared" si="21"/>
        <v>0</v>
      </c>
      <c r="G79" s="178">
        <v>0</v>
      </c>
      <c r="H79" s="80">
        <f t="shared" si="22"/>
        <v>0</v>
      </c>
      <c r="I79" s="178">
        <v>0</v>
      </c>
      <c r="J79" s="80">
        <f t="shared" si="23"/>
        <v>0</v>
      </c>
      <c r="K79" s="178">
        <v>0</v>
      </c>
      <c r="L79" s="80">
        <f t="shared" si="24"/>
        <v>0</v>
      </c>
      <c r="M79" s="178">
        <v>0</v>
      </c>
      <c r="N79" s="80">
        <f t="shared" si="25"/>
        <v>0</v>
      </c>
      <c r="O79" s="178">
        <v>0</v>
      </c>
      <c r="P79" s="80">
        <f t="shared" si="26"/>
        <v>0</v>
      </c>
      <c r="Q79" s="178">
        <v>0</v>
      </c>
      <c r="R79" s="80">
        <f t="shared" si="27"/>
        <v>0</v>
      </c>
      <c r="S79" s="178">
        <v>0</v>
      </c>
      <c r="T79" s="80">
        <f t="shared" si="28"/>
        <v>0</v>
      </c>
      <c r="U79" s="178">
        <v>0</v>
      </c>
      <c r="V79" s="80">
        <f t="shared" si="29"/>
        <v>0</v>
      </c>
      <c r="X79" s="192"/>
    </row>
    <row r="80" spans="1:24" ht="12.75" customHeight="1">
      <c r="A80" s="2" t="s">
        <v>424</v>
      </c>
      <c r="B80" s="35"/>
      <c r="C80" s="178">
        <v>0</v>
      </c>
      <c r="D80" s="80">
        <f t="shared" si="20"/>
        <v>0</v>
      </c>
      <c r="E80" s="178">
        <v>0</v>
      </c>
      <c r="F80" s="80">
        <f t="shared" si="21"/>
        <v>0</v>
      </c>
      <c r="G80" s="178">
        <v>0</v>
      </c>
      <c r="H80" s="80">
        <f t="shared" si="22"/>
        <v>0</v>
      </c>
      <c r="I80" s="178">
        <v>0</v>
      </c>
      <c r="J80" s="80">
        <f t="shared" si="23"/>
        <v>0</v>
      </c>
      <c r="K80" s="178">
        <v>0</v>
      </c>
      <c r="L80" s="80">
        <f t="shared" si="24"/>
        <v>0</v>
      </c>
      <c r="M80" s="178">
        <v>0</v>
      </c>
      <c r="N80" s="80">
        <f t="shared" si="25"/>
        <v>0</v>
      </c>
      <c r="O80" s="178">
        <v>0</v>
      </c>
      <c r="P80" s="80">
        <f t="shared" si="26"/>
        <v>0</v>
      </c>
      <c r="Q80" s="178">
        <v>0</v>
      </c>
      <c r="R80" s="80">
        <f t="shared" si="27"/>
        <v>0</v>
      </c>
      <c r="S80" s="178">
        <v>0</v>
      </c>
      <c r="T80" s="80">
        <f t="shared" si="28"/>
        <v>0</v>
      </c>
      <c r="U80" s="178">
        <v>0</v>
      </c>
      <c r="V80" s="80">
        <f t="shared" si="29"/>
        <v>0</v>
      </c>
      <c r="X80" s="192"/>
    </row>
    <row r="81" spans="1:24" ht="12.75" customHeight="1">
      <c r="A81" s="2" t="s">
        <v>425</v>
      </c>
      <c r="B81" s="35"/>
      <c r="C81" s="178">
        <v>0</v>
      </c>
      <c r="D81" s="80">
        <f t="shared" si="20"/>
        <v>0</v>
      </c>
      <c r="E81" s="178">
        <v>0</v>
      </c>
      <c r="F81" s="80">
        <f t="shared" si="21"/>
        <v>0</v>
      </c>
      <c r="G81" s="178">
        <v>0</v>
      </c>
      <c r="H81" s="80">
        <f t="shared" si="22"/>
        <v>0</v>
      </c>
      <c r="I81" s="178">
        <v>0</v>
      </c>
      <c r="J81" s="80">
        <f t="shared" si="23"/>
        <v>0</v>
      </c>
      <c r="K81" s="178">
        <v>0</v>
      </c>
      <c r="L81" s="80">
        <f t="shared" si="24"/>
        <v>0</v>
      </c>
      <c r="M81" s="178">
        <v>0</v>
      </c>
      <c r="N81" s="80">
        <f t="shared" si="25"/>
        <v>0</v>
      </c>
      <c r="O81" s="178">
        <v>0</v>
      </c>
      <c r="P81" s="80">
        <f t="shared" si="26"/>
        <v>0</v>
      </c>
      <c r="Q81" s="178">
        <v>0</v>
      </c>
      <c r="R81" s="80">
        <f t="shared" si="27"/>
        <v>0</v>
      </c>
      <c r="S81" s="178">
        <v>0</v>
      </c>
      <c r="T81" s="80">
        <f t="shared" si="28"/>
        <v>0</v>
      </c>
      <c r="U81" s="178">
        <v>0</v>
      </c>
      <c r="V81" s="80">
        <f t="shared" si="29"/>
        <v>0</v>
      </c>
      <c r="X81" s="192"/>
    </row>
    <row r="82" spans="1:24" ht="12.75" customHeight="1">
      <c r="A82" s="2" t="s">
        <v>426</v>
      </c>
      <c r="B82" s="35"/>
      <c r="C82" s="178">
        <v>0</v>
      </c>
      <c r="D82" s="80">
        <f t="shared" si="20"/>
        <v>0</v>
      </c>
      <c r="E82" s="178">
        <v>0</v>
      </c>
      <c r="F82" s="80">
        <f t="shared" si="21"/>
        <v>0</v>
      </c>
      <c r="G82" s="178">
        <v>0</v>
      </c>
      <c r="H82" s="80">
        <f t="shared" si="22"/>
        <v>0</v>
      </c>
      <c r="I82" s="178">
        <v>0</v>
      </c>
      <c r="J82" s="80">
        <f t="shared" si="23"/>
        <v>0</v>
      </c>
      <c r="K82" s="178">
        <v>0</v>
      </c>
      <c r="L82" s="80">
        <f t="shared" si="24"/>
        <v>0</v>
      </c>
      <c r="M82" s="178">
        <v>0</v>
      </c>
      <c r="N82" s="80">
        <f t="shared" si="25"/>
        <v>0</v>
      </c>
      <c r="O82" s="178">
        <v>0</v>
      </c>
      <c r="P82" s="80">
        <f t="shared" si="26"/>
        <v>0</v>
      </c>
      <c r="Q82" s="178">
        <v>0</v>
      </c>
      <c r="R82" s="80">
        <f t="shared" si="27"/>
        <v>0</v>
      </c>
      <c r="S82" s="178">
        <v>0</v>
      </c>
      <c r="T82" s="80">
        <f t="shared" si="28"/>
        <v>0</v>
      </c>
      <c r="U82" s="178">
        <v>0</v>
      </c>
      <c r="V82" s="80">
        <f t="shared" si="29"/>
        <v>0</v>
      </c>
      <c r="X82" s="192"/>
    </row>
    <row r="83" spans="1:24" ht="12.75" customHeight="1">
      <c r="A83" s="2" t="s">
        <v>427</v>
      </c>
      <c r="B83" s="35"/>
      <c r="C83" s="178">
        <v>0</v>
      </c>
      <c r="D83" s="80">
        <f t="shared" si="20"/>
        <v>0</v>
      </c>
      <c r="E83" s="178">
        <v>0</v>
      </c>
      <c r="F83" s="80">
        <f t="shared" si="21"/>
        <v>0</v>
      </c>
      <c r="G83" s="178">
        <v>0</v>
      </c>
      <c r="H83" s="80">
        <f t="shared" si="22"/>
        <v>0</v>
      </c>
      <c r="I83" s="178">
        <v>0</v>
      </c>
      <c r="J83" s="80">
        <f t="shared" si="23"/>
        <v>0</v>
      </c>
      <c r="K83" s="178">
        <v>0</v>
      </c>
      <c r="L83" s="80">
        <f t="shared" si="24"/>
        <v>0</v>
      </c>
      <c r="M83" s="178">
        <v>0</v>
      </c>
      <c r="N83" s="80">
        <f t="shared" si="25"/>
        <v>0</v>
      </c>
      <c r="O83" s="178">
        <v>0</v>
      </c>
      <c r="P83" s="80">
        <f t="shared" si="26"/>
        <v>0</v>
      </c>
      <c r="Q83" s="178">
        <v>0</v>
      </c>
      <c r="R83" s="80">
        <f t="shared" si="27"/>
        <v>0</v>
      </c>
      <c r="S83" s="178">
        <v>0</v>
      </c>
      <c r="T83" s="80">
        <f t="shared" si="28"/>
        <v>0</v>
      </c>
      <c r="U83" s="178">
        <v>0</v>
      </c>
      <c r="V83" s="80">
        <f t="shared" si="29"/>
        <v>0</v>
      </c>
      <c r="X83" s="192"/>
    </row>
    <row r="84" spans="1:24" ht="12.75" customHeight="1">
      <c r="A84" s="2" t="s">
        <v>428</v>
      </c>
      <c r="B84" s="35"/>
      <c r="C84" s="178">
        <v>0</v>
      </c>
      <c r="D84" s="80">
        <f t="shared" si="20"/>
        <v>0</v>
      </c>
      <c r="E84" s="178">
        <v>0</v>
      </c>
      <c r="F84" s="80">
        <f t="shared" si="21"/>
        <v>0</v>
      </c>
      <c r="G84" s="178">
        <v>0</v>
      </c>
      <c r="H84" s="80">
        <f t="shared" si="22"/>
        <v>0</v>
      </c>
      <c r="I84" s="178">
        <v>0</v>
      </c>
      <c r="J84" s="80">
        <f t="shared" si="23"/>
        <v>0</v>
      </c>
      <c r="K84" s="178">
        <v>0</v>
      </c>
      <c r="L84" s="80">
        <f t="shared" si="24"/>
        <v>0</v>
      </c>
      <c r="M84" s="178">
        <v>0</v>
      </c>
      <c r="N84" s="80">
        <f t="shared" si="25"/>
        <v>0</v>
      </c>
      <c r="O84" s="178">
        <v>0</v>
      </c>
      <c r="P84" s="80">
        <f t="shared" si="26"/>
        <v>0</v>
      </c>
      <c r="Q84" s="178">
        <v>0</v>
      </c>
      <c r="R84" s="80">
        <f t="shared" si="27"/>
        <v>0</v>
      </c>
      <c r="S84" s="178">
        <v>0</v>
      </c>
      <c r="T84" s="80">
        <f t="shared" si="28"/>
        <v>0</v>
      </c>
      <c r="U84" s="178">
        <v>0</v>
      </c>
      <c r="V84" s="80">
        <f t="shared" si="29"/>
        <v>0</v>
      </c>
      <c r="X84" s="192"/>
    </row>
    <row r="85" spans="1:24" ht="12.75" customHeight="1">
      <c r="A85" s="2" t="s">
        <v>429</v>
      </c>
      <c r="B85" s="35"/>
      <c r="C85" s="178">
        <v>0</v>
      </c>
      <c r="D85" s="80">
        <f t="shared" si="20"/>
        <v>0</v>
      </c>
      <c r="E85" s="178">
        <v>0</v>
      </c>
      <c r="F85" s="80">
        <f t="shared" si="21"/>
        <v>0</v>
      </c>
      <c r="G85" s="178">
        <v>0</v>
      </c>
      <c r="H85" s="80">
        <f t="shared" si="22"/>
        <v>0</v>
      </c>
      <c r="I85" s="178">
        <v>0</v>
      </c>
      <c r="J85" s="80">
        <f t="shared" si="23"/>
        <v>0</v>
      </c>
      <c r="K85" s="178">
        <v>0</v>
      </c>
      <c r="L85" s="80">
        <f t="shared" si="24"/>
        <v>0</v>
      </c>
      <c r="M85" s="178">
        <v>0</v>
      </c>
      <c r="N85" s="80">
        <f t="shared" si="25"/>
        <v>0</v>
      </c>
      <c r="O85" s="178">
        <v>0</v>
      </c>
      <c r="P85" s="80">
        <f t="shared" si="26"/>
        <v>0</v>
      </c>
      <c r="Q85" s="178">
        <v>0</v>
      </c>
      <c r="R85" s="80">
        <f t="shared" si="27"/>
        <v>0</v>
      </c>
      <c r="S85" s="178">
        <v>0</v>
      </c>
      <c r="T85" s="80">
        <f t="shared" si="28"/>
        <v>0</v>
      </c>
      <c r="U85" s="178">
        <v>0</v>
      </c>
      <c r="V85" s="80">
        <f t="shared" si="29"/>
        <v>0</v>
      </c>
      <c r="X85" s="192"/>
    </row>
    <row r="86" spans="1:24" ht="12.75" customHeight="1">
      <c r="A86" s="2" t="s">
        <v>430</v>
      </c>
      <c r="B86" s="35"/>
      <c r="C86" s="178">
        <v>4487.0399999999991</v>
      </c>
      <c r="D86" s="80">
        <f t="shared" si="20"/>
        <v>4.0000000000000001E-3</v>
      </c>
      <c r="E86" s="178">
        <v>5600</v>
      </c>
      <c r="F86" s="80">
        <f t="shared" si="21"/>
        <v>4.0000000000000001E-3</v>
      </c>
      <c r="G86" s="178">
        <v>5792</v>
      </c>
      <c r="H86" s="80">
        <f t="shared" si="22"/>
        <v>4.0000000000000001E-3</v>
      </c>
      <c r="I86" s="178">
        <v>5992</v>
      </c>
      <c r="J86" s="80">
        <f t="shared" si="23"/>
        <v>4.0000000000000001E-3</v>
      </c>
      <c r="K86" s="178">
        <v>6148</v>
      </c>
      <c r="L86" s="80">
        <f t="shared" si="24"/>
        <v>4.0000000000000001E-3</v>
      </c>
      <c r="M86" s="178">
        <v>6268</v>
      </c>
      <c r="N86" s="80">
        <f t="shared" si="25"/>
        <v>4.0000000000000001E-3</v>
      </c>
      <c r="O86" s="178">
        <v>6432.0000000000009</v>
      </c>
      <c r="P86" s="80">
        <f t="shared" si="26"/>
        <v>4.000000000000001E-3</v>
      </c>
      <c r="Q86" s="178">
        <v>6604</v>
      </c>
      <c r="R86" s="80">
        <f t="shared" si="27"/>
        <v>4.0000000000000001E-3</v>
      </c>
      <c r="S86" s="178">
        <v>6780</v>
      </c>
      <c r="T86" s="80">
        <f t="shared" si="28"/>
        <v>4.0000000000000001E-3</v>
      </c>
      <c r="U86" s="178">
        <v>6960</v>
      </c>
      <c r="V86" s="80">
        <f t="shared" si="29"/>
        <v>4.0000000000000001E-3</v>
      </c>
      <c r="X86" s="192"/>
    </row>
    <row r="87" spans="1:24" ht="12.75" customHeight="1">
      <c r="A87" s="2" t="s">
        <v>431</v>
      </c>
      <c r="B87" s="35"/>
      <c r="C87" s="178">
        <v>0</v>
      </c>
      <c r="D87" s="80">
        <f t="shared" si="20"/>
        <v>0</v>
      </c>
      <c r="E87" s="178">
        <v>0</v>
      </c>
      <c r="F87" s="80">
        <f t="shared" si="21"/>
        <v>0</v>
      </c>
      <c r="G87" s="178">
        <v>0</v>
      </c>
      <c r="H87" s="80">
        <f t="shared" si="22"/>
        <v>0</v>
      </c>
      <c r="I87" s="178">
        <v>0</v>
      </c>
      <c r="J87" s="80">
        <f t="shared" si="23"/>
        <v>0</v>
      </c>
      <c r="K87" s="178">
        <v>0</v>
      </c>
      <c r="L87" s="80">
        <f t="shared" si="24"/>
        <v>0</v>
      </c>
      <c r="M87" s="178">
        <v>0</v>
      </c>
      <c r="N87" s="80">
        <f t="shared" si="25"/>
        <v>0</v>
      </c>
      <c r="O87" s="178">
        <v>0</v>
      </c>
      <c r="P87" s="80">
        <f t="shared" si="26"/>
        <v>0</v>
      </c>
      <c r="Q87" s="178">
        <v>0</v>
      </c>
      <c r="R87" s="80">
        <f t="shared" si="27"/>
        <v>0</v>
      </c>
      <c r="S87" s="178">
        <v>0</v>
      </c>
      <c r="T87" s="80">
        <f t="shared" si="28"/>
        <v>0</v>
      </c>
      <c r="U87" s="178">
        <v>0</v>
      </c>
      <c r="V87" s="80">
        <f t="shared" si="29"/>
        <v>0</v>
      </c>
      <c r="X87" s="192"/>
    </row>
    <row r="88" spans="1:24" ht="12.75" customHeight="1">
      <c r="A88" s="2" t="s">
        <v>432</v>
      </c>
      <c r="B88" s="35"/>
      <c r="C88" s="178">
        <v>5720.9759999999997</v>
      </c>
      <c r="D88" s="80">
        <f t="shared" si="20"/>
        <v>5.1000000000000004E-3</v>
      </c>
      <c r="E88" s="178">
        <v>7140</v>
      </c>
      <c r="F88" s="80">
        <f t="shared" si="21"/>
        <v>5.1000000000000004E-3</v>
      </c>
      <c r="G88" s="178">
        <v>7384.8000000000011</v>
      </c>
      <c r="H88" s="80">
        <f t="shared" si="22"/>
        <v>5.1000000000000004E-3</v>
      </c>
      <c r="I88" s="178">
        <v>7639.8</v>
      </c>
      <c r="J88" s="80">
        <f t="shared" si="23"/>
        <v>5.1000000000000004E-3</v>
      </c>
      <c r="K88" s="178">
        <v>7838.7</v>
      </c>
      <c r="L88" s="80">
        <f t="shared" si="24"/>
        <v>5.0999999999999995E-3</v>
      </c>
      <c r="M88" s="178">
        <v>7991.7000000000007</v>
      </c>
      <c r="N88" s="80">
        <f t="shared" si="25"/>
        <v>5.1000000000000004E-3</v>
      </c>
      <c r="O88" s="178">
        <v>8200.8000000000011</v>
      </c>
      <c r="P88" s="80">
        <f t="shared" si="26"/>
        <v>5.1000000000000004E-3</v>
      </c>
      <c r="Q88" s="178">
        <v>8420.1</v>
      </c>
      <c r="R88" s="80">
        <f t="shared" si="27"/>
        <v>5.1000000000000004E-3</v>
      </c>
      <c r="S88" s="178">
        <v>8644.5</v>
      </c>
      <c r="T88" s="80">
        <f t="shared" si="28"/>
        <v>5.1000000000000004E-3</v>
      </c>
      <c r="U88" s="178">
        <v>8874</v>
      </c>
      <c r="V88" s="80">
        <f t="shared" si="29"/>
        <v>5.1000000000000004E-3</v>
      </c>
      <c r="X88" s="192"/>
    </row>
    <row r="89" spans="1:24" ht="12.75" customHeight="1">
      <c r="A89" s="2" t="s">
        <v>433</v>
      </c>
      <c r="B89" s="35"/>
      <c r="C89" s="178">
        <v>0</v>
      </c>
      <c r="D89" s="80">
        <f t="shared" si="20"/>
        <v>0</v>
      </c>
      <c r="E89" s="178">
        <v>0</v>
      </c>
      <c r="F89" s="80">
        <f t="shared" si="21"/>
        <v>0</v>
      </c>
      <c r="G89" s="178">
        <v>0</v>
      </c>
      <c r="H89" s="80">
        <f t="shared" si="22"/>
        <v>0</v>
      </c>
      <c r="I89" s="178">
        <v>0</v>
      </c>
      <c r="J89" s="80">
        <f t="shared" si="23"/>
        <v>0</v>
      </c>
      <c r="K89" s="178">
        <v>0</v>
      </c>
      <c r="L89" s="80">
        <f t="shared" si="24"/>
        <v>0</v>
      </c>
      <c r="M89" s="178">
        <v>0</v>
      </c>
      <c r="N89" s="80">
        <f t="shared" si="25"/>
        <v>0</v>
      </c>
      <c r="O89" s="178">
        <v>0</v>
      </c>
      <c r="P89" s="80">
        <f t="shared" si="26"/>
        <v>0</v>
      </c>
      <c r="Q89" s="178">
        <v>0</v>
      </c>
      <c r="R89" s="80">
        <f t="shared" si="27"/>
        <v>0</v>
      </c>
      <c r="S89" s="178">
        <v>0</v>
      </c>
      <c r="T89" s="80">
        <f t="shared" si="28"/>
        <v>0</v>
      </c>
      <c r="U89" s="178">
        <v>0</v>
      </c>
      <c r="V89" s="80">
        <f t="shared" si="29"/>
        <v>0</v>
      </c>
      <c r="X89" s="192"/>
    </row>
    <row r="90" spans="1:24" ht="12.75" customHeight="1">
      <c r="A90" s="2" t="s">
        <v>434</v>
      </c>
      <c r="B90" s="35"/>
      <c r="C90" s="178">
        <v>224.35199999999998</v>
      </c>
      <c r="D90" s="80">
        <f t="shared" si="20"/>
        <v>2.0000000000000001E-4</v>
      </c>
      <c r="E90" s="178">
        <v>280</v>
      </c>
      <c r="F90" s="80">
        <f t="shared" si="21"/>
        <v>2.0000000000000001E-4</v>
      </c>
      <c r="G90" s="178">
        <v>289.60000000000002</v>
      </c>
      <c r="H90" s="80">
        <f t="shared" si="22"/>
        <v>2.0000000000000001E-4</v>
      </c>
      <c r="I90" s="178">
        <v>299.59999999999997</v>
      </c>
      <c r="J90" s="80">
        <f t="shared" si="23"/>
        <v>1.9999999999999998E-4</v>
      </c>
      <c r="K90" s="178">
        <v>307.39999999999998</v>
      </c>
      <c r="L90" s="80">
        <f t="shared" si="24"/>
        <v>1.9999999999999998E-4</v>
      </c>
      <c r="M90" s="178">
        <v>313.39999999999998</v>
      </c>
      <c r="N90" s="80">
        <f t="shared" si="25"/>
        <v>1.9999999999999998E-4</v>
      </c>
      <c r="O90" s="178">
        <v>321.60000000000002</v>
      </c>
      <c r="P90" s="80">
        <f t="shared" si="26"/>
        <v>2.0000000000000001E-4</v>
      </c>
      <c r="Q90" s="178">
        <v>330.20000000000005</v>
      </c>
      <c r="R90" s="80">
        <f t="shared" si="27"/>
        <v>2.0000000000000004E-4</v>
      </c>
      <c r="S90" s="178">
        <v>339.00000000000006</v>
      </c>
      <c r="T90" s="80">
        <f t="shared" si="28"/>
        <v>2.0000000000000004E-4</v>
      </c>
      <c r="U90" s="178">
        <v>348</v>
      </c>
      <c r="V90" s="80">
        <f t="shared" si="29"/>
        <v>2.0000000000000001E-4</v>
      </c>
      <c r="X90" s="192"/>
    </row>
    <row r="91" spans="1:24" ht="12.75" customHeight="1">
      <c r="A91" s="2" t="s">
        <v>435</v>
      </c>
      <c r="C91" s="178">
        <v>0</v>
      </c>
      <c r="D91" s="80">
        <f t="shared" si="20"/>
        <v>0</v>
      </c>
      <c r="E91" s="178">
        <v>0</v>
      </c>
      <c r="F91" s="80">
        <f t="shared" si="21"/>
        <v>0</v>
      </c>
      <c r="G91" s="178">
        <v>0</v>
      </c>
      <c r="H91" s="80">
        <f t="shared" si="22"/>
        <v>0</v>
      </c>
      <c r="I91" s="178">
        <v>0</v>
      </c>
      <c r="J91" s="80">
        <f t="shared" si="23"/>
        <v>0</v>
      </c>
      <c r="K91" s="178">
        <v>0</v>
      </c>
      <c r="L91" s="80">
        <f t="shared" si="24"/>
        <v>0</v>
      </c>
      <c r="M91" s="178">
        <v>0</v>
      </c>
      <c r="N91" s="80">
        <f t="shared" si="25"/>
        <v>0</v>
      </c>
      <c r="O91" s="178">
        <v>0</v>
      </c>
      <c r="P91" s="80">
        <f t="shared" si="26"/>
        <v>0</v>
      </c>
      <c r="Q91" s="178">
        <v>0</v>
      </c>
      <c r="R91" s="80">
        <f t="shared" si="27"/>
        <v>0</v>
      </c>
      <c r="S91" s="178">
        <v>0</v>
      </c>
      <c r="T91" s="80">
        <f t="shared" si="28"/>
        <v>0</v>
      </c>
      <c r="U91" s="178">
        <v>0</v>
      </c>
      <c r="V91" s="80">
        <f t="shared" si="29"/>
        <v>0</v>
      </c>
      <c r="X91" s="192"/>
    </row>
    <row r="92" spans="1:24" ht="12.75" customHeight="1">
      <c r="A92" s="2" t="s">
        <v>436</v>
      </c>
      <c r="B92" s="35"/>
      <c r="C92" s="178">
        <v>5833.1519999999991</v>
      </c>
      <c r="D92" s="80">
        <f t="shared" si="20"/>
        <v>5.2000000000000006E-3</v>
      </c>
      <c r="E92" s="178">
        <v>7279.9999999999991</v>
      </c>
      <c r="F92" s="80">
        <f t="shared" si="21"/>
        <v>5.1999999999999998E-3</v>
      </c>
      <c r="G92" s="178">
        <v>7529.5999999999995</v>
      </c>
      <c r="H92" s="80">
        <f t="shared" si="22"/>
        <v>5.1999999999999998E-3</v>
      </c>
      <c r="I92" s="178">
        <v>7789.5999999999995</v>
      </c>
      <c r="J92" s="80">
        <f t="shared" si="23"/>
        <v>5.1999999999999998E-3</v>
      </c>
      <c r="K92" s="178">
        <v>7992.3999999999987</v>
      </c>
      <c r="L92" s="80">
        <f t="shared" si="24"/>
        <v>5.1999999999999989E-3</v>
      </c>
      <c r="M92" s="178">
        <v>8148.4</v>
      </c>
      <c r="N92" s="80">
        <f t="shared" si="25"/>
        <v>5.1999999999999998E-3</v>
      </c>
      <c r="O92" s="178">
        <v>8361.5999999999985</v>
      </c>
      <c r="P92" s="80">
        <f t="shared" si="26"/>
        <v>5.1999999999999989E-3</v>
      </c>
      <c r="Q92" s="178">
        <v>8585.1999999999989</v>
      </c>
      <c r="R92" s="80">
        <f t="shared" si="27"/>
        <v>5.1999999999999998E-3</v>
      </c>
      <c r="S92" s="178">
        <v>8814</v>
      </c>
      <c r="T92" s="80">
        <f t="shared" si="28"/>
        <v>5.1999999999999998E-3</v>
      </c>
      <c r="U92" s="178">
        <v>9048</v>
      </c>
      <c r="V92" s="80">
        <f t="shared" si="29"/>
        <v>5.1999999999999998E-3</v>
      </c>
      <c r="X92" s="192"/>
    </row>
    <row r="93" spans="1:24" ht="12.75" customHeight="1">
      <c r="A93" s="2" t="s">
        <v>437</v>
      </c>
      <c r="B93" s="35"/>
      <c r="C93" s="178">
        <v>0</v>
      </c>
      <c r="D93" s="80">
        <f t="shared" si="20"/>
        <v>0</v>
      </c>
      <c r="E93" s="178">
        <v>0</v>
      </c>
      <c r="F93" s="80">
        <f t="shared" si="21"/>
        <v>0</v>
      </c>
      <c r="G93" s="178">
        <v>0</v>
      </c>
      <c r="H93" s="80">
        <f t="shared" si="22"/>
        <v>0</v>
      </c>
      <c r="I93" s="178">
        <v>0</v>
      </c>
      <c r="J93" s="80">
        <f t="shared" si="23"/>
        <v>0</v>
      </c>
      <c r="K93" s="178">
        <v>0</v>
      </c>
      <c r="L93" s="80">
        <f t="shared" si="24"/>
        <v>0</v>
      </c>
      <c r="M93" s="178">
        <v>0</v>
      </c>
      <c r="N93" s="80">
        <f t="shared" si="25"/>
        <v>0</v>
      </c>
      <c r="O93" s="178">
        <v>0</v>
      </c>
      <c r="P93" s="80">
        <f t="shared" si="26"/>
        <v>0</v>
      </c>
      <c r="Q93" s="178">
        <v>0</v>
      </c>
      <c r="R93" s="80">
        <f t="shared" si="27"/>
        <v>0</v>
      </c>
      <c r="S93" s="178">
        <v>0</v>
      </c>
      <c r="T93" s="80">
        <f t="shared" si="28"/>
        <v>0</v>
      </c>
      <c r="U93" s="178">
        <v>0</v>
      </c>
      <c r="V93" s="80">
        <f t="shared" si="29"/>
        <v>0</v>
      </c>
      <c r="X93" s="192"/>
    </row>
    <row r="94" spans="1:24" ht="12.75" customHeight="1">
      <c r="A94" s="2" t="s">
        <v>438</v>
      </c>
      <c r="B94" s="35"/>
      <c r="C94" s="178">
        <v>0</v>
      </c>
      <c r="D94" s="80">
        <f t="shared" si="20"/>
        <v>0</v>
      </c>
      <c r="E94" s="178">
        <v>0</v>
      </c>
      <c r="F94" s="80">
        <f t="shared" si="21"/>
        <v>0</v>
      </c>
      <c r="G94" s="178">
        <v>0</v>
      </c>
      <c r="H94" s="80">
        <f t="shared" si="22"/>
        <v>0</v>
      </c>
      <c r="I94" s="178">
        <v>0</v>
      </c>
      <c r="J94" s="80">
        <f t="shared" si="23"/>
        <v>0</v>
      </c>
      <c r="K94" s="178">
        <v>0</v>
      </c>
      <c r="L94" s="80">
        <f t="shared" si="24"/>
        <v>0</v>
      </c>
      <c r="M94" s="178">
        <v>0</v>
      </c>
      <c r="N94" s="80">
        <f t="shared" si="25"/>
        <v>0</v>
      </c>
      <c r="O94" s="178">
        <v>0</v>
      </c>
      <c r="P94" s="80">
        <f t="shared" si="26"/>
        <v>0</v>
      </c>
      <c r="Q94" s="178">
        <v>0</v>
      </c>
      <c r="R94" s="80">
        <f t="shared" si="27"/>
        <v>0</v>
      </c>
      <c r="S94" s="178">
        <v>0</v>
      </c>
      <c r="T94" s="80">
        <f t="shared" si="28"/>
        <v>0</v>
      </c>
      <c r="U94" s="178">
        <v>0</v>
      </c>
      <c r="V94" s="80">
        <f t="shared" si="29"/>
        <v>0</v>
      </c>
      <c r="X94" s="192"/>
    </row>
    <row r="95" spans="1:24" ht="12.75" customHeight="1">
      <c r="A95" s="2" t="s">
        <v>439</v>
      </c>
      <c r="B95" s="35"/>
      <c r="C95" s="178">
        <v>0</v>
      </c>
      <c r="D95" s="80">
        <f t="shared" si="20"/>
        <v>0</v>
      </c>
      <c r="E95" s="178">
        <v>0</v>
      </c>
      <c r="F95" s="80">
        <f t="shared" si="21"/>
        <v>0</v>
      </c>
      <c r="G95" s="178">
        <v>0</v>
      </c>
      <c r="H95" s="80">
        <f t="shared" si="22"/>
        <v>0</v>
      </c>
      <c r="I95" s="178">
        <v>0</v>
      </c>
      <c r="J95" s="80">
        <f t="shared" si="23"/>
        <v>0</v>
      </c>
      <c r="K95" s="178">
        <v>0</v>
      </c>
      <c r="L95" s="80">
        <f t="shared" si="24"/>
        <v>0</v>
      </c>
      <c r="M95" s="178">
        <v>0</v>
      </c>
      <c r="N95" s="80">
        <f t="shared" si="25"/>
        <v>0</v>
      </c>
      <c r="O95" s="178">
        <v>0</v>
      </c>
      <c r="P95" s="80">
        <f t="shared" si="26"/>
        <v>0</v>
      </c>
      <c r="Q95" s="178">
        <v>0</v>
      </c>
      <c r="R95" s="80">
        <f t="shared" si="27"/>
        <v>0</v>
      </c>
      <c r="S95" s="178">
        <v>0</v>
      </c>
      <c r="T95" s="80">
        <f t="shared" si="28"/>
        <v>0</v>
      </c>
      <c r="U95" s="178">
        <v>0</v>
      </c>
      <c r="V95" s="80">
        <f t="shared" si="29"/>
        <v>0</v>
      </c>
      <c r="X95" s="192"/>
    </row>
    <row r="96" spans="1:24" ht="12.75" customHeight="1">
      <c r="A96" s="2" t="s">
        <v>440</v>
      </c>
      <c r="B96" s="35"/>
      <c r="C96" s="178">
        <v>0</v>
      </c>
      <c r="D96" s="80">
        <f t="shared" si="20"/>
        <v>0</v>
      </c>
      <c r="E96" s="178">
        <v>0</v>
      </c>
      <c r="F96" s="80">
        <f t="shared" si="21"/>
        <v>0</v>
      </c>
      <c r="G96" s="178">
        <v>0</v>
      </c>
      <c r="H96" s="80">
        <f t="shared" si="22"/>
        <v>0</v>
      </c>
      <c r="I96" s="178">
        <v>0</v>
      </c>
      <c r="J96" s="80">
        <f t="shared" si="23"/>
        <v>0</v>
      </c>
      <c r="K96" s="178">
        <v>0</v>
      </c>
      <c r="L96" s="80">
        <f t="shared" si="24"/>
        <v>0</v>
      </c>
      <c r="M96" s="178">
        <v>0</v>
      </c>
      <c r="N96" s="80">
        <f t="shared" si="25"/>
        <v>0</v>
      </c>
      <c r="O96" s="178">
        <v>0</v>
      </c>
      <c r="P96" s="80">
        <f t="shared" si="26"/>
        <v>0</v>
      </c>
      <c r="Q96" s="178">
        <v>0</v>
      </c>
      <c r="R96" s="80">
        <f t="shared" si="27"/>
        <v>0</v>
      </c>
      <c r="S96" s="178">
        <v>0</v>
      </c>
      <c r="T96" s="80">
        <f t="shared" si="28"/>
        <v>0</v>
      </c>
      <c r="U96" s="178">
        <v>0</v>
      </c>
      <c r="V96" s="80">
        <f t="shared" si="29"/>
        <v>0</v>
      </c>
      <c r="X96" s="192"/>
    </row>
    <row r="97" spans="1:24" ht="12.75" customHeight="1">
      <c r="A97" s="2" t="s">
        <v>441</v>
      </c>
      <c r="B97" s="35"/>
      <c r="C97" s="178">
        <v>19372.1685</v>
      </c>
      <c r="D97" s="80">
        <f t="shared" si="20"/>
        <v>1.7269441324347459E-2</v>
      </c>
      <c r="E97" s="178">
        <v>21298.207352499998</v>
      </c>
      <c r="F97" s="80">
        <f t="shared" si="21"/>
        <v>1.5213005251785712E-2</v>
      </c>
      <c r="G97" s="178">
        <v>19803.936118712496</v>
      </c>
      <c r="H97" s="80">
        <f t="shared" si="22"/>
        <v>1.3676751463199237E-2</v>
      </c>
      <c r="I97" s="178">
        <v>20419.93373212911</v>
      </c>
      <c r="J97" s="80">
        <f t="shared" si="23"/>
        <v>1.3631464440673638E-2</v>
      </c>
      <c r="K97" s="178">
        <v>20841.312086015794</v>
      </c>
      <c r="L97" s="80">
        <f t="shared" si="24"/>
        <v>1.355973460378386E-2</v>
      </c>
      <c r="M97" s="178">
        <v>21362.344888166186</v>
      </c>
      <c r="N97" s="80">
        <f t="shared" si="25"/>
        <v>1.3632638728887165E-2</v>
      </c>
      <c r="O97" s="178">
        <v>21896.403510370339</v>
      </c>
      <c r="P97" s="80">
        <f t="shared" si="26"/>
        <v>1.3617166362170609E-2</v>
      </c>
      <c r="Q97" s="178">
        <v>22334.331580577746</v>
      </c>
      <c r="R97" s="80">
        <f t="shared" si="27"/>
        <v>1.3527759891325103E-2</v>
      </c>
      <c r="S97" s="178">
        <v>22795.275460980654</v>
      </c>
      <c r="T97" s="80">
        <f t="shared" si="28"/>
        <v>1.3448540094973838E-2</v>
      </c>
      <c r="U97" s="178">
        <v>23365.157347505166</v>
      </c>
      <c r="V97" s="80">
        <f t="shared" si="29"/>
        <v>1.3428251349140901E-2</v>
      </c>
      <c r="X97" s="192"/>
    </row>
    <row r="98" spans="1:24" ht="12.75" customHeight="1">
      <c r="A98" s="117" t="s">
        <v>444</v>
      </c>
      <c r="B98" s="35"/>
      <c r="C98" s="178">
        <v>1346.1119999999996</v>
      </c>
      <c r="D98" s="80">
        <f t="shared" si="20"/>
        <v>1.1999999999999999E-3</v>
      </c>
      <c r="E98" s="178">
        <v>1679.9999999999998</v>
      </c>
      <c r="F98" s="80">
        <f t="shared" si="21"/>
        <v>1.1999999999999999E-3</v>
      </c>
      <c r="G98" s="178">
        <v>1737.6</v>
      </c>
      <c r="H98" s="80">
        <f t="shared" si="22"/>
        <v>1.1999999999999999E-3</v>
      </c>
      <c r="I98" s="178">
        <v>1797.5999999999997</v>
      </c>
      <c r="J98" s="80">
        <f t="shared" si="23"/>
        <v>1.1999999999999999E-3</v>
      </c>
      <c r="K98" s="178">
        <v>1844.3999999999999</v>
      </c>
      <c r="L98" s="80">
        <f t="shared" si="24"/>
        <v>1.1999999999999999E-3</v>
      </c>
      <c r="M98" s="178">
        <v>1880.3999999999999</v>
      </c>
      <c r="N98" s="80">
        <f t="shared" si="25"/>
        <v>1.1999999999999999E-3</v>
      </c>
      <c r="O98" s="178">
        <v>1929.6</v>
      </c>
      <c r="P98" s="80">
        <f t="shared" si="26"/>
        <v>1.1999999999999999E-3</v>
      </c>
      <c r="Q98" s="178">
        <v>1981.1999999999996</v>
      </c>
      <c r="R98" s="80">
        <f t="shared" si="27"/>
        <v>1.1999999999999997E-3</v>
      </c>
      <c r="S98" s="178">
        <v>2034</v>
      </c>
      <c r="T98" s="80">
        <f t="shared" si="28"/>
        <v>1.1999999999999999E-3</v>
      </c>
      <c r="U98" s="178">
        <v>2088</v>
      </c>
      <c r="V98" s="80">
        <f t="shared" si="29"/>
        <v>1.1999999999999999E-3</v>
      </c>
      <c r="X98" s="192"/>
    </row>
    <row r="99" spans="1:24" ht="12.75" customHeight="1">
      <c r="A99" s="117" t="s">
        <v>444</v>
      </c>
      <c r="B99" s="35"/>
      <c r="C99" s="178">
        <v>0</v>
      </c>
      <c r="D99" s="80">
        <f t="shared" si="20"/>
        <v>0</v>
      </c>
      <c r="E99" s="178">
        <v>0</v>
      </c>
      <c r="F99" s="80">
        <f t="shared" si="21"/>
        <v>0</v>
      </c>
      <c r="G99" s="178">
        <v>0</v>
      </c>
      <c r="H99" s="80">
        <f t="shared" si="22"/>
        <v>0</v>
      </c>
      <c r="I99" s="178">
        <v>0</v>
      </c>
      <c r="J99" s="80">
        <f t="shared" si="23"/>
        <v>0</v>
      </c>
      <c r="K99" s="178">
        <v>0</v>
      </c>
      <c r="L99" s="80">
        <f t="shared" si="24"/>
        <v>0</v>
      </c>
      <c r="M99" s="178">
        <v>0</v>
      </c>
      <c r="N99" s="80">
        <f t="shared" si="25"/>
        <v>0</v>
      </c>
      <c r="O99" s="178">
        <v>0</v>
      </c>
      <c r="P99" s="80">
        <f t="shared" si="26"/>
        <v>0</v>
      </c>
      <c r="Q99" s="178">
        <v>0</v>
      </c>
      <c r="R99" s="80">
        <f t="shared" si="27"/>
        <v>0</v>
      </c>
      <c r="S99" s="178">
        <v>0</v>
      </c>
      <c r="T99" s="80">
        <f t="shared" si="28"/>
        <v>0</v>
      </c>
      <c r="U99" s="178">
        <v>0</v>
      </c>
      <c r="V99" s="80">
        <f t="shared" si="29"/>
        <v>0</v>
      </c>
      <c r="X99" s="192"/>
    </row>
    <row r="100" spans="1:24" ht="12.75" customHeight="1">
      <c r="A100" s="117" t="s">
        <v>444</v>
      </c>
      <c r="B100" s="35"/>
      <c r="C100" s="178">
        <v>0</v>
      </c>
      <c r="D100" s="80">
        <f t="shared" si="20"/>
        <v>0</v>
      </c>
      <c r="E100" s="178">
        <v>0</v>
      </c>
      <c r="F100" s="80">
        <f t="shared" si="21"/>
        <v>0</v>
      </c>
      <c r="G100" s="178">
        <v>0</v>
      </c>
      <c r="H100" s="80">
        <f t="shared" si="22"/>
        <v>0</v>
      </c>
      <c r="I100" s="178">
        <v>0</v>
      </c>
      <c r="J100" s="80">
        <f t="shared" si="23"/>
        <v>0</v>
      </c>
      <c r="K100" s="178">
        <v>0</v>
      </c>
      <c r="L100" s="80">
        <f t="shared" si="24"/>
        <v>0</v>
      </c>
      <c r="M100" s="178">
        <v>0</v>
      </c>
      <c r="N100" s="80">
        <f t="shared" si="25"/>
        <v>0</v>
      </c>
      <c r="O100" s="178">
        <v>0</v>
      </c>
      <c r="P100" s="80">
        <f t="shared" si="26"/>
        <v>0</v>
      </c>
      <c r="Q100" s="178">
        <v>0</v>
      </c>
      <c r="R100" s="80">
        <f t="shared" si="27"/>
        <v>0</v>
      </c>
      <c r="S100" s="178">
        <v>0</v>
      </c>
      <c r="T100" s="80">
        <f t="shared" si="28"/>
        <v>0</v>
      </c>
      <c r="U100" s="178">
        <v>0</v>
      </c>
      <c r="V100" s="80">
        <f t="shared" si="29"/>
        <v>0</v>
      </c>
      <c r="X100" s="192"/>
    </row>
    <row r="101" spans="1:24" ht="12.75" customHeight="1">
      <c r="A101" s="2" t="s">
        <v>445</v>
      </c>
      <c r="B101" s="35"/>
      <c r="C101" s="178"/>
      <c r="D101" s="80">
        <f t="shared" si="20"/>
        <v>0</v>
      </c>
      <c r="E101" s="178"/>
      <c r="F101" s="80">
        <f t="shared" si="21"/>
        <v>0</v>
      </c>
      <c r="G101" s="178"/>
      <c r="H101" s="80">
        <f t="shared" si="22"/>
        <v>0</v>
      </c>
      <c r="I101" s="178">
        <v>0</v>
      </c>
      <c r="J101" s="80">
        <f t="shared" si="23"/>
        <v>0</v>
      </c>
      <c r="K101" s="178">
        <v>0</v>
      </c>
      <c r="L101" s="80">
        <f t="shared" si="24"/>
        <v>0</v>
      </c>
      <c r="M101" s="178">
        <v>0</v>
      </c>
      <c r="N101" s="80">
        <f t="shared" si="25"/>
        <v>0</v>
      </c>
      <c r="O101" s="178">
        <v>0</v>
      </c>
      <c r="P101" s="80">
        <f t="shared" si="26"/>
        <v>0</v>
      </c>
      <c r="Q101" s="178">
        <v>0</v>
      </c>
      <c r="R101" s="80">
        <f t="shared" si="27"/>
        <v>0</v>
      </c>
      <c r="S101" s="178">
        <v>0</v>
      </c>
      <c r="T101" s="80">
        <f t="shared" si="28"/>
        <v>0</v>
      </c>
      <c r="U101" s="178">
        <v>0</v>
      </c>
      <c r="V101" s="80">
        <f t="shared" si="29"/>
        <v>0</v>
      </c>
      <c r="X101" s="192"/>
    </row>
    <row r="102" spans="1:24" ht="12.75" customHeight="1">
      <c r="A102" s="117" t="s">
        <v>446</v>
      </c>
      <c r="B102" s="35"/>
      <c r="C102" s="178">
        <v>11217.599999999999</v>
      </c>
      <c r="D102" s="80">
        <f t="shared" si="20"/>
        <v>0.01</v>
      </c>
      <c r="E102" s="178">
        <v>13999.999999999998</v>
      </c>
      <c r="F102" s="80">
        <f t="shared" si="21"/>
        <v>9.9999999999999985E-3</v>
      </c>
      <c r="G102" s="178">
        <v>14480</v>
      </c>
      <c r="H102" s="80">
        <f t="shared" si="22"/>
        <v>0.01</v>
      </c>
      <c r="I102" s="178">
        <v>14980.000000000002</v>
      </c>
      <c r="J102" s="80">
        <f t="shared" si="23"/>
        <v>1.0000000000000002E-2</v>
      </c>
      <c r="K102" s="178">
        <v>15370</v>
      </c>
      <c r="L102" s="80">
        <f t="shared" si="24"/>
        <v>0.01</v>
      </c>
      <c r="M102" s="178">
        <v>15670</v>
      </c>
      <c r="N102" s="80">
        <f t="shared" si="25"/>
        <v>0.01</v>
      </c>
      <c r="O102" s="178">
        <v>16080.000000000002</v>
      </c>
      <c r="P102" s="80">
        <f t="shared" si="26"/>
        <v>1.0000000000000002E-2</v>
      </c>
      <c r="Q102" s="178">
        <v>16510</v>
      </c>
      <c r="R102" s="80">
        <f t="shared" si="27"/>
        <v>0.01</v>
      </c>
      <c r="S102" s="178">
        <v>16950.000000000004</v>
      </c>
      <c r="T102" s="80">
        <f t="shared" si="28"/>
        <v>1.0000000000000002E-2</v>
      </c>
      <c r="U102" s="178">
        <v>17400</v>
      </c>
      <c r="V102" s="80">
        <f t="shared" si="29"/>
        <v>0.01</v>
      </c>
      <c r="X102" s="192"/>
    </row>
    <row r="103" spans="1:24" ht="12.75" customHeight="1">
      <c r="A103" s="117" t="s">
        <v>446</v>
      </c>
      <c r="B103" s="35"/>
      <c r="C103" s="178">
        <v>0</v>
      </c>
      <c r="D103" s="80">
        <f t="shared" si="20"/>
        <v>0</v>
      </c>
      <c r="E103" s="178">
        <v>0</v>
      </c>
      <c r="F103" s="80">
        <f t="shared" si="21"/>
        <v>0</v>
      </c>
      <c r="G103" s="178">
        <v>0</v>
      </c>
      <c r="H103" s="80">
        <f t="shared" si="22"/>
        <v>0</v>
      </c>
      <c r="I103" s="178">
        <v>0</v>
      </c>
      <c r="J103" s="80">
        <f t="shared" si="23"/>
        <v>0</v>
      </c>
      <c r="K103" s="178">
        <v>0</v>
      </c>
      <c r="L103" s="80">
        <f t="shared" si="24"/>
        <v>0</v>
      </c>
      <c r="M103" s="178">
        <v>0</v>
      </c>
      <c r="N103" s="80">
        <f t="shared" si="25"/>
        <v>0</v>
      </c>
      <c r="O103" s="178">
        <v>0</v>
      </c>
      <c r="P103" s="80">
        <f t="shared" si="26"/>
        <v>0</v>
      </c>
      <c r="Q103" s="178">
        <v>0</v>
      </c>
      <c r="R103" s="80">
        <f t="shared" si="27"/>
        <v>0</v>
      </c>
      <c r="S103" s="178">
        <v>0</v>
      </c>
      <c r="T103" s="80">
        <f t="shared" si="28"/>
        <v>0</v>
      </c>
      <c r="U103" s="178">
        <v>0</v>
      </c>
      <c r="V103" s="80">
        <f t="shared" si="29"/>
        <v>0</v>
      </c>
      <c r="X103" s="192"/>
    </row>
    <row r="104" spans="1:24" ht="12.75" customHeight="1">
      <c r="A104" s="117" t="s">
        <v>446</v>
      </c>
      <c r="B104" s="1"/>
      <c r="C104" s="178">
        <v>0</v>
      </c>
      <c r="D104" s="80">
        <f t="shared" si="20"/>
        <v>0</v>
      </c>
      <c r="E104" s="178">
        <v>0</v>
      </c>
      <c r="F104" s="80">
        <f t="shared" si="21"/>
        <v>0</v>
      </c>
      <c r="G104" s="178">
        <v>0</v>
      </c>
      <c r="H104" s="80">
        <f t="shared" si="22"/>
        <v>0</v>
      </c>
      <c r="I104" s="178">
        <v>0</v>
      </c>
      <c r="J104" s="80">
        <f t="shared" si="23"/>
        <v>0</v>
      </c>
      <c r="K104" s="178">
        <v>0</v>
      </c>
      <c r="L104" s="80">
        <f t="shared" si="24"/>
        <v>0</v>
      </c>
      <c r="M104" s="178">
        <v>0</v>
      </c>
      <c r="N104" s="80">
        <f t="shared" si="25"/>
        <v>0</v>
      </c>
      <c r="O104" s="178">
        <v>0</v>
      </c>
      <c r="P104" s="80">
        <f t="shared" si="26"/>
        <v>0</v>
      </c>
      <c r="Q104" s="178">
        <v>0</v>
      </c>
      <c r="R104" s="80">
        <f t="shared" si="27"/>
        <v>0</v>
      </c>
      <c r="S104" s="178">
        <v>0</v>
      </c>
      <c r="T104" s="80">
        <f t="shared" si="28"/>
        <v>0</v>
      </c>
      <c r="U104" s="178">
        <v>0</v>
      </c>
      <c r="V104" s="80">
        <f t="shared" si="29"/>
        <v>0</v>
      </c>
      <c r="X104" s="192"/>
    </row>
    <row r="105" spans="1:24" ht="12.75" customHeight="1">
      <c r="A105" s="1" t="s">
        <v>447</v>
      </c>
      <c r="B105" s="53"/>
      <c r="C105" s="82">
        <f>SUM(C52:C104)</f>
        <v>190076.75912139093</v>
      </c>
      <c r="D105" s="83">
        <f t="shared" ref="D105" si="30">IFERROR(C105/C$28,0)</f>
        <v>0.16944512116797797</v>
      </c>
      <c r="E105" s="82">
        <f>SUM(E52:E104)</f>
        <v>234595.61479248034</v>
      </c>
      <c r="F105" s="83">
        <f t="shared" ref="F105" si="31">IFERROR(E105/E$28,0)</f>
        <v>0.16756829628034309</v>
      </c>
      <c r="G105" s="82">
        <f>SUM(G52:G104)</f>
        <v>240225.18046453001</v>
      </c>
      <c r="H105" s="83">
        <f t="shared" ref="H105" si="32">IFERROR(G105/G$28,0)</f>
        <v>0.16590136772412295</v>
      </c>
      <c r="I105" s="82">
        <f>SUM(I52:I104)</f>
        <v>248499.39273087715</v>
      </c>
      <c r="J105" s="83">
        <f t="shared" ref="J105" si="33">IFERROR(I105/I$28,0)</f>
        <v>0.16588744508069236</v>
      </c>
      <c r="K105" s="82">
        <f>SUM(K52:K104)</f>
        <v>254800.74539265205</v>
      </c>
      <c r="L105" s="83">
        <f t="shared" ref="L105" si="34">IFERROR(K105/K$28,0)</f>
        <v>0.16577797358012494</v>
      </c>
      <c r="M105" s="82">
        <f>SUM(M52:M104)</f>
        <v>259920.57716361654</v>
      </c>
      <c r="N105" s="83">
        <f t="shared" ref="N105" si="35">IFERROR(M105/M$28,0)</f>
        <v>0.16587145958112096</v>
      </c>
      <c r="O105" s="82">
        <f>SUM(O52:O104)</f>
        <v>266736.96678277227</v>
      </c>
      <c r="P105" s="83">
        <f t="shared" ref="P105" si="36">IFERROR(O105/O$28,0)</f>
        <v>0.16588119824799272</v>
      </c>
      <c r="Q105" s="82">
        <f>SUM(Q52:Q104)</f>
        <v>273781.66430627089</v>
      </c>
      <c r="R105" s="83">
        <f t="shared" ref="R105" si="37">IFERROR(Q105/Q$28,0)</f>
        <v>0.16582777971306534</v>
      </c>
      <c r="S105" s="82">
        <f>SUM(S52:S104)</f>
        <v>281003.3188253307</v>
      </c>
      <c r="T105" s="83">
        <f t="shared" ref="T105" si="38">IFERROR(S105/S$28,0)</f>
        <v>0.16578366892349894</v>
      </c>
      <c r="U105" s="82">
        <f>SUM(U52:U104)</f>
        <v>288493.56097273581</v>
      </c>
      <c r="V105" s="83">
        <f t="shared" si="29"/>
        <v>0.1658008971107677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448</v>
      </c>
      <c r="B107" s="53"/>
      <c r="C107" s="82">
        <f>C28-C33-C46-C105</f>
        <v>47090.622878608759</v>
      </c>
      <c r="D107" s="83">
        <f>IFERROR(C107/C$28,0)</f>
        <v>4.1979231634760347E-2</v>
      </c>
      <c r="E107" s="82">
        <f>E28-E33-E46-E105</f>
        <v>138040.85217751973</v>
      </c>
      <c r="F107" s="83">
        <f>IFERROR(E107/E$28,0)</f>
        <v>9.8600608698228384E-2</v>
      </c>
      <c r="G107" s="82">
        <f>G28-G33-G46-G105</f>
        <v>206362.90691692004</v>
      </c>
      <c r="H107" s="83">
        <f>IFERROR(G107/G$28,0)</f>
        <v>0.14251581969400556</v>
      </c>
      <c r="I107" s="82">
        <f>I28-I33-I46-I105</f>
        <v>215321.82281521056</v>
      </c>
      <c r="J107" s="83">
        <f>IFERROR(I107/I$28,0)</f>
        <v>0.14373953458959315</v>
      </c>
      <c r="K107" s="82">
        <f>K28-K33-K46-K105</f>
        <v>223996.82653389889</v>
      </c>
      <c r="L107" s="83">
        <f>IFERROR(K107/K$28,0)</f>
        <v>0.14573638681450807</v>
      </c>
      <c r="M107" s="82">
        <f>M28-M33-M46-M105</f>
        <v>225202.18406109815</v>
      </c>
      <c r="N107" s="83">
        <f>IFERROR(M107/M$28,0)</f>
        <v>0.14371549716726109</v>
      </c>
      <c r="O107" s="82">
        <f>O28-O33-O46-O105</f>
        <v>231736.61347256036</v>
      </c>
      <c r="P107" s="83">
        <f>IFERROR(O107/O$28,0)</f>
        <v>0.14411480937348281</v>
      </c>
      <c r="Q107" s="82">
        <f>Q28-Q33-Q46-Q105</f>
        <v>241924.1875541684</v>
      </c>
      <c r="R107" s="83">
        <f>IFERROR(Q107/Q$28,0)</f>
        <v>0.14653191251009595</v>
      </c>
      <c r="S107" s="82">
        <f>S28-S33-S46-S105</f>
        <v>251981.25618906983</v>
      </c>
      <c r="T107" s="83">
        <f>IFERROR(S107/S$28,0)</f>
        <v>0.14866150807614739</v>
      </c>
      <c r="U107" s="82">
        <f>U28-U33-U46-U105</f>
        <v>259574.37841702468</v>
      </c>
      <c r="V107" s="83">
        <f>IFERROR(U107/U$28,0)</f>
        <v>0.1491806772511636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449</v>
      </c>
      <c r="B110" s="40"/>
      <c r="C110" s="86" t="str">
        <f>C50</f>
        <v>FY 2018-19</v>
      </c>
      <c r="D110" s="86" t="s">
        <v>366</v>
      </c>
      <c r="E110" s="86" t="str">
        <f>E50</f>
        <v>FY 2019-20</v>
      </c>
      <c r="F110" s="86" t="s">
        <v>366</v>
      </c>
      <c r="G110" s="86" t="str">
        <f>G50</f>
        <v>FY 2020-21</v>
      </c>
      <c r="H110" s="86" t="s">
        <v>366</v>
      </c>
      <c r="I110" s="86" t="str">
        <f>I50</f>
        <v>FY 2021-22</v>
      </c>
      <c r="J110" s="86" t="s">
        <v>366</v>
      </c>
      <c r="K110" s="86" t="str">
        <f>K50</f>
        <v>FY 2022-23</v>
      </c>
      <c r="L110" s="86" t="s">
        <v>366</v>
      </c>
      <c r="M110" s="86" t="str">
        <f>M50</f>
        <v>FY 2023-24</v>
      </c>
      <c r="N110" s="86" t="s">
        <v>366</v>
      </c>
      <c r="O110" s="86" t="str">
        <f>O50</f>
        <v>FY 2024-25</v>
      </c>
      <c r="P110" s="86" t="s">
        <v>366</v>
      </c>
      <c r="Q110" s="86" t="str">
        <f>Q50</f>
        <v>FY 2025-26</v>
      </c>
      <c r="R110" s="86" t="s">
        <v>366</v>
      </c>
      <c r="S110" s="86" t="str">
        <f>S50</f>
        <v>FY 2026-27</v>
      </c>
      <c r="T110" s="86" t="s">
        <v>366</v>
      </c>
      <c r="U110" s="86" t="str">
        <f>U50</f>
        <v>FY 2027-28</v>
      </c>
      <c r="V110" s="86" t="s">
        <v>366</v>
      </c>
    </row>
    <row r="111" spans="1:24" ht="12.75" customHeight="1">
      <c r="A111" s="2" t="s">
        <v>403</v>
      </c>
      <c r="B111" s="35"/>
      <c r="C111" s="79">
        <f>C59</f>
        <v>0</v>
      </c>
      <c r="D111" s="80">
        <f t="shared" ref="D111:D116" si="39">IFERROR(C111/C$28,0)</f>
        <v>0</v>
      </c>
      <c r="E111" s="79">
        <f>E59</f>
        <v>0</v>
      </c>
      <c r="F111" s="80">
        <f t="shared" ref="F111:F116" si="40">IFERROR(E111/E$28,0)</f>
        <v>0</v>
      </c>
      <c r="G111" s="79">
        <f>G59</f>
        <v>0</v>
      </c>
      <c r="H111" s="80">
        <f t="shared" ref="H111:H116" si="41">IFERROR(G111/G$28,0)</f>
        <v>0</v>
      </c>
      <c r="I111" s="79">
        <f>I59</f>
        <v>0</v>
      </c>
      <c r="J111" s="80">
        <f t="shared" ref="J111:J116" si="42">IFERROR(I111/I$28,0)</f>
        <v>0</v>
      </c>
      <c r="K111" s="79">
        <f>K59</f>
        <v>0</v>
      </c>
      <c r="L111" s="80">
        <f t="shared" ref="L111:L116" si="43">IFERROR(K111/K$28,0)</f>
        <v>0</v>
      </c>
      <c r="M111" s="79">
        <f>M59</f>
        <v>0</v>
      </c>
      <c r="N111" s="80">
        <f t="shared" ref="N111:N116" si="44">IFERROR(M111/M$28,0)</f>
        <v>0</v>
      </c>
      <c r="O111" s="79">
        <f>O59</f>
        <v>0</v>
      </c>
      <c r="P111" s="80">
        <f t="shared" ref="P111:P116" si="45">IFERROR(O111/O$28,0)</f>
        <v>0</v>
      </c>
      <c r="Q111" s="79">
        <f>Q59</f>
        <v>0</v>
      </c>
      <c r="R111" s="80">
        <f t="shared" ref="R111:R116" si="46">IFERROR(Q111/Q$28,0)</f>
        <v>0</v>
      </c>
      <c r="S111" s="79">
        <f>S59</f>
        <v>0</v>
      </c>
      <c r="T111" s="80">
        <f t="shared" ref="T111:T116" si="47">IFERROR(S111/S$28,0)</f>
        <v>0</v>
      </c>
      <c r="U111" s="79">
        <f>U59</f>
        <v>0</v>
      </c>
      <c r="V111" s="80">
        <f t="shared" ref="V111:V116" si="48">IFERROR(U111/U$28,0)</f>
        <v>0</v>
      </c>
    </row>
    <row r="112" spans="1:24" ht="12.75" customHeight="1">
      <c r="A112" s="2" t="s">
        <v>450</v>
      </c>
      <c r="B112" s="35"/>
      <c r="C112" s="79">
        <f>C62</f>
        <v>0</v>
      </c>
      <c r="D112" s="80">
        <f t="shared" si="39"/>
        <v>0</v>
      </c>
      <c r="E112" s="79">
        <f>E62</f>
        <v>0</v>
      </c>
      <c r="F112" s="80">
        <f t="shared" si="40"/>
        <v>0</v>
      </c>
      <c r="G112" s="79">
        <f>G62</f>
        <v>0</v>
      </c>
      <c r="H112" s="80">
        <f t="shared" si="41"/>
        <v>0</v>
      </c>
      <c r="I112" s="79">
        <f>I62</f>
        <v>0</v>
      </c>
      <c r="J112" s="80">
        <f t="shared" si="42"/>
        <v>0</v>
      </c>
      <c r="K112" s="79">
        <f>K62</f>
        <v>0</v>
      </c>
      <c r="L112" s="80">
        <f t="shared" si="43"/>
        <v>0</v>
      </c>
      <c r="M112" s="79">
        <f>M62</f>
        <v>0</v>
      </c>
      <c r="N112" s="80">
        <f t="shared" si="44"/>
        <v>0</v>
      </c>
      <c r="O112" s="79">
        <f>O62</f>
        <v>0</v>
      </c>
      <c r="P112" s="80">
        <f t="shared" si="45"/>
        <v>0</v>
      </c>
      <c r="Q112" s="79">
        <f>Q62</f>
        <v>0</v>
      </c>
      <c r="R112" s="80">
        <f t="shared" si="46"/>
        <v>0</v>
      </c>
      <c r="S112" s="79">
        <f>S62</f>
        <v>0</v>
      </c>
      <c r="T112" s="80">
        <f t="shared" si="47"/>
        <v>0</v>
      </c>
      <c r="U112" s="79">
        <f>U62</f>
        <v>0</v>
      </c>
      <c r="V112" s="80">
        <f t="shared" si="48"/>
        <v>0</v>
      </c>
    </row>
    <row r="113" spans="1:22" ht="12.75" customHeight="1">
      <c r="A113" s="117" t="s">
        <v>446</v>
      </c>
      <c r="B113" s="41"/>
      <c r="C113" s="111">
        <v>0</v>
      </c>
      <c r="D113" s="80">
        <f t="shared" si="39"/>
        <v>0</v>
      </c>
      <c r="E113" s="111">
        <v>0</v>
      </c>
      <c r="F113" s="80">
        <f t="shared" si="40"/>
        <v>0</v>
      </c>
      <c r="G113" s="111">
        <v>0</v>
      </c>
      <c r="H113" s="80">
        <f t="shared" si="41"/>
        <v>0</v>
      </c>
      <c r="I113" s="111">
        <v>0</v>
      </c>
      <c r="J113" s="80">
        <f t="shared" si="42"/>
        <v>0</v>
      </c>
      <c r="K113" s="111">
        <v>0</v>
      </c>
      <c r="L113" s="80">
        <f t="shared" si="43"/>
        <v>0</v>
      </c>
      <c r="M113" s="111">
        <v>0</v>
      </c>
      <c r="N113" s="80">
        <f t="shared" si="44"/>
        <v>0</v>
      </c>
      <c r="O113" s="111">
        <v>0</v>
      </c>
      <c r="P113" s="80">
        <f t="shared" si="45"/>
        <v>0</v>
      </c>
      <c r="Q113" s="111">
        <v>0</v>
      </c>
      <c r="R113" s="80">
        <f t="shared" si="46"/>
        <v>0</v>
      </c>
      <c r="S113" s="111">
        <v>0</v>
      </c>
      <c r="T113" s="80">
        <f t="shared" si="47"/>
        <v>0</v>
      </c>
      <c r="U113" s="111">
        <v>0</v>
      </c>
      <c r="V113" s="80">
        <f t="shared" si="48"/>
        <v>0</v>
      </c>
    </row>
    <row r="114" spans="1:22" ht="12.75" customHeight="1">
      <c r="A114" s="117" t="s">
        <v>446</v>
      </c>
      <c r="B114" s="41"/>
      <c r="C114" s="111">
        <v>0</v>
      </c>
      <c r="D114" s="80">
        <f t="shared" si="39"/>
        <v>0</v>
      </c>
      <c r="E114" s="111">
        <v>0</v>
      </c>
      <c r="F114" s="80">
        <f t="shared" si="40"/>
        <v>0</v>
      </c>
      <c r="G114" s="111">
        <v>0</v>
      </c>
      <c r="H114" s="80">
        <f t="shared" si="41"/>
        <v>0</v>
      </c>
      <c r="I114" s="111">
        <v>0</v>
      </c>
      <c r="J114" s="80">
        <f t="shared" si="42"/>
        <v>0</v>
      </c>
      <c r="K114" s="111">
        <v>0</v>
      </c>
      <c r="L114" s="80">
        <f t="shared" si="43"/>
        <v>0</v>
      </c>
      <c r="M114" s="111">
        <v>0</v>
      </c>
      <c r="N114" s="80">
        <f t="shared" si="44"/>
        <v>0</v>
      </c>
      <c r="O114" s="111">
        <v>0</v>
      </c>
      <c r="P114" s="80">
        <f t="shared" si="45"/>
        <v>0</v>
      </c>
      <c r="Q114" s="111">
        <v>0</v>
      </c>
      <c r="R114" s="80">
        <f t="shared" si="46"/>
        <v>0</v>
      </c>
      <c r="S114" s="111">
        <v>0</v>
      </c>
      <c r="T114" s="80">
        <f t="shared" si="47"/>
        <v>0</v>
      </c>
      <c r="U114" s="111">
        <v>0</v>
      </c>
      <c r="V114" s="80">
        <f t="shared" si="48"/>
        <v>0</v>
      </c>
    </row>
    <row r="115" spans="1:22" ht="12.75" customHeight="1">
      <c r="A115" s="117" t="s">
        <v>446</v>
      </c>
      <c r="B115" s="41"/>
      <c r="C115" s="112">
        <v>0</v>
      </c>
      <c r="D115" s="80">
        <f t="shared" si="39"/>
        <v>0</v>
      </c>
      <c r="E115" s="112">
        <v>0</v>
      </c>
      <c r="F115" s="80">
        <f t="shared" si="40"/>
        <v>0</v>
      </c>
      <c r="G115" s="112">
        <v>0</v>
      </c>
      <c r="H115" s="80">
        <f t="shared" si="41"/>
        <v>0</v>
      </c>
      <c r="I115" s="112">
        <v>0</v>
      </c>
      <c r="J115" s="80">
        <f t="shared" si="42"/>
        <v>0</v>
      </c>
      <c r="K115" s="112">
        <v>0</v>
      </c>
      <c r="L115" s="80">
        <f t="shared" si="43"/>
        <v>0</v>
      </c>
      <c r="M115" s="112">
        <v>0</v>
      </c>
      <c r="N115" s="80">
        <f t="shared" si="44"/>
        <v>0</v>
      </c>
      <c r="O115" s="112">
        <v>0</v>
      </c>
      <c r="P115" s="80">
        <f t="shared" si="45"/>
        <v>0</v>
      </c>
      <c r="Q115" s="112">
        <v>0</v>
      </c>
      <c r="R115" s="80">
        <f t="shared" si="46"/>
        <v>0</v>
      </c>
      <c r="S115" s="112">
        <v>0</v>
      </c>
      <c r="T115" s="80">
        <f t="shared" si="47"/>
        <v>0</v>
      </c>
      <c r="U115" s="112">
        <v>0</v>
      </c>
      <c r="V115" s="80">
        <f t="shared" si="48"/>
        <v>0</v>
      </c>
    </row>
    <row r="116" spans="1:22" ht="12.75" customHeight="1">
      <c r="A116" s="40" t="s">
        <v>451</v>
      </c>
      <c r="B116" s="42"/>
      <c r="C116" s="85">
        <f>SUM(C111:C115)</f>
        <v>0</v>
      </c>
      <c r="D116" s="83">
        <f t="shared" si="39"/>
        <v>0</v>
      </c>
      <c r="E116" s="85">
        <f>SUM(E111:E115)</f>
        <v>0</v>
      </c>
      <c r="F116" s="83">
        <f t="shared" si="40"/>
        <v>0</v>
      </c>
      <c r="G116" s="85">
        <f>SUM(G111:G115)</f>
        <v>0</v>
      </c>
      <c r="H116" s="83">
        <f t="shared" si="41"/>
        <v>0</v>
      </c>
      <c r="I116" s="85">
        <f>SUM(I111:I115)</f>
        <v>0</v>
      </c>
      <c r="J116" s="83">
        <f t="shared" si="42"/>
        <v>0</v>
      </c>
      <c r="K116" s="85">
        <f>SUM(K111:K115)</f>
        <v>0</v>
      </c>
      <c r="L116" s="83">
        <f t="shared" si="43"/>
        <v>0</v>
      </c>
      <c r="M116" s="85">
        <f>SUM(M111:M115)</f>
        <v>0</v>
      </c>
      <c r="N116" s="83">
        <f t="shared" si="44"/>
        <v>0</v>
      </c>
      <c r="O116" s="85">
        <f>SUM(O111:O115)</f>
        <v>0</v>
      </c>
      <c r="P116" s="83">
        <f t="shared" si="45"/>
        <v>0</v>
      </c>
      <c r="Q116" s="85">
        <f>SUM(Q111:Q115)</f>
        <v>0</v>
      </c>
      <c r="R116" s="83">
        <f t="shared" si="46"/>
        <v>0</v>
      </c>
      <c r="S116" s="85">
        <f>SUM(S111:S115)</f>
        <v>0</v>
      </c>
      <c r="T116" s="83">
        <f t="shared" si="47"/>
        <v>0</v>
      </c>
      <c r="U116" s="85">
        <f>SUM(U111:U115)</f>
        <v>0</v>
      </c>
      <c r="V116" s="83">
        <f t="shared" si="48"/>
        <v>0</v>
      </c>
    </row>
    <row r="118" spans="1:22" ht="12.75" customHeight="1">
      <c r="A118" s="43" t="s">
        <v>452</v>
      </c>
      <c r="B118" s="43"/>
    </row>
    <row r="119" spans="1:22" ht="12.75" customHeight="1">
      <c r="A119" s="47" t="s">
        <v>453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7" tint="0.59999389629810485"/>
  </sheetPr>
  <dimension ref="A1:X119"/>
  <sheetViews>
    <sheetView topLeftCell="A9" zoomScale="70" zoomScaleNormal="70" workbookViewId="0" xr3:uid="{96AA9D09-0E06-52DD-9EE1-B522AFA11096}">
      <selection activeCell="W59" sqref="W59"/>
    </sheetView>
  </sheetViews>
  <sheetFormatPr defaultColWidth="9.140625" defaultRowHeight="12.75" customHeight="1"/>
  <cols>
    <col min="1" max="1" width="9.5703125" style="2" customWidth="1"/>
    <col min="2" max="2" width="45.5703125" style="2" customWidth="1"/>
    <col min="3" max="3" width="13.5703125" style="2" customWidth="1"/>
    <col min="4" max="4" width="8.7109375" style="2" customWidth="1"/>
    <col min="5" max="5" width="12.7109375" style="2" customWidth="1"/>
    <col min="6" max="6" width="8.7109375" style="2" customWidth="1"/>
    <col min="7" max="7" width="12.710937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355</v>
      </c>
      <c r="G2" s="33" t="s">
        <v>45</v>
      </c>
      <c r="H2" s="34"/>
      <c r="I2" s="34"/>
      <c r="V2" s="32"/>
    </row>
    <row r="3" spans="1:22" ht="12.75" customHeight="1">
      <c r="A3" s="1" t="s">
        <v>357</v>
      </c>
      <c r="D3" s="118" t="s">
        <v>358</v>
      </c>
      <c r="G3" s="115" t="str">
        <f>+G2</f>
        <v>Subway (Graham Center)</v>
      </c>
      <c r="H3" s="116"/>
      <c r="I3" s="116"/>
      <c r="V3" s="32"/>
    </row>
    <row r="4" spans="1:22" ht="12.75" customHeight="1">
      <c r="A4" s="1" t="s">
        <v>359</v>
      </c>
      <c r="B4" s="109" t="s">
        <v>221</v>
      </c>
      <c r="D4" s="118" t="s">
        <v>360</v>
      </c>
      <c r="G4" s="115" t="s">
        <v>65</v>
      </c>
      <c r="H4" s="116"/>
      <c r="I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361</v>
      </c>
      <c r="B7" s="1"/>
    </row>
    <row r="8" spans="1:22" ht="12.75" customHeight="1">
      <c r="A8" s="2" t="s">
        <v>362</v>
      </c>
      <c r="C8" s="109">
        <v>228</v>
      </c>
      <c r="E8" s="109">
        <f>+C8</f>
        <v>228</v>
      </c>
      <c r="G8" s="109">
        <f>+E8</f>
        <v>228</v>
      </c>
      <c r="I8" s="109">
        <f>+G8</f>
        <v>228</v>
      </c>
      <c r="K8" s="109">
        <f>+I8</f>
        <v>228</v>
      </c>
      <c r="M8" s="109">
        <f>+K8</f>
        <v>228</v>
      </c>
      <c r="O8" s="109">
        <f>+M8</f>
        <v>228</v>
      </c>
      <c r="Q8" s="109">
        <f>+O8</f>
        <v>228</v>
      </c>
      <c r="S8" s="109">
        <f>+Q8</f>
        <v>228</v>
      </c>
      <c r="U8" s="109">
        <f>+S8</f>
        <v>228</v>
      </c>
    </row>
    <row r="10" spans="1:22" ht="12.75" customHeight="1">
      <c r="A10" s="2" t="s">
        <v>462</v>
      </c>
      <c r="C10" s="109">
        <v>513</v>
      </c>
      <c r="E10" s="109"/>
      <c r="G10" s="109"/>
      <c r="I10" s="109"/>
      <c r="K10" s="109"/>
      <c r="M10" s="109"/>
      <c r="O10" s="109"/>
      <c r="Q10" s="109"/>
      <c r="S10" s="109"/>
      <c r="U10" s="109"/>
    </row>
    <row r="12" spans="1:22" ht="12.75" customHeight="1">
      <c r="A12" s="2" t="s">
        <v>463</v>
      </c>
      <c r="C12" s="110">
        <v>7.7</v>
      </c>
      <c r="E12" s="110"/>
      <c r="G12" s="110"/>
      <c r="I12" s="110"/>
      <c r="K12" s="110"/>
      <c r="M12" s="110"/>
      <c r="O12" s="110"/>
      <c r="Q12" s="110"/>
      <c r="S12" s="110"/>
      <c r="U12" s="110"/>
    </row>
    <row r="14" spans="1:22" ht="12.75" customHeight="1">
      <c r="A14" s="2" t="s">
        <v>464</v>
      </c>
      <c r="C14" s="121">
        <f>C12*C10*C8</f>
        <v>900622.79999999993</v>
      </c>
      <c r="E14" s="121">
        <f>E12*E10*E8</f>
        <v>0</v>
      </c>
      <c r="G14" s="121">
        <f>G12*G10*G8</f>
        <v>0</v>
      </c>
      <c r="I14" s="121">
        <f>I12*I10*I8</f>
        <v>0</v>
      </c>
      <c r="K14" s="121">
        <f>K12*K10*K8</f>
        <v>0</v>
      </c>
      <c r="M14" s="121">
        <f>M12*M10*M8</f>
        <v>0</v>
      </c>
      <c r="O14" s="121">
        <f>O12*O10*O8</f>
        <v>0</v>
      </c>
      <c r="Q14" s="121">
        <f>Q12*Q10*Q8</f>
        <v>0</v>
      </c>
      <c r="S14" s="121">
        <f>S12*S10*S8</f>
        <v>0</v>
      </c>
      <c r="U14" s="121">
        <f>U12*U10*U8</f>
        <v>0</v>
      </c>
    </row>
    <row r="15" spans="1:22" ht="12.75" customHeight="1">
      <c r="A15" s="39">
        <v>0.05</v>
      </c>
    </row>
    <row r="16" spans="1:22" ht="12.75" customHeight="1">
      <c r="B16" s="35"/>
      <c r="C16" s="86" t="str">
        <f>C6</f>
        <v>FY 2018-19</v>
      </c>
      <c r="D16" s="86" t="s">
        <v>366</v>
      </c>
      <c r="E16" s="86" t="str">
        <f>E6</f>
        <v>FY 2019-20</v>
      </c>
      <c r="F16" s="86" t="s">
        <v>366</v>
      </c>
      <c r="G16" s="86" t="str">
        <f>G6</f>
        <v>FY 2020-21</v>
      </c>
      <c r="H16" s="86" t="s">
        <v>366</v>
      </c>
      <c r="I16" s="86" t="str">
        <f>I6</f>
        <v>FY 2021-22</v>
      </c>
      <c r="J16" s="86" t="s">
        <v>366</v>
      </c>
      <c r="K16" s="86" t="str">
        <f>K6</f>
        <v>FY 2022-23</v>
      </c>
      <c r="L16" s="86" t="s">
        <v>366</v>
      </c>
      <c r="M16" s="86" t="str">
        <f>M6</f>
        <v>FY 2023-24</v>
      </c>
      <c r="N16" s="86" t="s">
        <v>366</v>
      </c>
      <c r="O16" s="86" t="str">
        <f>O6</f>
        <v>FY 2024-25</v>
      </c>
      <c r="P16" s="86" t="s">
        <v>366</v>
      </c>
      <c r="Q16" s="86" t="str">
        <f>Q6</f>
        <v>FY 2025-26</v>
      </c>
      <c r="R16" s="86" t="s">
        <v>366</v>
      </c>
      <c r="S16" s="86" t="str">
        <f>S6</f>
        <v>FY 2026-27</v>
      </c>
      <c r="T16" s="86" t="s">
        <v>366</v>
      </c>
      <c r="U16" s="86" t="str">
        <f>U6</f>
        <v>FY 2027-28</v>
      </c>
      <c r="V16" s="86" t="s">
        <v>366</v>
      </c>
    </row>
    <row r="17" spans="1:24" ht="12.75" customHeight="1">
      <c r="A17" s="1" t="s">
        <v>367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368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369</v>
      </c>
      <c r="B19" s="35"/>
      <c r="C19" s="200">
        <f>+C14-C20-C21</f>
        <v>777417.60095999984</v>
      </c>
      <c r="D19" s="80">
        <f>IFERROR(C19/C$28,0)</f>
        <v>0.86319999999999986</v>
      </c>
      <c r="E19" s="200">
        <f>+E14-E20</f>
        <v>0</v>
      </c>
      <c r="F19" s="80">
        <f>IFERROR(E19/E$28,0)</f>
        <v>0</v>
      </c>
      <c r="G19" s="111">
        <f>E19*1.02</f>
        <v>0</v>
      </c>
      <c r="H19" s="80">
        <f>IFERROR(G19/G$28,0)</f>
        <v>0</v>
      </c>
      <c r="I19" s="111">
        <f>G19*1.02</f>
        <v>0</v>
      </c>
      <c r="J19" s="80">
        <f>IFERROR(I19/I$28,0)</f>
        <v>0</v>
      </c>
      <c r="K19" s="111">
        <f>I19*1.02</f>
        <v>0</v>
      </c>
      <c r="L19" s="80">
        <f>IFERROR(K19/K$28,0)</f>
        <v>0</v>
      </c>
      <c r="M19" s="111">
        <f>K19*1.02</f>
        <v>0</v>
      </c>
      <c r="N19" s="80">
        <f>IFERROR(M19/M$28,0)</f>
        <v>0</v>
      </c>
      <c r="O19" s="111">
        <f>M19*1.02</f>
        <v>0</v>
      </c>
      <c r="P19" s="80">
        <f>IFERROR(O19/O$28,0)</f>
        <v>0</v>
      </c>
      <c r="Q19" s="111">
        <f>O19*1.02</f>
        <v>0</v>
      </c>
      <c r="R19" s="80">
        <f>IFERROR(Q19/Q$28,0)</f>
        <v>0</v>
      </c>
      <c r="S19" s="111">
        <f>Q19*1.02</f>
        <v>0</v>
      </c>
      <c r="T19" s="80">
        <f>IFERROR(S19/S$28,0)</f>
        <v>0</v>
      </c>
      <c r="U19" s="111">
        <f>S19*1.02</f>
        <v>0</v>
      </c>
      <c r="V19" s="80">
        <f>IFERROR(U19/U$28,0)</f>
        <v>0</v>
      </c>
    </row>
    <row r="20" spans="1:24" ht="12.75" customHeight="1">
      <c r="A20" s="2" t="s">
        <v>370</v>
      </c>
      <c r="B20" s="35"/>
      <c r="C20" s="111">
        <f>+C14*12.38%</f>
        <v>111497.10264</v>
      </c>
      <c r="D20" s="80">
        <f>IFERROR(C20/C$28,0)</f>
        <v>0.12380000000000001</v>
      </c>
      <c r="E20" s="111">
        <f>+E14*53.27%</f>
        <v>0</v>
      </c>
      <c r="F20" s="80">
        <f>IFERROR(E20/E$28,0)</f>
        <v>0</v>
      </c>
      <c r="G20" s="111">
        <f t="shared" ref="G20:U21" si="0">E20*1.02</f>
        <v>0</v>
      </c>
      <c r="H20" s="80">
        <f>IFERROR(G20/G$28,0)</f>
        <v>0</v>
      </c>
      <c r="I20" s="111">
        <f t="shared" si="0"/>
        <v>0</v>
      </c>
      <c r="J20" s="80">
        <f>IFERROR(I20/I$28,0)</f>
        <v>0</v>
      </c>
      <c r="K20" s="111">
        <f t="shared" si="0"/>
        <v>0</v>
      </c>
      <c r="L20" s="80">
        <f>IFERROR(K20/K$28,0)</f>
        <v>0</v>
      </c>
      <c r="M20" s="111">
        <f t="shared" si="0"/>
        <v>0</v>
      </c>
      <c r="N20" s="80">
        <f>IFERROR(M20/M$28,0)</f>
        <v>0</v>
      </c>
      <c r="O20" s="111">
        <f t="shared" si="0"/>
        <v>0</v>
      </c>
      <c r="P20" s="80">
        <f>IFERROR(O20/O$28,0)</f>
        <v>0</v>
      </c>
      <c r="Q20" s="111">
        <f t="shared" si="0"/>
        <v>0</v>
      </c>
      <c r="R20" s="80">
        <f>IFERROR(Q20/Q$28,0)</f>
        <v>0</v>
      </c>
      <c r="S20" s="111">
        <f t="shared" si="0"/>
        <v>0</v>
      </c>
      <c r="T20" s="80">
        <f>IFERROR(S20/S$28,0)</f>
        <v>0</v>
      </c>
      <c r="U20" s="111">
        <f t="shared" si="0"/>
        <v>0</v>
      </c>
      <c r="V20" s="80">
        <f>IFERROR(U20/U$28,0)</f>
        <v>0</v>
      </c>
    </row>
    <row r="21" spans="1:24" ht="12.75" customHeight="1">
      <c r="A21" s="186" t="s">
        <v>371</v>
      </c>
      <c r="B21" s="195"/>
      <c r="C21" s="111">
        <f>+C14*0.013</f>
        <v>11708.096399999999</v>
      </c>
      <c r="D21" s="80">
        <f>IFERROR(C21/C$28,0)</f>
        <v>1.2999999999999999E-2</v>
      </c>
      <c r="E21" s="111">
        <v>0</v>
      </c>
      <c r="F21" s="80">
        <f>IFERROR(E21/E$28,0)</f>
        <v>0</v>
      </c>
      <c r="G21" s="111">
        <f t="shared" si="0"/>
        <v>0</v>
      </c>
      <c r="H21" s="80">
        <f>IFERROR(G21/G$28,0)</f>
        <v>0</v>
      </c>
      <c r="I21" s="111">
        <f t="shared" si="0"/>
        <v>0</v>
      </c>
      <c r="J21" s="80">
        <f>IFERROR(I21/I$28,0)</f>
        <v>0</v>
      </c>
      <c r="K21" s="111">
        <f t="shared" si="0"/>
        <v>0</v>
      </c>
      <c r="L21" s="80">
        <f>IFERROR(K21/K$28,0)</f>
        <v>0</v>
      </c>
      <c r="M21" s="111">
        <f t="shared" si="0"/>
        <v>0</v>
      </c>
      <c r="N21" s="80">
        <f>IFERROR(M21/M$28,0)</f>
        <v>0</v>
      </c>
      <c r="O21" s="111">
        <f t="shared" si="0"/>
        <v>0</v>
      </c>
      <c r="P21" s="80">
        <f>IFERROR(O21/O$28,0)</f>
        <v>0</v>
      </c>
      <c r="Q21" s="111">
        <f t="shared" si="0"/>
        <v>0</v>
      </c>
      <c r="R21" s="80">
        <f>IFERROR(Q21/Q$28,0)</f>
        <v>0</v>
      </c>
      <c r="S21" s="111">
        <f t="shared" si="0"/>
        <v>0</v>
      </c>
      <c r="T21" s="80">
        <f>IFERROR(S21/S$28,0)</f>
        <v>0</v>
      </c>
      <c r="U21" s="111">
        <f t="shared" si="0"/>
        <v>0</v>
      </c>
      <c r="V21" s="80">
        <f>IFERROR(U21/U$28,0)</f>
        <v>0</v>
      </c>
    </row>
    <row r="22" spans="1:24" ht="12.75" customHeight="1">
      <c r="A22" s="2" t="s">
        <v>372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373</v>
      </c>
      <c r="B23" s="123"/>
      <c r="C23" s="79"/>
      <c r="D23" s="80">
        <f t="shared" ref="D23:D28" si="1">IFERROR(C23/C$28,0)</f>
        <v>0</v>
      </c>
      <c r="E23" s="79"/>
      <c r="F23" s="80">
        <f t="shared" ref="F23:F28" si="2">IFERROR(E23/E$28,0)</f>
        <v>0</v>
      </c>
      <c r="G23" s="79"/>
      <c r="H23" s="80">
        <f t="shared" ref="H23:H28" si="3">IFERROR(G23/G$28,0)</f>
        <v>0</v>
      </c>
      <c r="I23" s="79"/>
      <c r="J23" s="80">
        <f t="shared" ref="J23:J28" si="4">IFERROR(I23/I$28,0)</f>
        <v>0</v>
      </c>
      <c r="K23" s="79"/>
      <c r="L23" s="80">
        <f t="shared" ref="L23:L28" si="5">IFERROR(K23/K$28,0)</f>
        <v>0</v>
      </c>
      <c r="M23" s="79"/>
      <c r="N23" s="80">
        <f t="shared" ref="N23:N28" si="6">IFERROR(M23/M$28,0)</f>
        <v>0</v>
      </c>
      <c r="O23" s="79"/>
      <c r="P23" s="80">
        <f t="shared" ref="P23:P28" si="7">IFERROR(O23/O$28,0)</f>
        <v>0</v>
      </c>
      <c r="Q23" s="79"/>
      <c r="R23" s="80">
        <f t="shared" ref="R23:R28" si="8">IFERROR(Q23/Q$28,0)</f>
        <v>0</v>
      </c>
      <c r="S23" s="79"/>
      <c r="T23" s="80">
        <f t="shared" ref="T23:T28" si="9">IFERROR(S23/S$28,0)</f>
        <v>0</v>
      </c>
      <c r="U23" s="79"/>
      <c r="V23" s="80">
        <f t="shared" ref="V23:V28" si="10">IFERROR(U23/U$28,0)</f>
        <v>0</v>
      </c>
    </row>
    <row r="24" spans="1:24" ht="12.75" customHeight="1">
      <c r="A24" s="122" t="s">
        <v>374</v>
      </c>
      <c r="B24" s="123"/>
      <c r="C24" s="79"/>
      <c r="D24" s="80">
        <f t="shared" si="1"/>
        <v>0</v>
      </c>
      <c r="E24" s="79"/>
      <c r="F24" s="80">
        <f t="shared" si="2"/>
        <v>0</v>
      </c>
      <c r="G24" s="79"/>
      <c r="H24" s="80">
        <f t="shared" si="3"/>
        <v>0</v>
      </c>
      <c r="I24" s="79"/>
      <c r="J24" s="80">
        <f t="shared" si="4"/>
        <v>0</v>
      </c>
      <c r="K24" s="79"/>
      <c r="L24" s="80">
        <f t="shared" si="5"/>
        <v>0</v>
      </c>
      <c r="M24" s="79"/>
      <c r="N24" s="80">
        <f t="shared" si="6"/>
        <v>0</v>
      </c>
      <c r="O24" s="79"/>
      <c r="P24" s="80">
        <f t="shared" si="7"/>
        <v>0</v>
      </c>
      <c r="Q24" s="79"/>
      <c r="R24" s="80">
        <f t="shared" si="8"/>
        <v>0</v>
      </c>
      <c r="S24" s="79"/>
      <c r="T24" s="80">
        <f t="shared" si="9"/>
        <v>0</v>
      </c>
      <c r="U24" s="79"/>
      <c r="V24" s="80">
        <f t="shared" si="10"/>
        <v>0</v>
      </c>
      <c r="X24" s="79"/>
    </row>
    <row r="25" spans="1:24" ht="12.75" customHeight="1">
      <c r="A25" s="2" t="s">
        <v>375</v>
      </c>
      <c r="B25" s="35"/>
      <c r="C25" s="111"/>
      <c r="D25" s="80">
        <f t="shared" si="1"/>
        <v>0</v>
      </c>
      <c r="E25" s="111"/>
      <c r="F25" s="80">
        <f t="shared" si="2"/>
        <v>0</v>
      </c>
      <c r="G25" s="111"/>
      <c r="H25" s="80">
        <f t="shared" si="3"/>
        <v>0</v>
      </c>
      <c r="I25" s="111"/>
      <c r="J25" s="80">
        <f t="shared" si="4"/>
        <v>0</v>
      </c>
      <c r="K25" s="111"/>
      <c r="L25" s="80">
        <f t="shared" si="5"/>
        <v>0</v>
      </c>
      <c r="M25" s="111"/>
      <c r="N25" s="80">
        <f t="shared" si="6"/>
        <v>0</v>
      </c>
      <c r="O25" s="111"/>
      <c r="P25" s="80">
        <f t="shared" si="7"/>
        <v>0</v>
      </c>
      <c r="Q25" s="111"/>
      <c r="R25" s="80">
        <f t="shared" si="8"/>
        <v>0</v>
      </c>
      <c r="S25" s="111"/>
      <c r="T25" s="80">
        <f t="shared" si="9"/>
        <v>0</v>
      </c>
      <c r="U25" s="111"/>
      <c r="V25" s="80">
        <f t="shared" si="10"/>
        <v>0</v>
      </c>
      <c r="X25" s="79"/>
    </row>
    <row r="26" spans="1:24" ht="12.75" customHeight="1">
      <c r="A26" s="122" t="s">
        <v>376</v>
      </c>
      <c r="B26" s="35"/>
      <c r="C26" s="79"/>
      <c r="D26" s="80">
        <f t="shared" si="1"/>
        <v>0</v>
      </c>
      <c r="E26" s="79"/>
      <c r="F26" s="80">
        <f t="shared" si="2"/>
        <v>0</v>
      </c>
      <c r="G26" s="79"/>
      <c r="H26" s="80">
        <f t="shared" si="3"/>
        <v>0</v>
      </c>
      <c r="I26" s="79"/>
      <c r="J26" s="80">
        <f t="shared" si="4"/>
        <v>0</v>
      </c>
      <c r="K26" s="79"/>
      <c r="L26" s="80">
        <f t="shared" si="5"/>
        <v>0</v>
      </c>
      <c r="M26" s="79"/>
      <c r="N26" s="80">
        <f t="shared" si="6"/>
        <v>0</v>
      </c>
      <c r="O26" s="79"/>
      <c r="P26" s="80">
        <f t="shared" si="7"/>
        <v>0</v>
      </c>
      <c r="Q26" s="79"/>
      <c r="R26" s="80">
        <f t="shared" si="8"/>
        <v>0</v>
      </c>
      <c r="S26" s="79"/>
      <c r="T26" s="80">
        <f t="shared" si="9"/>
        <v>0</v>
      </c>
      <c r="U26" s="79"/>
      <c r="V26" s="80">
        <f t="shared" si="10"/>
        <v>0</v>
      </c>
    </row>
    <row r="27" spans="1:24" ht="12.75" customHeight="1">
      <c r="A27" s="2" t="s">
        <v>377</v>
      </c>
      <c r="B27" s="35"/>
      <c r="C27" s="112"/>
      <c r="D27" s="80">
        <f t="shared" si="1"/>
        <v>0</v>
      </c>
      <c r="E27" s="112"/>
      <c r="F27" s="80">
        <f t="shared" si="2"/>
        <v>0</v>
      </c>
      <c r="G27" s="112"/>
      <c r="H27" s="80">
        <f t="shared" si="3"/>
        <v>0</v>
      </c>
      <c r="I27" s="112"/>
      <c r="J27" s="80">
        <f t="shared" si="4"/>
        <v>0</v>
      </c>
      <c r="K27" s="112"/>
      <c r="L27" s="80">
        <f t="shared" si="5"/>
        <v>0</v>
      </c>
      <c r="M27" s="112"/>
      <c r="N27" s="80">
        <f t="shared" si="6"/>
        <v>0</v>
      </c>
      <c r="O27" s="112"/>
      <c r="P27" s="80">
        <f t="shared" si="7"/>
        <v>0</v>
      </c>
      <c r="Q27" s="112"/>
      <c r="R27" s="80">
        <f t="shared" si="8"/>
        <v>0</v>
      </c>
      <c r="S27" s="112"/>
      <c r="T27" s="80">
        <f t="shared" si="9"/>
        <v>0</v>
      </c>
      <c r="U27" s="112"/>
      <c r="V27" s="80">
        <f t="shared" si="10"/>
        <v>0</v>
      </c>
    </row>
    <row r="28" spans="1:24" ht="12.75" customHeight="1">
      <c r="A28" s="1" t="s">
        <v>378</v>
      </c>
      <c r="B28" s="53"/>
      <c r="C28" s="82">
        <f>SUM(C19:C27)</f>
        <v>900622.79999999993</v>
      </c>
      <c r="D28" s="83">
        <f t="shared" si="1"/>
        <v>1</v>
      </c>
      <c r="E28" s="82">
        <f>SUM(E19:E27)</f>
        <v>0</v>
      </c>
      <c r="F28" s="83">
        <f t="shared" si="2"/>
        <v>0</v>
      </c>
      <c r="G28" s="82">
        <f>SUM(G19:G27)</f>
        <v>0</v>
      </c>
      <c r="H28" s="83">
        <f t="shared" si="3"/>
        <v>0</v>
      </c>
      <c r="I28" s="82">
        <f>SUM(I19:I27)</f>
        <v>0</v>
      </c>
      <c r="J28" s="83">
        <f t="shared" si="4"/>
        <v>0</v>
      </c>
      <c r="K28" s="82">
        <f>SUM(K19:K27)</f>
        <v>0</v>
      </c>
      <c r="L28" s="83">
        <f t="shared" si="5"/>
        <v>0</v>
      </c>
      <c r="M28" s="82">
        <f>SUM(M19:M27)</f>
        <v>0</v>
      </c>
      <c r="N28" s="83">
        <f t="shared" si="6"/>
        <v>0</v>
      </c>
      <c r="O28" s="82">
        <f>SUM(O19:O27)</f>
        <v>0</v>
      </c>
      <c r="P28" s="83">
        <f t="shared" si="7"/>
        <v>0</v>
      </c>
      <c r="Q28" s="82">
        <f>SUM(Q19:Q27)</f>
        <v>0</v>
      </c>
      <c r="R28" s="83">
        <f t="shared" si="8"/>
        <v>0</v>
      </c>
      <c r="S28" s="82">
        <f>SUM(S19:S27)</f>
        <v>0</v>
      </c>
      <c r="T28" s="83">
        <f t="shared" si="9"/>
        <v>0</v>
      </c>
      <c r="U28" s="82">
        <f>SUM(U19:U27)</f>
        <v>0</v>
      </c>
      <c r="V28" s="83">
        <f t="shared" si="10"/>
        <v>0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379</v>
      </c>
      <c r="B30" s="53"/>
      <c r="C30" s="197">
        <v>0.30599999999999999</v>
      </c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380</v>
      </c>
      <c r="B31" s="35"/>
      <c r="C31" s="178">
        <f>$C$30*C14</f>
        <v>275590.57679999998</v>
      </c>
      <c r="D31" s="80">
        <f>IFERROR(C31/C$28,0)</f>
        <v>0.30599999999999999</v>
      </c>
      <c r="E31" s="178">
        <f>$C$30*E14</f>
        <v>0</v>
      </c>
      <c r="F31" s="80">
        <f>IFERROR(E31/E$28,0)</f>
        <v>0</v>
      </c>
      <c r="G31" s="178">
        <f>$C$30*G14</f>
        <v>0</v>
      </c>
      <c r="H31" s="80">
        <f>IFERROR(G31/G$28,0)</f>
        <v>0</v>
      </c>
      <c r="I31" s="178">
        <f>$C$30*I14</f>
        <v>0</v>
      </c>
      <c r="J31" s="80">
        <f>IFERROR(I31/I$28,0)</f>
        <v>0</v>
      </c>
      <c r="K31" s="178">
        <f>$C$30*K14</f>
        <v>0</v>
      </c>
      <c r="L31" s="80">
        <f>IFERROR(K31/K$28,0)</f>
        <v>0</v>
      </c>
      <c r="M31" s="178">
        <f>$C$30*M14</f>
        <v>0</v>
      </c>
      <c r="N31" s="80">
        <f>IFERROR(M31/M$28,0)</f>
        <v>0</v>
      </c>
      <c r="O31" s="178">
        <f>$C$30*O14</f>
        <v>0</v>
      </c>
      <c r="P31" s="80">
        <f>IFERROR(O31/O$28,0)</f>
        <v>0</v>
      </c>
      <c r="Q31" s="178">
        <f>$C$30*Q14</f>
        <v>0</v>
      </c>
      <c r="R31" s="80">
        <f>IFERROR(Q31/Q$28,0)</f>
        <v>0</v>
      </c>
      <c r="S31" s="178">
        <f>$C$30*S14</f>
        <v>0</v>
      </c>
      <c r="T31" s="80">
        <f>IFERROR(S31/S$28,0)</f>
        <v>0</v>
      </c>
      <c r="U31" s="178">
        <f>$C$30*U14</f>
        <v>0</v>
      </c>
      <c r="V31" s="80">
        <f>IFERROR(U31/U$28,0)</f>
        <v>0</v>
      </c>
    </row>
    <row r="32" spans="1:24" ht="12.75" customHeight="1">
      <c r="A32" s="8" t="s">
        <v>381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382</v>
      </c>
      <c r="B33" s="53"/>
      <c r="C33" s="82">
        <f>SUM(C31:C32)</f>
        <v>275590.57679999998</v>
      </c>
      <c r="D33" s="83">
        <f>IFERROR(C33/C$28,0)</f>
        <v>0.30599999999999999</v>
      </c>
      <c r="E33" s="82">
        <f>SUM(E31:E32)</f>
        <v>0</v>
      </c>
      <c r="F33" s="83">
        <f>IFERROR(E33/E$28,0)</f>
        <v>0</v>
      </c>
      <c r="G33" s="82">
        <f>SUM(G31:G32)</f>
        <v>0</v>
      </c>
      <c r="H33" s="83">
        <f>IFERROR(G33/G$28,0)</f>
        <v>0</v>
      </c>
      <c r="I33" s="82">
        <f>SUM(I31:I32)</f>
        <v>0</v>
      </c>
      <c r="J33" s="83">
        <f>IFERROR(I33/I$28,0)</f>
        <v>0</v>
      </c>
      <c r="K33" s="82">
        <f>SUM(K31:K32)</f>
        <v>0</v>
      </c>
      <c r="L33" s="83">
        <f>IFERROR(K33/K$28,0)</f>
        <v>0</v>
      </c>
      <c r="M33" s="82">
        <f>SUM(M31:M32)</f>
        <v>0</v>
      </c>
      <c r="N33" s="83">
        <f>IFERROR(M33/M$28,0)</f>
        <v>0</v>
      </c>
      <c r="O33" s="82">
        <f>SUM(O31:O32)</f>
        <v>0</v>
      </c>
      <c r="P33" s="83">
        <f>IFERROR(O33/O$28,0)</f>
        <v>0</v>
      </c>
      <c r="Q33" s="82">
        <f>SUM(Q31:Q32)</f>
        <v>0</v>
      </c>
      <c r="R33" s="83">
        <f>IFERROR(Q33/Q$28,0)</f>
        <v>0</v>
      </c>
      <c r="S33" s="82">
        <f>SUM(S31:S32)</f>
        <v>0</v>
      </c>
      <c r="T33" s="83">
        <f>IFERROR(S33/S$28,0)</f>
        <v>0</v>
      </c>
      <c r="U33" s="82">
        <f>SUM(U31:U32)</f>
        <v>0</v>
      </c>
      <c r="V33" s="83">
        <f>IFERROR(U33/U$28,0)</f>
        <v>0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383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384</v>
      </c>
      <c r="B36" s="35"/>
      <c r="C36" s="178">
        <v>43908</v>
      </c>
      <c r="D36" s="80">
        <f t="shared" ref="D36:D46" si="11">IFERROR(C36/C$28,0)</f>
        <v>4.8752929639356235E-2</v>
      </c>
      <c r="E36" s="178"/>
      <c r="F36" s="80">
        <f t="shared" ref="F36:F46" si="12">IFERROR(E36/E$28,0)</f>
        <v>0</v>
      </c>
      <c r="G36" s="178"/>
      <c r="H36" s="80">
        <f t="shared" ref="H36:H46" si="13">IFERROR(G36/G$28,0)</f>
        <v>0</v>
      </c>
      <c r="I36" s="178"/>
      <c r="J36" s="80">
        <f t="shared" ref="J36:J46" si="14">IFERROR(I36/I$28,0)</f>
        <v>0</v>
      </c>
      <c r="K36" s="178"/>
      <c r="L36" s="80">
        <f t="shared" ref="L36:L46" si="15">IFERROR(K36/K$28,0)</f>
        <v>0</v>
      </c>
      <c r="M36" s="178"/>
      <c r="N36" s="80">
        <f t="shared" ref="N36:N46" si="16">IFERROR(M36/M$28,0)</f>
        <v>0</v>
      </c>
      <c r="O36" s="178"/>
      <c r="P36" s="80">
        <f t="shared" ref="P36:P46" si="17">IFERROR(O36/O$28,0)</f>
        <v>0</v>
      </c>
      <c r="Q36" s="178"/>
      <c r="R36" s="80">
        <f t="shared" ref="R36:R46" si="18">IFERROR(Q36/Q$28,0)</f>
        <v>0</v>
      </c>
      <c r="S36" s="178"/>
      <c r="T36" s="80">
        <f t="shared" ref="T36:T46" si="19">IFERROR(S36/S$28,0)</f>
        <v>0</v>
      </c>
      <c r="U36" s="178"/>
      <c r="V36" s="80">
        <f t="shared" ref="V36:V46" si="20">IFERROR(U36/U$28,0)</f>
        <v>0</v>
      </c>
    </row>
    <row r="37" spans="1:22" ht="12.75" customHeight="1">
      <c r="A37" s="2" t="s">
        <v>385</v>
      </c>
      <c r="B37" s="35"/>
      <c r="C37" s="178">
        <v>254354</v>
      </c>
      <c r="D37" s="80">
        <f t="shared" si="11"/>
        <v>0.2824201208319399</v>
      </c>
      <c r="E37" s="178"/>
      <c r="F37" s="80">
        <f t="shared" si="12"/>
        <v>0</v>
      </c>
      <c r="G37" s="178">
        <f>+E37*1.035</f>
        <v>0</v>
      </c>
      <c r="H37" s="80">
        <f t="shared" si="13"/>
        <v>0</v>
      </c>
      <c r="I37" s="178">
        <f>+G37*1.032</f>
        <v>0</v>
      </c>
      <c r="J37" s="80">
        <f t="shared" si="14"/>
        <v>0</v>
      </c>
      <c r="K37" s="178">
        <f>+I37*1.025</f>
        <v>0</v>
      </c>
      <c r="L37" s="80">
        <f t="shared" si="15"/>
        <v>0</v>
      </c>
      <c r="M37" s="178">
        <f>+K37*1.025</f>
        <v>0</v>
      </c>
      <c r="N37" s="80">
        <f t="shared" si="16"/>
        <v>0</v>
      </c>
      <c r="O37" s="178">
        <f>+M37*1.025</f>
        <v>0</v>
      </c>
      <c r="P37" s="80">
        <f t="shared" si="17"/>
        <v>0</v>
      </c>
      <c r="Q37" s="178">
        <f>+O37*1.025</f>
        <v>0</v>
      </c>
      <c r="R37" s="80">
        <f t="shared" si="18"/>
        <v>0</v>
      </c>
      <c r="S37" s="178">
        <f>+Q37*1.025</f>
        <v>0</v>
      </c>
      <c r="T37" s="80">
        <f t="shared" si="19"/>
        <v>0</v>
      </c>
      <c r="U37" s="178">
        <f>+S37*1.025</f>
        <v>0</v>
      </c>
      <c r="V37" s="80">
        <f t="shared" si="20"/>
        <v>0</v>
      </c>
    </row>
    <row r="38" spans="1:22" ht="12.75" customHeight="1">
      <c r="A38" s="2" t="s">
        <v>386</v>
      </c>
      <c r="B38" s="35"/>
      <c r="C38" s="178"/>
      <c r="D38" s="80">
        <f t="shared" si="11"/>
        <v>0</v>
      </c>
      <c r="E38" s="178"/>
      <c r="F38" s="80">
        <f t="shared" si="12"/>
        <v>0</v>
      </c>
      <c r="G38" s="178">
        <f>+E38*1.035</f>
        <v>0</v>
      </c>
      <c r="H38" s="80">
        <f t="shared" si="13"/>
        <v>0</v>
      </c>
      <c r="I38" s="178">
        <f>+G38*1.032</f>
        <v>0</v>
      </c>
      <c r="J38" s="80">
        <f t="shared" si="14"/>
        <v>0</v>
      </c>
      <c r="K38" s="178">
        <f>+I38*1.025</f>
        <v>0</v>
      </c>
      <c r="L38" s="80">
        <f t="shared" si="15"/>
        <v>0</v>
      </c>
      <c r="M38" s="178">
        <f>+K38*1.025</f>
        <v>0</v>
      </c>
      <c r="N38" s="80">
        <f t="shared" si="16"/>
        <v>0</v>
      </c>
      <c r="O38" s="178">
        <f>+M38*1.025</f>
        <v>0</v>
      </c>
      <c r="P38" s="80">
        <f t="shared" si="17"/>
        <v>0</v>
      </c>
      <c r="Q38" s="178">
        <f>+O38*1.025</f>
        <v>0</v>
      </c>
      <c r="R38" s="80">
        <f t="shared" si="18"/>
        <v>0</v>
      </c>
      <c r="S38" s="178">
        <f>+Q38*1.025</f>
        <v>0</v>
      </c>
      <c r="T38" s="80">
        <f t="shared" si="19"/>
        <v>0</v>
      </c>
      <c r="U38" s="178">
        <f>+S38*1.025</f>
        <v>0</v>
      </c>
      <c r="V38" s="80">
        <f t="shared" si="20"/>
        <v>0</v>
      </c>
    </row>
    <row r="39" spans="1:22" ht="12.75" customHeight="1">
      <c r="A39" s="2" t="s">
        <v>387</v>
      </c>
      <c r="B39" s="35"/>
      <c r="C39" s="178">
        <v>26483</v>
      </c>
      <c r="D39" s="80">
        <f t="shared" si="11"/>
        <v>2.9405207152206229E-2</v>
      </c>
      <c r="E39" s="178"/>
      <c r="F39" s="80">
        <f t="shared" si="12"/>
        <v>0</v>
      </c>
      <c r="G39" s="178">
        <f>+E39*1.035</f>
        <v>0</v>
      </c>
      <c r="H39" s="80">
        <f t="shared" si="13"/>
        <v>0</v>
      </c>
      <c r="I39" s="178">
        <f>+G39*1.032</f>
        <v>0</v>
      </c>
      <c r="J39" s="80">
        <f t="shared" si="14"/>
        <v>0</v>
      </c>
      <c r="K39" s="178">
        <f>+I39*1.025</f>
        <v>0</v>
      </c>
      <c r="L39" s="80">
        <f t="shared" si="15"/>
        <v>0</v>
      </c>
      <c r="M39" s="178">
        <f>+K39*1.025</f>
        <v>0</v>
      </c>
      <c r="N39" s="80">
        <f t="shared" si="16"/>
        <v>0</v>
      </c>
      <c r="O39" s="178">
        <f>+M39*1.025</f>
        <v>0</v>
      </c>
      <c r="P39" s="80">
        <f t="shared" si="17"/>
        <v>0</v>
      </c>
      <c r="Q39" s="178">
        <f>+O39*1.025</f>
        <v>0</v>
      </c>
      <c r="R39" s="80">
        <f t="shared" si="18"/>
        <v>0</v>
      </c>
      <c r="S39" s="178">
        <f>+Q39*1.025</f>
        <v>0</v>
      </c>
      <c r="T39" s="80">
        <f t="shared" si="19"/>
        <v>0</v>
      </c>
      <c r="U39" s="178">
        <f>+S39*1.025</f>
        <v>0</v>
      </c>
      <c r="V39" s="80">
        <f t="shared" si="20"/>
        <v>0</v>
      </c>
    </row>
    <row r="40" spans="1:22" ht="12.75" customHeight="1">
      <c r="A40" s="2" t="s">
        <v>388</v>
      </c>
      <c r="B40" s="35"/>
      <c r="C40" s="178">
        <f>C36*0.124</f>
        <v>5444.5919999999996</v>
      </c>
      <c r="D40" s="80">
        <f t="shared" si="11"/>
        <v>6.0453632752801726E-3</v>
      </c>
      <c r="E40" s="178"/>
      <c r="F40" s="80">
        <f t="shared" si="12"/>
        <v>0</v>
      </c>
      <c r="G40" s="178">
        <f>G36*0.124</f>
        <v>0</v>
      </c>
      <c r="H40" s="80">
        <f t="shared" si="13"/>
        <v>0</v>
      </c>
      <c r="I40" s="178">
        <f>I36*0.124</f>
        <v>0</v>
      </c>
      <c r="J40" s="80">
        <f t="shared" si="14"/>
        <v>0</v>
      </c>
      <c r="K40" s="178">
        <f>K36*0.124</f>
        <v>0</v>
      </c>
      <c r="L40" s="80">
        <f t="shared" si="15"/>
        <v>0</v>
      </c>
      <c r="M40" s="178">
        <f>M36*0.124</f>
        <v>0</v>
      </c>
      <c r="N40" s="80">
        <f t="shared" si="16"/>
        <v>0</v>
      </c>
      <c r="O40" s="178">
        <f>O36*0.124</f>
        <v>0</v>
      </c>
      <c r="P40" s="80">
        <f t="shared" si="17"/>
        <v>0</v>
      </c>
      <c r="Q40" s="178">
        <f>Q36*0.124</f>
        <v>0</v>
      </c>
      <c r="R40" s="80">
        <f t="shared" si="18"/>
        <v>0</v>
      </c>
      <c r="S40" s="178">
        <f>S36*0.124</f>
        <v>0</v>
      </c>
      <c r="T40" s="80">
        <f t="shared" si="19"/>
        <v>0</v>
      </c>
      <c r="U40" s="178">
        <f>U36*0.124</f>
        <v>0</v>
      </c>
      <c r="V40" s="80">
        <f t="shared" si="20"/>
        <v>0</v>
      </c>
    </row>
    <row r="41" spans="1:22" ht="12.75" customHeight="1">
      <c r="A41" s="2" t="s">
        <v>389</v>
      </c>
      <c r="B41" s="35"/>
      <c r="C41" s="178">
        <f>C37*0.124</f>
        <v>31539.896000000001</v>
      </c>
      <c r="D41" s="80">
        <f t="shared" si="11"/>
        <v>3.5020094983160548E-2</v>
      </c>
      <c r="E41" s="178"/>
      <c r="F41" s="80">
        <f t="shared" si="12"/>
        <v>0</v>
      </c>
      <c r="G41" s="178">
        <f>G37*0.124</f>
        <v>0</v>
      </c>
      <c r="H41" s="80">
        <f t="shared" si="13"/>
        <v>0</v>
      </c>
      <c r="I41" s="178">
        <f>I37*0.124</f>
        <v>0</v>
      </c>
      <c r="J41" s="80">
        <f t="shared" si="14"/>
        <v>0</v>
      </c>
      <c r="K41" s="178">
        <f>K37*0.124</f>
        <v>0</v>
      </c>
      <c r="L41" s="80">
        <f t="shared" si="15"/>
        <v>0</v>
      </c>
      <c r="M41" s="178">
        <f>M37*0.124</f>
        <v>0</v>
      </c>
      <c r="N41" s="80">
        <f t="shared" si="16"/>
        <v>0</v>
      </c>
      <c r="O41" s="178">
        <f>O37*0.124</f>
        <v>0</v>
      </c>
      <c r="P41" s="80">
        <f t="shared" si="17"/>
        <v>0</v>
      </c>
      <c r="Q41" s="178">
        <f>Q37*0.124</f>
        <v>0</v>
      </c>
      <c r="R41" s="80">
        <f t="shared" si="18"/>
        <v>0</v>
      </c>
      <c r="S41" s="178">
        <f>S37*0.124</f>
        <v>0</v>
      </c>
      <c r="T41" s="80">
        <f t="shared" si="19"/>
        <v>0</v>
      </c>
      <c r="U41" s="178">
        <f>U37*0.124</f>
        <v>0</v>
      </c>
      <c r="V41" s="80">
        <f t="shared" si="20"/>
        <v>0</v>
      </c>
    </row>
    <row r="42" spans="1:22" ht="12.75" customHeight="1">
      <c r="A42" s="2" t="s">
        <v>390</v>
      </c>
      <c r="B42" s="35"/>
      <c r="C42" s="178"/>
      <c r="D42" s="80">
        <f t="shared" si="11"/>
        <v>0</v>
      </c>
      <c r="E42" s="178"/>
      <c r="F42" s="80">
        <f t="shared" si="12"/>
        <v>0</v>
      </c>
      <c r="G42" s="178"/>
      <c r="H42" s="80">
        <f t="shared" si="13"/>
        <v>0</v>
      </c>
      <c r="I42" s="178"/>
      <c r="J42" s="80">
        <f t="shared" si="14"/>
        <v>0</v>
      </c>
      <c r="K42" s="178"/>
      <c r="L42" s="80">
        <f t="shared" si="15"/>
        <v>0</v>
      </c>
      <c r="M42" s="178"/>
      <c r="N42" s="80">
        <f t="shared" si="16"/>
        <v>0</v>
      </c>
      <c r="O42" s="178"/>
      <c r="P42" s="80">
        <f t="shared" si="17"/>
        <v>0</v>
      </c>
      <c r="Q42" s="178"/>
      <c r="R42" s="80">
        <f t="shared" si="18"/>
        <v>0</v>
      </c>
      <c r="S42" s="178"/>
      <c r="T42" s="80">
        <f t="shared" si="19"/>
        <v>0</v>
      </c>
      <c r="U42" s="178"/>
      <c r="V42" s="80">
        <f t="shared" si="20"/>
        <v>0</v>
      </c>
    </row>
    <row r="43" spans="1:22" ht="12.75" customHeight="1">
      <c r="A43" s="2" t="s">
        <v>391</v>
      </c>
      <c r="B43" s="35"/>
      <c r="C43" s="178"/>
      <c r="D43" s="80">
        <f t="shared" si="11"/>
        <v>0</v>
      </c>
      <c r="E43" s="178"/>
      <c r="F43" s="80">
        <f t="shared" si="12"/>
        <v>0</v>
      </c>
      <c r="G43" s="178"/>
      <c r="H43" s="80">
        <f t="shared" si="13"/>
        <v>0</v>
      </c>
      <c r="I43" s="178"/>
      <c r="J43" s="80">
        <f t="shared" si="14"/>
        <v>0</v>
      </c>
      <c r="K43" s="178"/>
      <c r="L43" s="80">
        <f t="shared" si="15"/>
        <v>0</v>
      </c>
      <c r="M43" s="178"/>
      <c r="N43" s="80">
        <f t="shared" si="16"/>
        <v>0</v>
      </c>
      <c r="O43" s="178"/>
      <c r="P43" s="80">
        <f t="shared" si="17"/>
        <v>0</v>
      </c>
      <c r="Q43" s="178"/>
      <c r="R43" s="80">
        <f t="shared" si="18"/>
        <v>0</v>
      </c>
      <c r="S43" s="178"/>
      <c r="T43" s="80">
        <f t="shared" si="19"/>
        <v>0</v>
      </c>
      <c r="U43" s="178"/>
      <c r="V43" s="80">
        <f t="shared" si="20"/>
        <v>0</v>
      </c>
    </row>
    <row r="44" spans="1:22" ht="12.75" customHeight="1">
      <c r="A44" s="2" t="s">
        <v>392</v>
      </c>
      <c r="B44" s="35"/>
      <c r="C44" s="178"/>
      <c r="D44" s="80">
        <f t="shared" si="11"/>
        <v>0</v>
      </c>
      <c r="E44" s="178"/>
      <c r="F44" s="80">
        <f t="shared" si="12"/>
        <v>0</v>
      </c>
      <c r="G44" s="178"/>
      <c r="H44" s="80">
        <f t="shared" si="13"/>
        <v>0</v>
      </c>
      <c r="I44" s="178"/>
      <c r="J44" s="80">
        <f t="shared" si="14"/>
        <v>0</v>
      </c>
      <c r="K44" s="178"/>
      <c r="L44" s="80">
        <f t="shared" si="15"/>
        <v>0</v>
      </c>
      <c r="M44" s="178"/>
      <c r="N44" s="80">
        <f t="shared" si="16"/>
        <v>0</v>
      </c>
      <c r="O44" s="178"/>
      <c r="P44" s="80">
        <f t="shared" si="17"/>
        <v>0</v>
      </c>
      <c r="Q44" s="178"/>
      <c r="R44" s="80">
        <f t="shared" si="18"/>
        <v>0</v>
      </c>
      <c r="S44" s="178"/>
      <c r="T44" s="80">
        <f t="shared" si="19"/>
        <v>0</v>
      </c>
      <c r="U44" s="178"/>
      <c r="V44" s="80">
        <f t="shared" si="20"/>
        <v>0</v>
      </c>
    </row>
    <row r="45" spans="1:22" ht="12.75" customHeight="1">
      <c r="A45" s="2" t="s">
        <v>393</v>
      </c>
      <c r="B45" s="35"/>
      <c r="C45" s="181">
        <f>SUM(C36:C39)*0.094</f>
        <v>30526.03</v>
      </c>
      <c r="D45" s="80">
        <f t="shared" si="11"/>
        <v>3.3894356216609217E-2</v>
      </c>
      <c r="E45" s="181"/>
      <c r="F45" s="80">
        <f t="shared" si="12"/>
        <v>0</v>
      </c>
      <c r="G45" s="181">
        <f>SUM(G36:G39)*0.094</f>
        <v>0</v>
      </c>
      <c r="H45" s="80">
        <f t="shared" si="13"/>
        <v>0</v>
      </c>
      <c r="I45" s="181">
        <f>SUM(I36:I39)*0.094</f>
        <v>0</v>
      </c>
      <c r="J45" s="80">
        <f t="shared" si="14"/>
        <v>0</v>
      </c>
      <c r="K45" s="181">
        <f>SUM(K36:K39)*0.094</f>
        <v>0</v>
      </c>
      <c r="L45" s="80">
        <f t="shared" si="15"/>
        <v>0</v>
      </c>
      <c r="M45" s="181">
        <f>SUM(M36:M39)*0.094</f>
        <v>0</v>
      </c>
      <c r="N45" s="80">
        <f t="shared" si="16"/>
        <v>0</v>
      </c>
      <c r="O45" s="181">
        <f>SUM(O36:O39)*0.094</f>
        <v>0</v>
      </c>
      <c r="P45" s="80">
        <f t="shared" si="17"/>
        <v>0</v>
      </c>
      <c r="Q45" s="181">
        <f>SUM(Q36:Q39)*0.094</f>
        <v>0</v>
      </c>
      <c r="R45" s="80">
        <f t="shared" si="18"/>
        <v>0</v>
      </c>
      <c r="S45" s="181">
        <f>SUM(S36:S39)*0.094</f>
        <v>0</v>
      </c>
      <c r="T45" s="80">
        <f t="shared" si="19"/>
        <v>0</v>
      </c>
      <c r="U45" s="181">
        <f>SUM(U36:U39)*0.094</f>
        <v>0</v>
      </c>
      <c r="V45" s="80">
        <f t="shared" si="20"/>
        <v>0</v>
      </c>
    </row>
    <row r="46" spans="1:22" ht="12.75" customHeight="1">
      <c r="A46" s="1" t="s">
        <v>394</v>
      </c>
      <c r="B46" s="53"/>
      <c r="C46" s="82">
        <f>SUM(C36:C45)</f>
        <v>392255.51800000004</v>
      </c>
      <c r="D46" s="83">
        <f t="shared" si="11"/>
        <v>0.43553807209855233</v>
      </c>
      <c r="E46" s="82">
        <f>SUM(E36:E45)</f>
        <v>0</v>
      </c>
      <c r="F46" s="83">
        <f t="shared" si="12"/>
        <v>0</v>
      </c>
      <c r="G46" s="82">
        <f>SUM(G36:G45)</f>
        <v>0</v>
      </c>
      <c r="H46" s="83">
        <f t="shared" si="13"/>
        <v>0</v>
      </c>
      <c r="I46" s="82">
        <f>SUM(I36:I45)</f>
        <v>0</v>
      </c>
      <c r="J46" s="83">
        <f t="shared" si="14"/>
        <v>0</v>
      </c>
      <c r="K46" s="82">
        <f>SUM(K36:K45)</f>
        <v>0</v>
      </c>
      <c r="L46" s="83">
        <f t="shared" si="15"/>
        <v>0</v>
      </c>
      <c r="M46" s="82">
        <f>SUM(M36:M45)</f>
        <v>0</v>
      </c>
      <c r="N46" s="83">
        <f t="shared" si="16"/>
        <v>0</v>
      </c>
      <c r="O46" s="82">
        <f>SUM(O36:O45)</f>
        <v>0</v>
      </c>
      <c r="P46" s="83">
        <f t="shared" si="17"/>
        <v>0</v>
      </c>
      <c r="Q46" s="82">
        <f>SUM(Q36:Q45)</f>
        <v>0</v>
      </c>
      <c r="R46" s="83">
        <f t="shared" si="18"/>
        <v>0</v>
      </c>
      <c r="S46" s="82">
        <f>SUM(S36:S45)</f>
        <v>0</v>
      </c>
      <c r="T46" s="83">
        <f t="shared" si="19"/>
        <v>0</v>
      </c>
      <c r="U46" s="82">
        <f>SUM(U36:U45)</f>
        <v>0</v>
      </c>
      <c r="V46" s="83">
        <f t="shared" si="20"/>
        <v>0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366</v>
      </c>
      <c r="E50" s="86" t="str">
        <f>E6</f>
        <v>FY 2019-20</v>
      </c>
      <c r="F50" s="86" t="s">
        <v>366</v>
      </c>
      <c r="G50" s="86" t="str">
        <f>G6</f>
        <v>FY 2020-21</v>
      </c>
      <c r="H50" s="86" t="s">
        <v>366</v>
      </c>
      <c r="I50" s="86" t="str">
        <f>I6</f>
        <v>FY 2021-22</v>
      </c>
      <c r="J50" s="86" t="s">
        <v>366</v>
      </c>
      <c r="K50" s="86" t="str">
        <f>K6</f>
        <v>FY 2022-23</v>
      </c>
      <c r="L50" s="86" t="s">
        <v>366</v>
      </c>
      <c r="M50" s="86" t="str">
        <f>M6</f>
        <v>FY 2023-24</v>
      </c>
      <c r="N50" s="86" t="s">
        <v>366</v>
      </c>
      <c r="O50" s="86" t="str">
        <f>O6</f>
        <v>FY 2024-25</v>
      </c>
      <c r="P50" s="86" t="s">
        <v>366</v>
      </c>
      <c r="Q50" s="86" t="str">
        <f>Q6</f>
        <v>FY 2025-26</v>
      </c>
      <c r="R50" s="86" t="s">
        <v>366</v>
      </c>
      <c r="S50" s="86" t="str">
        <f>S6</f>
        <v>FY 2026-27</v>
      </c>
      <c r="T50" s="86" t="s">
        <v>366</v>
      </c>
      <c r="U50" s="86" t="str">
        <f>U6</f>
        <v>FY 2027-28</v>
      </c>
      <c r="V50" s="86" t="s">
        <v>366</v>
      </c>
    </row>
    <row r="51" spans="1:24" ht="12.75" customHeight="1">
      <c r="A51" s="1" t="s">
        <v>395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396</v>
      </c>
      <c r="B52" s="35"/>
      <c r="C52" s="178">
        <v>0</v>
      </c>
      <c r="D52" s="80">
        <f t="shared" ref="D52:D104" si="21">IFERROR(C52/C$28,0)</f>
        <v>0</v>
      </c>
      <c r="E52" s="178">
        <v>0</v>
      </c>
      <c r="F52" s="80">
        <f t="shared" ref="F52:F104" si="22">IFERROR(E52/E$28,0)</f>
        <v>0</v>
      </c>
      <c r="G52" s="178">
        <v>0</v>
      </c>
      <c r="H52" s="80">
        <f t="shared" ref="H52:H104" si="23">IFERROR(G52/G$28,0)</f>
        <v>0</v>
      </c>
      <c r="I52" s="178">
        <v>0</v>
      </c>
      <c r="J52" s="80">
        <f t="shared" ref="J52:J104" si="24">IFERROR(I52/I$28,0)</f>
        <v>0</v>
      </c>
      <c r="K52" s="178">
        <v>0</v>
      </c>
      <c r="L52" s="80">
        <f t="shared" ref="L52:L104" si="25">IFERROR(K52/K$28,0)</f>
        <v>0</v>
      </c>
      <c r="M52" s="178">
        <v>0</v>
      </c>
      <c r="N52" s="80">
        <f t="shared" ref="N52:N104" si="26">IFERROR(M52/M$28,0)</f>
        <v>0</v>
      </c>
      <c r="O52" s="178">
        <v>0</v>
      </c>
      <c r="P52" s="80">
        <f t="shared" ref="P52:P104" si="27">IFERROR(O52/O$28,0)</f>
        <v>0</v>
      </c>
      <c r="Q52" s="178">
        <v>0</v>
      </c>
      <c r="R52" s="80">
        <f t="shared" ref="R52:R104" si="28">IFERROR(Q52/Q$28,0)</f>
        <v>0</v>
      </c>
      <c r="S52" s="178">
        <v>0</v>
      </c>
      <c r="T52" s="80">
        <f t="shared" ref="T52:T104" si="29">IFERROR(S52/S$28,0)</f>
        <v>0</v>
      </c>
      <c r="U52" s="178">
        <v>0</v>
      </c>
      <c r="V52" s="80">
        <f t="shared" ref="V52:V105" si="30">IFERROR(U52/U$28,0)</f>
        <v>0</v>
      </c>
      <c r="X52" s="192"/>
    </row>
    <row r="53" spans="1:24" ht="12.75" customHeight="1">
      <c r="A53" s="2" t="s">
        <v>397</v>
      </c>
      <c r="B53" s="35"/>
      <c r="C53" s="178">
        <v>0</v>
      </c>
      <c r="D53" s="80">
        <f t="shared" si="21"/>
        <v>0</v>
      </c>
      <c r="E53" s="178">
        <v>0</v>
      </c>
      <c r="F53" s="80">
        <f t="shared" si="22"/>
        <v>0</v>
      </c>
      <c r="G53" s="178">
        <v>0</v>
      </c>
      <c r="H53" s="80">
        <f t="shared" si="23"/>
        <v>0</v>
      </c>
      <c r="I53" s="178">
        <v>0</v>
      </c>
      <c r="J53" s="80">
        <f t="shared" si="24"/>
        <v>0</v>
      </c>
      <c r="K53" s="178">
        <v>0</v>
      </c>
      <c r="L53" s="80">
        <f t="shared" si="25"/>
        <v>0</v>
      </c>
      <c r="M53" s="178">
        <v>0</v>
      </c>
      <c r="N53" s="80">
        <f t="shared" si="26"/>
        <v>0</v>
      </c>
      <c r="O53" s="178">
        <v>0</v>
      </c>
      <c r="P53" s="80">
        <f t="shared" si="27"/>
        <v>0</v>
      </c>
      <c r="Q53" s="178">
        <v>0</v>
      </c>
      <c r="R53" s="80">
        <f t="shared" si="28"/>
        <v>0</v>
      </c>
      <c r="S53" s="178">
        <v>0</v>
      </c>
      <c r="T53" s="80">
        <f t="shared" si="29"/>
        <v>0</v>
      </c>
      <c r="U53" s="178">
        <v>0</v>
      </c>
      <c r="V53" s="80">
        <f t="shared" si="30"/>
        <v>0</v>
      </c>
      <c r="X53" s="192"/>
    </row>
    <row r="54" spans="1:24" ht="12.75" customHeight="1">
      <c r="A54" s="2" t="s">
        <v>398</v>
      </c>
      <c r="B54" s="35"/>
      <c r="C54" s="178">
        <v>630.43596000000002</v>
      </c>
      <c r="D54" s="80">
        <f t="shared" si="21"/>
        <v>7.000000000000001E-4</v>
      </c>
      <c r="E54" s="178">
        <v>0</v>
      </c>
      <c r="F54" s="80">
        <f t="shared" si="22"/>
        <v>0</v>
      </c>
      <c r="G54" s="178">
        <v>0</v>
      </c>
      <c r="H54" s="80">
        <f t="shared" si="23"/>
        <v>0</v>
      </c>
      <c r="I54" s="178">
        <v>0</v>
      </c>
      <c r="J54" s="80">
        <f t="shared" si="24"/>
        <v>0</v>
      </c>
      <c r="K54" s="178">
        <v>0</v>
      </c>
      <c r="L54" s="80">
        <f t="shared" si="25"/>
        <v>0</v>
      </c>
      <c r="M54" s="178">
        <v>0</v>
      </c>
      <c r="N54" s="80">
        <f t="shared" si="26"/>
        <v>0</v>
      </c>
      <c r="O54" s="178">
        <v>0</v>
      </c>
      <c r="P54" s="80">
        <f t="shared" si="27"/>
        <v>0</v>
      </c>
      <c r="Q54" s="178">
        <v>0</v>
      </c>
      <c r="R54" s="80">
        <f t="shared" si="28"/>
        <v>0</v>
      </c>
      <c r="S54" s="178">
        <v>0</v>
      </c>
      <c r="T54" s="80">
        <f t="shared" si="29"/>
        <v>0</v>
      </c>
      <c r="U54" s="178">
        <v>0</v>
      </c>
      <c r="V54" s="80">
        <f t="shared" si="30"/>
        <v>0</v>
      </c>
      <c r="X54" s="192"/>
    </row>
    <row r="55" spans="1:24" ht="12.75" customHeight="1">
      <c r="A55" s="2" t="s">
        <v>399</v>
      </c>
      <c r="B55" s="35"/>
      <c r="C55" s="178">
        <v>90062.28</v>
      </c>
      <c r="D55" s="80">
        <f t="shared" si="21"/>
        <v>0.1</v>
      </c>
      <c r="E55" s="178">
        <v>0</v>
      </c>
      <c r="F55" s="80">
        <f t="shared" si="22"/>
        <v>0</v>
      </c>
      <c r="G55" s="178">
        <v>0</v>
      </c>
      <c r="H55" s="80">
        <f t="shared" si="23"/>
        <v>0</v>
      </c>
      <c r="I55" s="178">
        <v>0</v>
      </c>
      <c r="J55" s="80">
        <f t="shared" si="24"/>
        <v>0</v>
      </c>
      <c r="K55" s="178">
        <v>0</v>
      </c>
      <c r="L55" s="80">
        <f t="shared" si="25"/>
        <v>0</v>
      </c>
      <c r="M55" s="178">
        <v>0</v>
      </c>
      <c r="N55" s="80">
        <f t="shared" si="26"/>
        <v>0</v>
      </c>
      <c r="O55" s="178">
        <v>0</v>
      </c>
      <c r="P55" s="80">
        <f t="shared" si="27"/>
        <v>0</v>
      </c>
      <c r="Q55" s="178">
        <v>0</v>
      </c>
      <c r="R55" s="80">
        <f t="shared" si="28"/>
        <v>0</v>
      </c>
      <c r="S55" s="178">
        <v>0</v>
      </c>
      <c r="T55" s="80">
        <f t="shared" si="29"/>
        <v>0</v>
      </c>
      <c r="U55" s="178">
        <v>0</v>
      </c>
      <c r="V55" s="80">
        <f t="shared" si="30"/>
        <v>0</v>
      </c>
      <c r="X55" s="192"/>
    </row>
    <row r="56" spans="1:24" ht="12.75" customHeight="1">
      <c r="A56" s="2" t="s">
        <v>400</v>
      </c>
      <c r="B56" s="35"/>
      <c r="C56" s="178">
        <v>459.31762799999996</v>
      </c>
      <c r="D56" s="80">
        <f t="shared" si="21"/>
        <v>5.1000000000000004E-4</v>
      </c>
      <c r="E56" s="178">
        <v>0</v>
      </c>
      <c r="F56" s="80">
        <f t="shared" si="22"/>
        <v>0</v>
      </c>
      <c r="G56" s="178">
        <v>0</v>
      </c>
      <c r="H56" s="80">
        <f t="shared" si="23"/>
        <v>0</v>
      </c>
      <c r="I56" s="178">
        <v>0</v>
      </c>
      <c r="J56" s="80">
        <f t="shared" si="24"/>
        <v>0</v>
      </c>
      <c r="K56" s="178">
        <v>0</v>
      </c>
      <c r="L56" s="80">
        <f t="shared" si="25"/>
        <v>0</v>
      </c>
      <c r="M56" s="178">
        <v>0</v>
      </c>
      <c r="N56" s="80">
        <f t="shared" si="26"/>
        <v>0</v>
      </c>
      <c r="O56" s="178">
        <v>0</v>
      </c>
      <c r="P56" s="80">
        <f t="shared" si="27"/>
        <v>0</v>
      </c>
      <c r="Q56" s="178">
        <v>0</v>
      </c>
      <c r="R56" s="80">
        <f t="shared" si="28"/>
        <v>0</v>
      </c>
      <c r="S56" s="178">
        <v>0</v>
      </c>
      <c r="T56" s="80">
        <f t="shared" si="29"/>
        <v>0</v>
      </c>
      <c r="U56" s="178">
        <v>0</v>
      </c>
      <c r="V56" s="80">
        <f t="shared" si="30"/>
        <v>0</v>
      </c>
      <c r="X56" s="192"/>
    </row>
    <row r="57" spans="1:24" ht="12.75" customHeight="1">
      <c r="A57" s="2" t="s">
        <v>401</v>
      </c>
      <c r="B57" s="35"/>
      <c r="C57" s="178">
        <v>0</v>
      </c>
      <c r="D57" s="80">
        <f t="shared" si="21"/>
        <v>0</v>
      </c>
      <c r="E57" s="178">
        <v>0</v>
      </c>
      <c r="F57" s="80">
        <f t="shared" si="22"/>
        <v>0</v>
      </c>
      <c r="G57" s="178">
        <v>0</v>
      </c>
      <c r="H57" s="80">
        <f t="shared" si="23"/>
        <v>0</v>
      </c>
      <c r="I57" s="178">
        <v>0</v>
      </c>
      <c r="J57" s="80">
        <f t="shared" si="24"/>
        <v>0</v>
      </c>
      <c r="K57" s="178">
        <v>0</v>
      </c>
      <c r="L57" s="80">
        <f t="shared" si="25"/>
        <v>0</v>
      </c>
      <c r="M57" s="178">
        <v>0</v>
      </c>
      <c r="N57" s="80">
        <f t="shared" si="26"/>
        <v>0</v>
      </c>
      <c r="O57" s="178">
        <v>0</v>
      </c>
      <c r="P57" s="80">
        <f t="shared" si="27"/>
        <v>0</v>
      </c>
      <c r="Q57" s="178">
        <v>0</v>
      </c>
      <c r="R57" s="80">
        <f t="shared" si="28"/>
        <v>0</v>
      </c>
      <c r="S57" s="178">
        <v>0</v>
      </c>
      <c r="T57" s="80">
        <f t="shared" si="29"/>
        <v>0</v>
      </c>
      <c r="U57" s="178">
        <v>0</v>
      </c>
      <c r="V57" s="80">
        <f t="shared" si="30"/>
        <v>0</v>
      </c>
      <c r="X57" s="192"/>
    </row>
    <row r="58" spans="1:24" ht="12.75" customHeight="1">
      <c r="A58" s="2" t="s">
        <v>402</v>
      </c>
      <c r="B58" s="35"/>
      <c r="C58" s="178">
        <v>0</v>
      </c>
      <c r="D58" s="80">
        <f t="shared" si="21"/>
        <v>0</v>
      </c>
      <c r="E58" s="178">
        <v>0</v>
      </c>
      <c r="F58" s="80">
        <f t="shared" si="22"/>
        <v>0</v>
      </c>
      <c r="G58" s="178">
        <v>0</v>
      </c>
      <c r="H58" s="80">
        <f t="shared" si="23"/>
        <v>0</v>
      </c>
      <c r="I58" s="178">
        <v>0</v>
      </c>
      <c r="J58" s="80">
        <f t="shared" si="24"/>
        <v>0</v>
      </c>
      <c r="K58" s="178">
        <v>0</v>
      </c>
      <c r="L58" s="80">
        <f t="shared" si="25"/>
        <v>0</v>
      </c>
      <c r="M58" s="178">
        <v>0</v>
      </c>
      <c r="N58" s="80">
        <f t="shared" si="26"/>
        <v>0</v>
      </c>
      <c r="O58" s="178">
        <v>0</v>
      </c>
      <c r="P58" s="80">
        <f t="shared" si="27"/>
        <v>0</v>
      </c>
      <c r="Q58" s="178">
        <v>0</v>
      </c>
      <c r="R58" s="80">
        <f t="shared" si="28"/>
        <v>0</v>
      </c>
      <c r="S58" s="178">
        <v>0</v>
      </c>
      <c r="T58" s="80">
        <f t="shared" si="29"/>
        <v>0</v>
      </c>
      <c r="U58" s="178">
        <v>0</v>
      </c>
      <c r="V58" s="80">
        <f t="shared" si="30"/>
        <v>0</v>
      </c>
      <c r="X58" s="192"/>
    </row>
    <row r="59" spans="1:24" ht="12.75" customHeight="1">
      <c r="A59" s="2" t="s">
        <v>403</v>
      </c>
      <c r="B59" s="35"/>
      <c r="C59" s="178"/>
      <c r="D59" s="80">
        <f t="shared" si="21"/>
        <v>0</v>
      </c>
      <c r="E59" s="178"/>
      <c r="F59" s="80">
        <f t="shared" si="22"/>
        <v>0</v>
      </c>
      <c r="G59" s="178"/>
      <c r="H59" s="80">
        <f t="shared" si="23"/>
        <v>0</v>
      </c>
      <c r="I59" s="178"/>
      <c r="J59" s="80">
        <f t="shared" si="24"/>
        <v>0</v>
      </c>
      <c r="K59" s="178"/>
      <c r="L59" s="80">
        <f t="shared" si="25"/>
        <v>0</v>
      </c>
      <c r="M59" s="178"/>
      <c r="N59" s="80">
        <f t="shared" si="26"/>
        <v>0</v>
      </c>
      <c r="O59" s="178"/>
      <c r="P59" s="80">
        <f t="shared" si="27"/>
        <v>0</v>
      </c>
      <c r="Q59" s="178"/>
      <c r="R59" s="80">
        <f t="shared" si="28"/>
        <v>0</v>
      </c>
      <c r="S59" s="178"/>
      <c r="T59" s="80">
        <f t="shared" si="29"/>
        <v>0</v>
      </c>
      <c r="U59" s="178"/>
      <c r="V59" s="80">
        <f t="shared" si="30"/>
        <v>0</v>
      </c>
      <c r="X59" s="192"/>
    </row>
    <row r="60" spans="1:24" ht="12.75" customHeight="1">
      <c r="A60" s="2" t="s">
        <v>404</v>
      </c>
      <c r="B60" s="35"/>
      <c r="C60" s="178">
        <v>0</v>
      </c>
      <c r="D60" s="80">
        <f t="shared" si="21"/>
        <v>0</v>
      </c>
      <c r="E60" s="178">
        <v>0</v>
      </c>
      <c r="F60" s="80">
        <f t="shared" si="22"/>
        <v>0</v>
      </c>
      <c r="G60" s="178">
        <v>0</v>
      </c>
      <c r="H60" s="80">
        <f t="shared" si="23"/>
        <v>0</v>
      </c>
      <c r="I60" s="178">
        <v>0</v>
      </c>
      <c r="J60" s="80">
        <f t="shared" si="24"/>
        <v>0</v>
      </c>
      <c r="K60" s="178">
        <v>0</v>
      </c>
      <c r="L60" s="80">
        <f t="shared" si="25"/>
        <v>0</v>
      </c>
      <c r="M60" s="178">
        <v>0</v>
      </c>
      <c r="N60" s="80">
        <f t="shared" si="26"/>
        <v>0</v>
      </c>
      <c r="O60" s="178">
        <v>0</v>
      </c>
      <c r="P60" s="80">
        <f t="shared" si="27"/>
        <v>0</v>
      </c>
      <c r="Q60" s="178">
        <v>0</v>
      </c>
      <c r="R60" s="80">
        <f t="shared" si="28"/>
        <v>0</v>
      </c>
      <c r="S60" s="178">
        <v>0</v>
      </c>
      <c r="T60" s="80">
        <f t="shared" si="29"/>
        <v>0</v>
      </c>
      <c r="U60" s="178">
        <v>0</v>
      </c>
      <c r="V60" s="80">
        <f t="shared" si="30"/>
        <v>0</v>
      </c>
      <c r="X60" s="192"/>
    </row>
    <row r="61" spans="1:24" ht="12.75" customHeight="1">
      <c r="A61" s="2" t="s">
        <v>405</v>
      </c>
      <c r="B61" s="35"/>
      <c r="C61" s="178">
        <v>0</v>
      </c>
      <c r="D61" s="80">
        <f t="shared" si="21"/>
        <v>0</v>
      </c>
      <c r="E61" s="178">
        <v>0</v>
      </c>
      <c r="F61" s="80">
        <f t="shared" si="22"/>
        <v>0</v>
      </c>
      <c r="G61" s="178">
        <v>0</v>
      </c>
      <c r="H61" s="80">
        <f t="shared" si="23"/>
        <v>0</v>
      </c>
      <c r="I61" s="178">
        <v>0</v>
      </c>
      <c r="J61" s="80">
        <f t="shared" si="24"/>
        <v>0</v>
      </c>
      <c r="K61" s="178">
        <v>0</v>
      </c>
      <c r="L61" s="80">
        <f t="shared" si="25"/>
        <v>0</v>
      </c>
      <c r="M61" s="178">
        <v>0</v>
      </c>
      <c r="N61" s="80">
        <f t="shared" si="26"/>
        <v>0</v>
      </c>
      <c r="O61" s="178">
        <v>0</v>
      </c>
      <c r="P61" s="80">
        <f t="shared" si="27"/>
        <v>0</v>
      </c>
      <c r="Q61" s="178">
        <v>0</v>
      </c>
      <c r="R61" s="80">
        <f t="shared" si="28"/>
        <v>0</v>
      </c>
      <c r="S61" s="178">
        <v>0</v>
      </c>
      <c r="T61" s="80">
        <f t="shared" si="29"/>
        <v>0</v>
      </c>
      <c r="U61" s="178">
        <v>0</v>
      </c>
      <c r="V61" s="80">
        <f t="shared" si="30"/>
        <v>0</v>
      </c>
      <c r="X61" s="192"/>
    </row>
    <row r="62" spans="1:24" ht="12.75" customHeight="1">
      <c r="A62" s="2" t="s">
        <v>406</v>
      </c>
      <c r="B62" s="35"/>
      <c r="C62" s="178">
        <v>0</v>
      </c>
      <c r="D62" s="80">
        <f t="shared" si="21"/>
        <v>0</v>
      </c>
      <c r="E62" s="178">
        <v>0</v>
      </c>
      <c r="F62" s="80">
        <f t="shared" si="22"/>
        <v>0</v>
      </c>
      <c r="G62" s="178">
        <v>0</v>
      </c>
      <c r="H62" s="80">
        <f t="shared" si="23"/>
        <v>0</v>
      </c>
      <c r="I62" s="178">
        <v>0</v>
      </c>
      <c r="J62" s="80">
        <f t="shared" si="24"/>
        <v>0</v>
      </c>
      <c r="K62" s="178">
        <v>0</v>
      </c>
      <c r="L62" s="80">
        <f t="shared" si="25"/>
        <v>0</v>
      </c>
      <c r="M62" s="178">
        <v>0</v>
      </c>
      <c r="N62" s="80">
        <f t="shared" si="26"/>
        <v>0</v>
      </c>
      <c r="O62" s="178">
        <v>0</v>
      </c>
      <c r="P62" s="80">
        <f t="shared" si="27"/>
        <v>0</v>
      </c>
      <c r="Q62" s="178">
        <v>0</v>
      </c>
      <c r="R62" s="80">
        <f t="shared" si="28"/>
        <v>0</v>
      </c>
      <c r="S62" s="178">
        <v>0</v>
      </c>
      <c r="T62" s="80">
        <f t="shared" si="29"/>
        <v>0</v>
      </c>
      <c r="U62" s="178">
        <v>0</v>
      </c>
      <c r="V62" s="80">
        <f t="shared" si="30"/>
        <v>0</v>
      </c>
      <c r="X62" s="192"/>
    </row>
    <row r="63" spans="1:24" ht="12.75" customHeight="1">
      <c r="A63" s="2" t="s">
        <v>407</v>
      </c>
      <c r="B63" s="35"/>
      <c r="C63" s="178">
        <v>10956.688644674046</v>
      </c>
      <c r="D63" s="80">
        <f t="shared" si="21"/>
        <v>1.2165679843630482E-2</v>
      </c>
      <c r="E63" s="178">
        <v>0</v>
      </c>
      <c r="F63" s="80">
        <f t="shared" si="22"/>
        <v>0</v>
      </c>
      <c r="G63" s="178">
        <v>0</v>
      </c>
      <c r="H63" s="80">
        <f t="shared" si="23"/>
        <v>0</v>
      </c>
      <c r="I63" s="178">
        <v>0</v>
      </c>
      <c r="J63" s="80">
        <f t="shared" si="24"/>
        <v>0</v>
      </c>
      <c r="K63" s="178">
        <v>0</v>
      </c>
      <c r="L63" s="80">
        <f t="shared" si="25"/>
        <v>0</v>
      </c>
      <c r="M63" s="178">
        <v>0</v>
      </c>
      <c r="N63" s="80">
        <f t="shared" si="26"/>
        <v>0</v>
      </c>
      <c r="O63" s="178">
        <v>0</v>
      </c>
      <c r="P63" s="80">
        <f t="shared" si="27"/>
        <v>0</v>
      </c>
      <c r="Q63" s="178">
        <v>0</v>
      </c>
      <c r="R63" s="80">
        <f t="shared" si="28"/>
        <v>0</v>
      </c>
      <c r="S63" s="178">
        <v>0</v>
      </c>
      <c r="T63" s="80">
        <f t="shared" si="29"/>
        <v>0</v>
      </c>
      <c r="U63" s="178">
        <v>0</v>
      </c>
      <c r="V63" s="80">
        <f t="shared" si="30"/>
        <v>0</v>
      </c>
      <c r="X63" s="192"/>
    </row>
    <row r="64" spans="1:24" ht="12.75" customHeight="1">
      <c r="A64" s="2" t="s">
        <v>408</v>
      </c>
      <c r="B64" s="35"/>
      <c r="C64" s="178">
        <v>4322.9894399999994</v>
      </c>
      <c r="D64" s="80">
        <f t="shared" si="21"/>
        <v>4.7999999999999996E-3</v>
      </c>
      <c r="E64" s="178">
        <v>0</v>
      </c>
      <c r="F64" s="80">
        <f t="shared" si="22"/>
        <v>0</v>
      </c>
      <c r="G64" s="178">
        <v>0</v>
      </c>
      <c r="H64" s="80">
        <f t="shared" si="23"/>
        <v>0</v>
      </c>
      <c r="I64" s="178">
        <v>0</v>
      </c>
      <c r="J64" s="80">
        <f t="shared" si="24"/>
        <v>0</v>
      </c>
      <c r="K64" s="178">
        <v>0</v>
      </c>
      <c r="L64" s="80">
        <f t="shared" si="25"/>
        <v>0</v>
      </c>
      <c r="M64" s="178">
        <v>0</v>
      </c>
      <c r="N64" s="80">
        <f t="shared" si="26"/>
        <v>0</v>
      </c>
      <c r="O64" s="178">
        <v>0</v>
      </c>
      <c r="P64" s="80">
        <f t="shared" si="27"/>
        <v>0</v>
      </c>
      <c r="Q64" s="178">
        <v>0</v>
      </c>
      <c r="R64" s="80">
        <f t="shared" si="28"/>
        <v>0</v>
      </c>
      <c r="S64" s="178">
        <v>0</v>
      </c>
      <c r="T64" s="80">
        <f t="shared" si="29"/>
        <v>0</v>
      </c>
      <c r="U64" s="178">
        <v>0</v>
      </c>
      <c r="V64" s="80">
        <f t="shared" si="30"/>
        <v>0</v>
      </c>
      <c r="X64" s="192"/>
    </row>
    <row r="65" spans="1:24" ht="12.75" customHeight="1">
      <c r="A65" s="2" t="s">
        <v>409</v>
      </c>
      <c r="B65" s="35"/>
      <c r="C65" s="178">
        <v>450.31139999999999</v>
      </c>
      <c r="D65" s="80">
        <f t="shared" si="21"/>
        <v>5.0000000000000001E-4</v>
      </c>
      <c r="E65" s="178">
        <v>0</v>
      </c>
      <c r="F65" s="80">
        <f t="shared" si="22"/>
        <v>0</v>
      </c>
      <c r="G65" s="178">
        <v>0</v>
      </c>
      <c r="H65" s="80">
        <f t="shared" si="23"/>
        <v>0</v>
      </c>
      <c r="I65" s="178">
        <v>0</v>
      </c>
      <c r="J65" s="80">
        <f t="shared" si="24"/>
        <v>0</v>
      </c>
      <c r="K65" s="178">
        <v>0</v>
      </c>
      <c r="L65" s="80">
        <f t="shared" si="25"/>
        <v>0</v>
      </c>
      <c r="M65" s="178">
        <v>0</v>
      </c>
      <c r="N65" s="80">
        <f t="shared" si="26"/>
        <v>0</v>
      </c>
      <c r="O65" s="178">
        <v>0</v>
      </c>
      <c r="P65" s="80">
        <f t="shared" si="27"/>
        <v>0</v>
      </c>
      <c r="Q65" s="178">
        <v>0</v>
      </c>
      <c r="R65" s="80">
        <f t="shared" si="28"/>
        <v>0</v>
      </c>
      <c r="S65" s="178">
        <v>0</v>
      </c>
      <c r="T65" s="80">
        <f t="shared" si="29"/>
        <v>0</v>
      </c>
      <c r="U65" s="178">
        <v>0</v>
      </c>
      <c r="V65" s="80">
        <f t="shared" si="30"/>
        <v>0</v>
      </c>
      <c r="X65" s="192"/>
    </row>
    <row r="66" spans="1:24" ht="12.75" customHeight="1">
      <c r="A66" s="2" t="s">
        <v>410</v>
      </c>
      <c r="B66" s="35"/>
      <c r="C66" s="178">
        <v>2521.7438400000001</v>
      </c>
      <c r="D66" s="80">
        <f t="shared" si="21"/>
        <v>2.8000000000000004E-3</v>
      </c>
      <c r="E66" s="178">
        <v>0</v>
      </c>
      <c r="F66" s="80">
        <f t="shared" si="22"/>
        <v>0</v>
      </c>
      <c r="G66" s="178">
        <v>0</v>
      </c>
      <c r="H66" s="80">
        <f t="shared" si="23"/>
        <v>0</v>
      </c>
      <c r="I66" s="178">
        <v>0</v>
      </c>
      <c r="J66" s="80">
        <f t="shared" si="24"/>
        <v>0</v>
      </c>
      <c r="K66" s="178">
        <v>0</v>
      </c>
      <c r="L66" s="80">
        <f t="shared" si="25"/>
        <v>0</v>
      </c>
      <c r="M66" s="178">
        <v>0</v>
      </c>
      <c r="N66" s="80">
        <f t="shared" si="26"/>
        <v>0</v>
      </c>
      <c r="O66" s="178">
        <v>0</v>
      </c>
      <c r="P66" s="80">
        <f t="shared" si="27"/>
        <v>0</v>
      </c>
      <c r="Q66" s="178">
        <v>0</v>
      </c>
      <c r="R66" s="80">
        <f t="shared" si="28"/>
        <v>0</v>
      </c>
      <c r="S66" s="178">
        <v>0</v>
      </c>
      <c r="T66" s="80">
        <f t="shared" si="29"/>
        <v>0</v>
      </c>
      <c r="U66" s="178">
        <v>0</v>
      </c>
      <c r="V66" s="80">
        <f t="shared" si="30"/>
        <v>0</v>
      </c>
      <c r="X66" s="192"/>
    </row>
    <row r="67" spans="1:24" ht="12.75" customHeight="1">
      <c r="A67" s="2" t="s">
        <v>411</v>
      </c>
      <c r="B67" s="35"/>
      <c r="C67" s="178">
        <v>13509.341999999999</v>
      </c>
      <c r="D67" s="80">
        <f t="shared" si="21"/>
        <v>1.4999999999999999E-2</v>
      </c>
      <c r="E67" s="178">
        <v>0</v>
      </c>
      <c r="F67" s="80">
        <f t="shared" si="22"/>
        <v>0</v>
      </c>
      <c r="G67" s="178">
        <v>0</v>
      </c>
      <c r="H67" s="80">
        <f t="shared" si="23"/>
        <v>0</v>
      </c>
      <c r="I67" s="178">
        <v>0</v>
      </c>
      <c r="J67" s="80">
        <f t="shared" si="24"/>
        <v>0</v>
      </c>
      <c r="K67" s="178">
        <v>0</v>
      </c>
      <c r="L67" s="80">
        <f t="shared" si="25"/>
        <v>0</v>
      </c>
      <c r="M67" s="178">
        <v>0</v>
      </c>
      <c r="N67" s="80">
        <f t="shared" si="26"/>
        <v>0</v>
      </c>
      <c r="O67" s="178">
        <v>0</v>
      </c>
      <c r="P67" s="80">
        <f t="shared" si="27"/>
        <v>0</v>
      </c>
      <c r="Q67" s="178">
        <v>0</v>
      </c>
      <c r="R67" s="80">
        <f t="shared" si="28"/>
        <v>0</v>
      </c>
      <c r="S67" s="178">
        <v>0</v>
      </c>
      <c r="T67" s="80">
        <f t="shared" si="29"/>
        <v>0</v>
      </c>
      <c r="U67" s="178">
        <v>0</v>
      </c>
      <c r="V67" s="80">
        <f t="shared" si="30"/>
        <v>0</v>
      </c>
      <c r="X67" s="192"/>
    </row>
    <row r="68" spans="1:24" ht="12.75" customHeight="1">
      <c r="A68" s="2" t="s">
        <v>412</v>
      </c>
      <c r="B68" s="35"/>
      <c r="C68" s="178">
        <v>1531.0587599999997</v>
      </c>
      <c r="D68" s="80">
        <f t="shared" si="21"/>
        <v>1.6999999999999997E-3</v>
      </c>
      <c r="E68" s="178">
        <v>0</v>
      </c>
      <c r="F68" s="80">
        <f t="shared" si="22"/>
        <v>0</v>
      </c>
      <c r="G68" s="178">
        <v>0</v>
      </c>
      <c r="H68" s="80">
        <f t="shared" si="23"/>
        <v>0</v>
      </c>
      <c r="I68" s="178">
        <v>0</v>
      </c>
      <c r="J68" s="80">
        <f t="shared" si="24"/>
        <v>0</v>
      </c>
      <c r="K68" s="178">
        <v>0</v>
      </c>
      <c r="L68" s="80">
        <f t="shared" si="25"/>
        <v>0</v>
      </c>
      <c r="M68" s="178">
        <v>0</v>
      </c>
      <c r="N68" s="80">
        <f t="shared" si="26"/>
        <v>0</v>
      </c>
      <c r="O68" s="178">
        <v>0</v>
      </c>
      <c r="P68" s="80">
        <f t="shared" si="27"/>
        <v>0</v>
      </c>
      <c r="Q68" s="178">
        <v>0</v>
      </c>
      <c r="R68" s="80">
        <f t="shared" si="28"/>
        <v>0</v>
      </c>
      <c r="S68" s="178">
        <v>0</v>
      </c>
      <c r="T68" s="80">
        <f t="shared" si="29"/>
        <v>0</v>
      </c>
      <c r="U68" s="178">
        <v>0</v>
      </c>
      <c r="V68" s="80">
        <f t="shared" si="30"/>
        <v>0</v>
      </c>
      <c r="X68" s="192"/>
    </row>
    <row r="69" spans="1:24" ht="12.75" customHeight="1">
      <c r="A69" s="2" t="s">
        <v>413</v>
      </c>
      <c r="B69" s="35"/>
      <c r="C69" s="178">
        <v>0</v>
      </c>
      <c r="D69" s="80">
        <f t="shared" si="21"/>
        <v>0</v>
      </c>
      <c r="E69" s="178">
        <v>0</v>
      </c>
      <c r="F69" s="80">
        <f t="shared" si="22"/>
        <v>0</v>
      </c>
      <c r="G69" s="178">
        <v>0</v>
      </c>
      <c r="H69" s="80">
        <f t="shared" si="23"/>
        <v>0</v>
      </c>
      <c r="I69" s="178">
        <v>0</v>
      </c>
      <c r="J69" s="80">
        <f t="shared" si="24"/>
        <v>0</v>
      </c>
      <c r="K69" s="178">
        <v>0</v>
      </c>
      <c r="L69" s="80">
        <f t="shared" si="25"/>
        <v>0</v>
      </c>
      <c r="M69" s="178">
        <v>0</v>
      </c>
      <c r="N69" s="80">
        <f t="shared" si="26"/>
        <v>0</v>
      </c>
      <c r="O69" s="178">
        <v>0</v>
      </c>
      <c r="P69" s="80">
        <f t="shared" si="27"/>
        <v>0</v>
      </c>
      <c r="Q69" s="178">
        <v>0</v>
      </c>
      <c r="R69" s="80">
        <f t="shared" si="28"/>
        <v>0</v>
      </c>
      <c r="S69" s="178">
        <v>0</v>
      </c>
      <c r="T69" s="80">
        <f t="shared" si="29"/>
        <v>0</v>
      </c>
      <c r="U69" s="178">
        <v>0</v>
      </c>
      <c r="V69" s="80">
        <f t="shared" si="30"/>
        <v>0</v>
      </c>
      <c r="X69" s="192"/>
    </row>
    <row r="70" spans="1:24" ht="12.75" customHeight="1">
      <c r="A70" s="2" t="s">
        <v>414</v>
      </c>
      <c r="B70" s="35"/>
      <c r="C70" s="178">
        <v>90.062280000000001</v>
      </c>
      <c r="D70" s="80">
        <f t="shared" si="21"/>
        <v>1E-4</v>
      </c>
      <c r="E70" s="178">
        <v>0</v>
      </c>
      <c r="F70" s="80">
        <f t="shared" si="22"/>
        <v>0</v>
      </c>
      <c r="G70" s="178">
        <v>0</v>
      </c>
      <c r="H70" s="80">
        <f t="shared" si="23"/>
        <v>0</v>
      </c>
      <c r="I70" s="178">
        <v>0</v>
      </c>
      <c r="J70" s="80">
        <f t="shared" si="24"/>
        <v>0</v>
      </c>
      <c r="K70" s="178">
        <v>0</v>
      </c>
      <c r="L70" s="80">
        <f t="shared" si="25"/>
        <v>0</v>
      </c>
      <c r="M70" s="178">
        <v>0</v>
      </c>
      <c r="N70" s="80">
        <f t="shared" si="26"/>
        <v>0</v>
      </c>
      <c r="O70" s="178">
        <v>0</v>
      </c>
      <c r="P70" s="80">
        <f t="shared" si="27"/>
        <v>0</v>
      </c>
      <c r="Q70" s="178">
        <v>0</v>
      </c>
      <c r="R70" s="80">
        <f t="shared" si="28"/>
        <v>0</v>
      </c>
      <c r="S70" s="178">
        <v>0</v>
      </c>
      <c r="T70" s="80">
        <f t="shared" si="29"/>
        <v>0</v>
      </c>
      <c r="U70" s="178">
        <v>0</v>
      </c>
      <c r="V70" s="80">
        <f t="shared" si="30"/>
        <v>0</v>
      </c>
      <c r="X70" s="192"/>
    </row>
    <row r="71" spans="1:24" ht="12.75" customHeight="1">
      <c r="A71" s="2" t="s">
        <v>415</v>
      </c>
      <c r="B71" s="35"/>
      <c r="C71" s="178">
        <v>0</v>
      </c>
      <c r="D71" s="80">
        <f t="shared" si="21"/>
        <v>0</v>
      </c>
      <c r="E71" s="178">
        <v>0</v>
      </c>
      <c r="F71" s="80">
        <f t="shared" si="22"/>
        <v>0</v>
      </c>
      <c r="G71" s="178">
        <v>0</v>
      </c>
      <c r="H71" s="80">
        <f t="shared" si="23"/>
        <v>0</v>
      </c>
      <c r="I71" s="178">
        <v>0</v>
      </c>
      <c r="J71" s="80">
        <f t="shared" si="24"/>
        <v>0</v>
      </c>
      <c r="K71" s="178">
        <v>0</v>
      </c>
      <c r="L71" s="80">
        <f t="shared" si="25"/>
        <v>0</v>
      </c>
      <c r="M71" s="178">
        <v>0</v>
      </c>
      <c r="N71" s="80">
        <f t="shared" si="26"/>
        <v>0</v>
      </c>
      <c r="O71" s="178">
        <v>0</v>
      </c>
      <c r="P71" s="80">
        <f t="shared" si="27"/>
        <v>0</v>
      </c>
      <c r="Q71" s="178">
        <v>0</v>
      </c>
      <c r="R71" s="80">
        <f t="shared" si="28"/>
        <v>0</v>
      </c>
      <c r="S71" s="178">
        <v>0</v>
      </c>
      <c r="T71" s="80">
        <f t="shared" si="29"/>
        <v>0</v>
      </c>
      <c r="U71" s="178">
        <v>0</v>
      </c>
      <c r="V71" s="80">
        <f t="shared" si="30"/>
        <v>0</v>
      </c>
      <c r="X71" s="192"/>
    </row>
    <row r="72" spans="1:24" ht="12.75" customHeight="1">
      <c r="A72" s="2" t="s">
        <v>416</v>
      </c>
      <c r="B72" s="35"/>
      <c r="C72" s="178">
        <v>0</v>
      </c>
      <c r="D72" s="80">
        <f t="shared" si="21"/>
        <v>0</v>
      </c>
      <c r="E72" s="178">
        <v>0</v>
      </c>
      <c r="F72" s="80">
        <f t="shared" si="22"/>
        <v>0</v>
      </c>
      <c r="G72" s="178">
        <v>0</v>
      </c>
      <c r="H72" s="80">
        <f t="shared" si="23"/>
        <v>0</v>
      </c>
      <c r="I72" s="178">
        <v>0</v>
      </c>
      <c r="J72" s="80">
        <f t="shared" si="24"/>
        <v>0</v>
      </c>
      <c r="K72" s="178">
        <v>0</v>
      </c>
      <c r="L72" s="80">
        <f t="shared" si="25"/>
        <v>0</v>
      </c>
      <c r="M72" s="178">
        <v>0</v>
      </c>
      <c r="N72" s="80">
        <f t="shared" si="26"/>
        <v>0</v>
      </c>
      <c r="O72" s="178">
        <v>0</v>
      </c>
      <c r="P72" s="80">
        <f t="shared" si="27"/>
        <v>0</v>
      </c>
      <c r="Q72" s="178">
        <v>0</v>
      </c>
      <c r="R72" s="80">
        <f t="shared" si="28"/>
        <v>0</v>
      </c>
      <c r="S72" s="178">
        <v>0</v>
      </c>
      <c r="T72" s="80">
        <f t="shared" si="29"/>
        <v>0</v>
      </c>
      <c r="U72" s="178">
        <v>0</v>
      </c>
      <c r="V72" s="80">
        <f t="shared" si="30"/>
        <v>0</v>
      </c>
      <c r="X72" s="192"/>
    </row>
    <row r="73" spans="1:24" ht="12.75" customHeight="1">
      <c r="A73" s="2" t="s">
        <v>417</v>
      </c>
      <c r="B73" s="35"/>
      <c r="C73" s="178">
        <v>0</v>
      </c>
      <c r="D73" s="80">
        <f t="shared" si="21"/>
        <v>0</v>
      </c>
      <c r="E73" s="178">
        <v>0</v>
      </c>
      <c r="F73" s="80">
        <f t="shared" si="22"/>
        <v>0</v>
      </c>
      <c r="G73" s="178">
        <v>0</v>
      </c>
      <c r="H73" s="80">
        <f t="shared" si="23"/>
        <v>0</v>
      </c>
      <c r="I73" s="178">
        <v>0</v>
      </c>
      <c r="J73" s="80">
        <f t="shared" si="24"/>
        <v>0</v>
      </c>
      <c r="K73" s="178">
        <v>0</v>
      </c>
      <c r="L73" s="80">
        <f t="shared" si="25"/>
        <v>0</v>
      </c>
      <c r="M73" s="178">
        <v>0</v>
      </c>
      <c r="N73" s="80">
        <f t="shared" si="26"/>
        <v>0</v>
      </c>
      <c r="O73" s="178">
        <v>0</v>
      </c>
      <c r="P73" s="80">
        <f t="shared" si="27"/>
        <v>0</v>
      </c>
      <c r="Q73" s="178">
        <v>0</v>
      </c>
      <c r="R73" s="80">
        <f t="shared" si="28"/>
        <v>0</v>
      </c>
      <c r="S73" s="178">
        <v>0</v>
      </c>
      <c r="T73" s="80">
        <f t="shared" si="29"/>
        <v>0</v>
      </c>
      <c r="U73" s="178">
        <v>0</v>
      </c>
      <c r="V73" s="80">
        <f t="shared" si="30"/>
        <v>0</v>
      </c>
      <c r="X73" s="192"/>
    </row>
    <row r="74" spans="1:24" ht="12.75" customHeight="1">
      <c r="A74" s="2" t="s">
        <v>418</v>
      </c>
      <c r="B74" s="35"/>
      <c r="C74" s="178">
        <v>0</v>
      </c>
      <c r="D74" s="80">
        <f t="shared" si="21"/>
        <v>0</v>
      </c>
      <c r="E74" s="178">
        <v>0</v>
      </c>
      <c r="F74" s="80">
        <f t="shared" si="22"/>
        <v>0</v>
      </c>
      <c r="G74" s="178">
        <v>0</v>
      </c>
      <c r="H74" s="80">
        <f t="shared" si="23"/>
        <v>0</v>
      </c>
      <c r="I74" s="178">
        <v>0</v>
      </c>
      <c r="J74" s="80">
        <f t="shared" si="24"/>
        <v>0</v>
      </c>
      <c r="K74" s="178">
        <v>0</v>
      </c>
      <c r="L74" s="80">
        <f t="shared" si="25"/>
        <v>0</v>
      </c>
      <c r="M74" s="178">
        <v>0</v>
      </c>
      <c r="N74" s="80">
        <f t="shared" si="26"/>
        <v>0</v>
      </c>
      <c r="O74" s="178">
        <v>0</v>
      </c>
      <c r="P74" s="80">
        <f t="shared" si="27"/>
        <v>0</v>
      </c>
      <c r="Q74" s="178">
        <v>0</v>
      </c>
      <c r="R74" s="80">
        <f t="shared" si="28"/>
        <v>0</v>
      </c>
      <c r="S74" s="178">
        <v>0</v>
      </c>
      <c r="T74" s="80">
        <f t="shared" si="29"/>
        <v>0</v>
      </c>
      <c r="U74" s="178">
        <v>0</v>
      </c>
      <c r="V74" s="80">
        <f t="shared" si="30"/>
        <v>0</v>
      </c>
      <c r="X74" s="192"/>
    </row>
    <row r="75" spans="1:24" ht="12.75" customHeight="1">
      <c r="A75" s="2" t="s">
        <v>419</v>
      </c>
      <c r="B75" s="35"/>
      <c r="C75" s="178">
        <v>4052.8025999999995</v>
      </c>
      <c r="D75" s="80">
        <f t="shared" si="21"/>
        <v>4.4999999999999997E-3</v>
      </c>
      <c r="E75" s="178">
        <v>0</v>
      </c>
      <c r="F75" s="80">
        <f t="shared" si="22"/>
        <v>0</v>
      </c>
      <c r="G75" s="178">
        <v>0</v>
      </c>
      <c r="H75" s="80">
        <f t="shared" si="23"/>
        <v>0</v>
      </c>
      <c r="I75" s="178">
        <v>0</v>
      </c>
      <c r="J75" s="80">
        <f t="shared" si="24"/>
        <v>0</v>
      </c>
      <c r="K75" s="178">
        <v>0</v>
      </c>
      <c r="L75" s="80">
        <f t="shared" si="25"/>
        <v>0</v>
      </c>
      <c r="M75" s="178">
        <v>0</v>
      </c>
      <c r="N75" s="80">
        <f t="shared" si="26"/>
        <v>0</v>
      </c>
      <c r="O75" s="178">
        <v>0</v>
      </c>
      <c r="P75" s="80">
        <f t="shared" si="27"/>
        <v>0</v>
      </c>
      <c r="Q75" s="178">
        <v>0</v>
      </c>
      <c r="R75" s="80">
        <f t="shared" si="28"/>
        <v>0</v>
      </c>
      <c r="S75" s="178">
        <v>0</v>
      </c>
      <c r="T75" s="80">
        <f t="shared" si="29"/>
        <v>0</v>
      </c>
      <c r="U75" s="178">
        <v>0</v>
      </c>
      <c r="V75" s="80">
        <f t="shared" si="30"/>
        <v>0</v>
      </c>
      <c r="X75" s="192"/>
    </row>
    <row r="76" spans="1:24" ht="12.75" customHeight="1">
      <c r="A76" s="2" t="s">
        <v>420</v>
      </c>
      <c r="B76" s="35"/>
      <c r="C76" s="178">
        <v>360.24912</v>
      </c>
      <c r="D76" s="80">
        <f t="shared" si="21"/>
        <v>4.0000000000000002E-4</v>
      </c>
      <c r="E76" s="178">
        <v>0</v>
      </c>
      <c r="F76" s="80">
        <f t="shared" si="22"/>
        <v>0</v>
      </c>
      <c r="G76" s="178">
        <v>0</v>
      </c>
      <c r="H76" s="80">
        <f t="shared" si="23"/>
        <v>0</v>
      </c>
      <c r="I76" s="178">
        <v>0</v>
      </c>
      <c r="J76" s="80">
        <f t="shared" si="24"/>
        <v>0</v>
      </c>
      <c r="K76" s="178">
        <v>0</v>
      </c>
      <c r="L76" s="80">
        <f t="shared" si="25"/>
        <v>0</v>
      </c>
      <c r="M76" s="178">
        <v>0</v>
      </c>
      <c r="N76" s="80">
        <f t="shared" si="26"/>
        <v>0</v>
      </c>
      <c r="O76" s="178">
        <v>0</v>
      </c>
      <c r="P76" s="80">
        <f t="shared" si="27"/>
        <v>0</v>
      </c>
      <c r="Q76" s="178">
        <v>0</v>
      </c>
      <c r="R76" s="80">
        <f t="shared" si="28"/>
        <v>0</v>
      </c>
      <c r="S76" s="178">
        <v>0</v>
      </c>
      <c r="T76" s="80">
        <f t="shared" si="29"/>
        <v>0</v>
      </c>
      <c r="U76" s="178">
        <v>0</v>
      </c>
      <c r="V76" s="80">
        <f t="shared" si="30"/>
        <v>0</v>
      </c>
      <c r="X76" s="192"/>
    </row>
    <row r="77" spans="1:24" ht="12.75" customHeight="1">
      <c r="A77" s="2" t="s">
        <v>421</v>
      </c>
      <c r="B77" s="35"/>
      <c r="C77" s="178">
        <v>1170.8096399999999</v>
      </c>
      <c r="D77" s="80">
        <f t="shared" si="21"/>
        <v>1.2999999999999999E-3</v>
      </c>
      <c r="E77" s="178">
        <v>0</v>
      </c>
      <c r="F77" s="80">
        <f t="shared" si="22"/>
        <v>0</v>
      </c>
      <c r="G77" s="178">
        <v>0</v>
      </c>
      <c r="H77" s="80">
        <f t="shared" si="23"/>
        <v>0</v>
      </c>
      <c r="I77" s="178">
        <v>0</v>
      </c>
      <c r="J77" s="80">
        <f t="shared" si="24"/>
        <v>0</v>
      </c>
      <c r="K77" s="178">
        <v>0</v>
      </c>
      <c r="L77" s="80">
        <f t="shared" si="25"/>
        <v>0</v>
      </c>
      <c r="M77" s="178">
        <v>0</v>
      </c>
      <c r="N77" s="80">
        <f t="shared" si="26"/>
        <v>0</v>
      </c>
      <c r="O77" s="178">
        <v>0</v>
      </c>
      <c r="P77" s="80">
        <f t="shared" si="27"/>
        <v>0</v>
      </c>
      <c r="Q77" s="178">
        <v>0</v>
      </c>
      <c r="R77" s="80">
        <f t="shared" si="28"/>
        <v>0</v>
      </c>
      <c r="S77" s="178">
        <v>0</v>
      </c>
      <c r="T77" s="80">
        <f t="shared" si="29"/>
        <v>0</v>
      </c>
      <c r="U77" s="178">
        <v>0</v>
      </c>
      <c r="V77" s="80">
        <f t="shared" si="30"/>
        <v>0</v>
      </c>
      <c r="X77" s="192"/>
    </row>
    <row r="78" spans="1:24" ht="12.75" customHeight="1">
      <c r="A78" s="2" t="s">
        <v>422</v>
      </c>
      <c r="B78" s="35"/>
      <c r="C78" s="178">
        <v>19813.701599999997</v>
      </c>
      <c r="D78" s="80">
        <f t="shared" si="21"/>
        <v>2.1999999999999999E-2</v>
      </c>
      <c r="E78" s="178">
        <v>0</v>
      </c>
      <c r="F78" s="80">
        <f t="shared" si="22"/>
        <v>0</v>
      </c>
      <c r="G78" s="178">
        <v>0</v>
      </c>
      <c r="H78" s="80">
        <f t="shared" si="23"/>
        <v>0</v>
      </c>
      <c r="I78" s="178">
        <v>0</v>
      </c>
      <c r="J78" s="80">
        <f t="shared" si="24"/>
        <v>0</v>
      </c>
      <c r="K78" s="178">
        <v>0</v>
      </c>
      <c r="L78" s="80">
        <f t="shared" si="25"/>
        <v>0</v>
      </c>
      <c r="M78" s="178">
        <v>0</v>
      </c>
      <c r="N78" s="80">
        <f t="shared" si="26"/>
        <v>0</v>
      </c>
      <c r="O78" s="178">
        <v>0</v>
      </c>
      <c r="P78" s="80">
        <f t="shared" si="27"/>
        <v>0</v>
      </c>
      <c r="Q78" s="178">
        <v>0</v>
      </c>
      <c r="R78" s="80">
        <f t="shared" si="28"/>
        <v>0</v>
      </c>
      <c r="S78" s="178">
        <v>0</v>
      </c>
      <c r="T78" s="80">
        <f t="shared" si="29"/>
        <v>0</v>
      </c>
      <c r="U78" s="178">
        <v>0</v>
      </c>
      <c r="V78" s="80">
        <f t="shared" si="30"/>
        <v>0</v>
      </c>
      <c r="X78" s="192"/>
    </row>
    <row r="79" spans="1:24" ht="12.75" customHeight="1">
      <c r="A79" s="2" t="s">
        <v>423</v>
      </c>
      <c r="B79" s="35"/>
      <c r="C79" s="178">
        <v>0</v>
      </c>
      <c r="D79" s="80">
        <f t="shared" si="21"/>
        <v>0</v>
      </c>
      <c r="E79" s="178">
        <v>0</v>
      </c>
      <c r="F79" s="80">
        <f t="shared" si="22"/>
        <v>0</v>
      </c>
      <c r="G79" s="178">
        <v>0</v>
      </c>
      <c r="H79" s="80">
        <f t="shared" si="23"/>
        <v>0</v>
      </c>
      <c r="I79" s="178">
        <v>0</v>
      </c>
      <c r="J79" s="80">
        <f t="shared" si="24"/>
        <v>0</v>
      </c>
      <c r="K79" s="178">
        <v>0</v>
      </c>
      <c r="L79" s="80">
        <f t="shared" si="25"/>
        <v>0</v>
      </c>
      <c r="M79" s="178">
        <v>0</v>
      </c>
      <c r="N79" s="80">
        <f t="shared" si="26"/>
        <v>0</v>
      </c>
      <c r="O79" s="178">
        <v>0</v>
      </c>
      <c r="P79" s="80">
        <f t="shared" si="27"/>
        <v>0</v>
      </c>
      <c r="Q79" s="178">
        <v>0</v>
      </c>
      <c r="R79" s="80">
        <f t="shared" si="28"/>
        <v>0</v>
      </c>
      <c r="S79" s="178">
        <v>0</v>
      </c>
      <c r="T79" s="80">
        <f t="shared" si="29"/>
        <v>0</v>
      </c>
      <c r="U79" s="178">
        <v>0</v>
      </c>
      <c r="V79" s="80">
        <f t="shared" si="30"/>
        <v>0</v>
      </c>
      <c r="X79" s="192"/>
    </row>
    <row r="80" spans="1:24" ht="12.75" customHeight="1">
      <c r="A80" s="2" t="s">
        <v>424</v>
      </c>
      <c r="B80" s="35"/>
      <c r="C80" s="178">
        <v>0</v>
      </c>
      <c r="D80" s="80">
        <f t="shared" si="21"/>
        <v>0</v>
      </c>
      <c r="E80" s="178">
        <v>0</v>
      </c>
      <c r="F80" s="80">
        <f t="shared" si="22"/>
        <v>0</v>
      </c>
      <c r="G80" s="178">
        <v>0</v>
      </c>
      <c r="H80" s="80">
        <f t="shared" si="23"/>
        <v>0</v>
      </c>
      <c r="I80" s="178">
        <v>0</v>
      </c>
      <c r="J80" s="80">
        <f t="shared" si="24"/>
        <v>0</v>
      </c>
      <c r="K80" s="178">
        <v>0</v>
      </c>
      <c r="L80" s="80">
        <f t="shared" si="25"/>
        <v>0</v>
      </c>
      <c r="M80" s="178">
        <v>0</v>
      </c>
      <c r="N80" s="80">
        <f t="shared" si="26"/>
        <v>0</v>
      </c>
      <c r="O80" s="178">
        <v>0</v>
      </c>
      <c r="P80" s="80">
        <f t="shared" si="27"/>
        <v>0</v>
      </c>
      <c r="Q80" s="178">
        <v>0</v>
      </c>
      <c r="R80" s="80">
        <f t="shared" si="28"/>
        <v>0</v>
      </c>
      <c r="S80" s="178">
        <v>0</v>
      </c>
      <c r="T80" s="80">
        <f t="shared" si="29"/>
        <v>0</v>
      </c>
      <c r="U80" s="178">
        <v>0</v>
      </c>
      <c r="V80" s="80">
        <f t="shared" si="30"/>
        <v>0</v>
      </c>
      <c r="X80" s="192"/>
    </row>
    <row r="81" spans="1:24" ht="12.75" customHeight="1">
      <c r="A81" s="2" t="s">
        <v>425</v>
      </c>
      <c r="B81" s="35"/>
      <c r="C81" s="178">
        <v>0</v>
      </c>
      <c r="D81" s="80">
        <f t="shared" si="21"/>
        <v>0</v>
      </c>
      <c r="E81" s="178">
        <v>0</v>
      </c>
      <c r="F81" s="80">
        <f t="shared" si="22"/>
        <v>0</v>
      </c>
      <c r="G81" s="178">
        <v>0</v>
      </c>
      <c r="H81" s="80">
        <f t="shared" si="23"/>
        <v>0</v>
      </c>
      <c r="I81" s="178">
        <v>0</v>
      </c>
      <c r="J81" s="80">
        <f t="shared" si="24"/>
        <v>0</v>
      </c>
      <c r="K81" s="178">
        <v>0</v>
      </c>
      <c r="L81" s="80">
        <f t="shared" si="25"/>
        <v>0</v>
      </c>
      <c r="M81" s="178">
        <v>0</v>
      </c>
      <c r="N81" s="80">
        <f t="shared" si="26"/>
        <v>0</v>
      </c>
      <c r="O81" s="178">
        <v>0</v>
      </c>
      <c r="P81" s="80">
        <f t="shared" si="27"/>
        <v>0</v>
      </c>
      <c r="Q81" s="178">
        <v>0</v>
      </c>
      <c r="R81" s="80">
        <f t="shared" si="28"/>
        <v>0</v>
      </c>
      <c r="S81" s="178">
        <v>0</v>
      </c>
      <c r="T81" s="80">
        <f t="shared" si="29"/>
        <v>0</v>
      </c>
      <c r="U81" s="178">
        <v>0</v>
      </c>
      <c r="V81" s="80">
        <f t="shared" si="30"/>
        <v>0</v>
      </c>
      <c r="X81" s="192"/>
    </row>
    <row r="82" spans="1:24" ht="12.75" customHeight="1">
      <c r="A82" s="2" t="s">
        <v>426</v>
      </c>
      <c r="B82" s="35"/>
      <c r="C82" s="178">
        <v>0</v>
      </c>
      <c r="D82" s="80">
        <f t="shared" si="21"/>
        <v>0</v>
      </c>
      <c r="E82" s="178">
        <v>0</v>
      </c>
      <c r="F82" s="80">
        <f t="shared" si="22"/>
        <v>0</v>
      </c>
      <c r="G82" s="178">
        <v>0</v>
      </c>
      <c r="H82" s="80">
        <f t="shared" si="23"/>
        <v>0</v>
      </c>
      <c r="I82" s="178">
        <v>0</v>
      </c>
      <c r="J82" s="80">
        <f t="shared" si="24"/>
        <v>0</v>
      </c>
      <c r="K82" s="178">
        <v>0</v>
      </c>
      <c r="L82" s="80">
        <f t="shared" si="25"/>
        <v>0</v>
      </c>
      <c r="M82" s="178">
        <v>0</v>
      </c>
      <c r="N82" s="80">
        <f t="shared" si="26"/>
        <v>0</v>
      </c>
      <c r="O82" s="178">
        <v>0</v>
      </c>
      <c r="P82" s="80">
        <f t="shared" si="27"/>
        <v>0</v>
      </c>
      <c r="Q82" s="178">
        <v>0</v>
      </c>
      <c r="R82" s="80">
        <f t="shared" si="28"/>
        <v>0</v>
      </c>
      <c r="S82" s="178">
        <v>0</v>
      </c>
      <c r="T82" s="80">
        <f t="shared" si="29"/>
        <v>0</v>
      </c>
      <c r="U82" s="178">
        <v>0</v>
      </c>
      <c r="V82" s="80">
        <f t="shared" si="30"/>
        <v>0</v>
      </c>
      <c r="X82" s="192"/>
    </row>
    <row r="83" spans="1:24" ht="12.75" customHeight="1">
      <c r="A83" s="2" t="s">
        <v>427</v>
      </c>
      <c r="B83" s="35"/>
      <c r="C83" s="178">
        <v>0</v>
      </c>
      <c r="D83" s="80">
        <f t="shared" si="21"/>
        <v>0</v>
      </c>
      <c r="E83" s="178">
        <v>0</v>
      </c>
      <c r="F83" s="80">
        <f t="shared" si="22"/>
        <v>0</v>
      </c>
      <c r="G83" s="178">
        <v>0</v>
      </c>
      <c r="H83" s="80">
        <f t="shared" si="23"/>
        <v>0</v>
      </c>
      <c r="I83" s="178">
        <v>0</v>
      </c>
      <c r="J83" s="80">
        <f t="shared" si="24"/>
        <v>0</v>
      </c>
      <c r="K83" s="178">
        <v>0</v>
      </c>
      <c r="L83" s="80">
        <f t="shared" si="25"/>
        <v>0</v>
      </c>
      <c r="M83" s="178">
        <v>0</v>
      </c>
      <c r="N83" s="80">
        <f t="shared" si="26"/>
        <v>0</v>
      </c>
      <c r="O83" s="178">
        <v>0</v>
      </c>
      <c r="P83" s="80">
        <f t="shared" si="27"/>
        <v>0</v>
      </c>
      <c r="Q83" s="178">
        <v>0</v>
      </c>
      <c r="R83" s="80">
        <f t="shared" si="28"/>
        <v>0</v>
      </c>
      <c r="S83" s="178">
        <v>0</v>
      </c>
      <c r="T83" s="80">
        <f t="shared" si="29"/>
        <v>0</v>
      </c>
      <c r="U83" s="178">
        <v>0</v>
      </c>
      <c r="V83" s="80">
        <f t="shared" si="30"/>
        <v>0</v>
      </c>
      <c r="X83" s="192"/>
    </row>
    <row r="84" spans="1:24" ht="12.75" customHeight="1">
      <c r="A84" s="2" t="s">
        <v>428</v>
      </c>
      <c r="B84" s="35"/>
      <c r="C84" s="178">
        <v>0</v>
      </c>
      <c r="D84" s="80">
        <f t="shared" si="21"/>
        <v>0</v>
      </c>
      <c r="E84" s="178">
        <v>0</v>
      </c>
      <c r="F84" s="80">
        <f t="shared" si="22"/>
        <v>0</v>
      </c>
      <c r="G84" s="178">
        <v>0</v>
      </c>
      <c r="H84" s="80">
        <f t="shared" si="23"/>
        <v>0</v>
      </c>
      <c r="I84" s="178">
        <v>0</v>
      </c>
      <c r="J84" s="80">
        <f t="shared" si="24"/>
        <v>0</v>
      </c>
      <c r="K84" s="178">
        <v>0</v>
      </c>
      <c r="L84" s="80">
        <f t="shared" si="25"/>
        <v>0</v>
      </c>
      <c r="M84" s="178">
        <v>0</v>
      </c>
      <c r="N84" s="80">
        <f t="shared" si="26"/>
        <v>0</v>
      </c>
      <c r="O84" s="178">
        <v>0</v>
      </c>
      <c r="P84" s="80">
        <f t="shared" si="27"/>
        <v>0</v>
      </c>
      <c r="Q84" s="178">
        <v>0</v>
      </c>
      <c r="R84" s="80">
        <f t="shared" si="28"/>
        <v>0</v>
      </c>
      <c r="S84" s="178">
        <v>0</v>
      </c>
      <c r="T84" s="80">
        <f t="shared" si="29"/>
        <v>0</v>
      </c>
      <c r="U84" s="178">
        <v>0</v>
      </c>
      <c r="V84" s="80">
        <f t="shared" si="30"/>
        <v>0</v>
      </c>
      <c r="X84" s="192"/>
    </row>
    <row r="85" spans="1:24" ht="12.75" customHeight="1">
      <c r="A85" s="2" t="s">
        <v>429</v>
      </c>
      <c r="B85" s="35"/>
      <c r="C85" s="178">
        <v>0</v>
      </c>
      <c r="D85" s="80">
        <f t="shared" si="21"/>
        <v>0</v>
      </c>
      <c r="E85" s="178">
        <v>0</v>
      </c>
      <c r="F85" s="80">
        <f t="shared" si="22"/>
        <v>0</v>
      </c>
      <c r="G85" s="178">
        <v>0</v>
      </c>
      <c r="H85" s="80">
        <f t="shared" si="23"/>
        <v>0</v>
      </c>
      <c r="I85" s="178">
        <v>0</v>
      </c>
      <c r="J85" s="80">
        <f t="shared" si="24"/>
        <v>0</v>
      </c>
      <c r="K85" s="178">
        <v>0</v>
      </c>
      <c r="L85" s="80">
        <f t="shared" si="25"/>
        <v>0</v>
      </c>
      <c r="M85" s="178">
        <v>0</v>
      </c>
      <c r="N85" s="80">
        <f t="shared" si="26"/>
        <v>0</v>
      </c>
      <c r="O85" s="178">
        <v>0</v>
      </c>
      <c r="P85" s="80">
        <f t="shared" si="27"/>
        <v>0</v>
      </c>
      <c r="Q85" s="178">
        <v>0</v>
      </c>
      <c r="R85" s="80">
        <f t="shared" si="28"/>
        <v>0</v>
      </c>
      <c r="S85" s="178">
        <v>0</v>
      </c>
      <c r="T85" s="80">
        <f t="shared" si="29"/>
        <v>0</v>
      </c>
      <c r="U85" s="178">
        <v>0</v>
      </c>
      <c r="V85" s="80">
        <f t="shared" si="30"/>
        <v>0</v>
      </c>
      <c r="X85" s="192"/>
    </row>
    <row r="86" spans="1:24" ht="12.75" customHeight="1">
      <c r="A86" s="2" t="s">
        <v>430</v>
      </c>
      <c r="B86" s="35"/>
      <c r="C86" s="178">
        <v>3602.4911999999999</v>
      </c>
      <c r="D86" s="80">
        <f t="shared" si="21"/>
        <v>4.0000000000000001E-3</v>
      </c>
      <c r="E86" s="178">
        <v>0</v>
      </c>
      <c r="F86" s="80">
        <f t="shared" si="22"/>
        <v>0</v>
      </c>
      <c r="G86" s="178">
        <v>0</v>
      </c>
      <c r="H86" s="80">
        <f t="shared" si="23"/>
        <v>0</v>
      </c>
      <c r="I86" s="178">
        <v>0</v>
      </c>
      <c r="J86" s="80">
        <f t="shared" si="24"/>
        <v>0</v>
      </c>
      <c r="K86" s="178">
        <v>0</v>
      </c>
      <c r="L86" s="80">
        <f t="shared" si="25"/>
        <v>0</v>
      </c>
      <c r="M86" s="178">
        <v>0</v>
      </c>
      <c r="N86" s="80">
        <f t="shared" si="26"/>
        <v>0</v>
      </c>
      <c r="O86" s="178">
        <v>0</v>
      </c>
      <c r="P86" s="80">
        <f t="shared" si="27"/>
        <v>0</v>
      </c>
      <c r="Q86" s="178">
        <v>0</v>
      </c>
      <c r="R86" s="80">
        <f t="shared" si="28"/>
        <v>0</v>
      </c>
      <c r="S86" s="178">
        <v>0</v>
      </c>
      <c r="T86" s="80">
        <f t="shared" si="29"/>
        <v>0</v>
      </c>
      <c r="U86" s="178">
        <v>0</v>
      </c>
      <c r="V86" s="80">
        <f t="shared" si="30"/>
        <v>0</v>
      </c>
      <c r="X86" s="192"/>
    </row>
    <row r="87" spans="1:24" ht="12.75" customHeight="1">
      <c r="A87" s="2" t="s">
        <v>431</v>
      </c>
      <c r="B87" s="35"/>
      <c r="C87" s="178">
        <v>0</v>
      </c>
      <c r="D87" s="80">
        <f t="shared" si="21"/>
        <v>0</v>
      </c>
      <c r="E87" s="178">
        <v>0</v>
      </c>
      <c r="F87" s="80">
        <f t="shared" si="22"/>
        <v>0</v>
      </c>
      <c r="G87" s="178">
        <v>0</v>
      </c>
      <c r="H87" s="80">
        <f t="shared" si="23"/>
        <v>0</v>
      </c>
      <c r="I87" s="178">
        <v>0</v>
      </c>
      <c r="J87" s="80">
        <f t="shared" si="24"/>
        <v>0</v>
      </c>
      <c r="K87" s="178">
        <v>0</v>
      </c>
      <c r="L87" s="80">
        <f t="shared" si="25"/>
        <v>0</v>
      </c>
      <c r="M87" s="178">
        <v>0</v>
      </c>
      <c r="N87" s="80">
        <f t="shared" si="26"/>
        <v>0</v>
      </c>
      <c r="O87" s="178">
        <v>0</v>
      </c>
      <c r="P87" s="80">
        <f t="shared" si="27"/>
        <v>0</v>
      </c>
      <c r="Q87" s="178">
        <v>0</v>
      </c>
      <c r="R87" s="80">
        <f t="shared" si="28"/>
        <v>0</v>
      </c>
      <c r="S87" s="178">
        <v>0</v>
      </c>
      <c r="T87" s="80">
        <f t="shared" si="29"/>
        <v>0</v>
      </c>
      <c r="U87" s="178">
        <v>0</v>
      </c>
      <c r="V87" s="80">
        <f t="shared" si="30"/>
        <v>0</v>
      </c>
      <c r="X87" s="192"/>
    </row>
    <row r="88" spans="1:24" ht="12.75" customHeight="1">
      <c r="A88" s="2" t="s">
        <v>432</v>
      </c>
      <c r="B88" s="35"/>
      <c r="C88" s="178">
        <v>4593.1762799999997</v>
      </c>
      <c r="D88" s="80">
        <f t="shared" si="21"/>
        <v>5.1000000000000004E-3</v>
      </c>
      <c r="E88" s="178">
        <v>0</v>
      </c>
      <c r="F88" s="80">
        <f t="shared" si="22"/>
        <v>0</v>
      </c>
      <c r="G88" s="178">
        <v>0</v>
      </c>
      <c r="H88" s="80">
        <f t="shared" si="23"/>
        <v>0</v>
      </c>
      <c r="I88" s="178">
        <v>0</v>
      </c>
      <c r="J88" s="80">
        <f t="shared" si="24"/>
        <v>0</v>
      </c>
      <c r="K88" s="178">
        <v>0</v>
      </c>
      <c r="L88" s="80">
        <f t="shared" si="25"/>
        <v>0</v>
      </c>
      <c r="M88" s="178">
        <v>0</v>
      </c>
      <c r="N88" s="80">
        <f t="shared" si="26"/>
        <v>0</v>
      </c>
      <c r="O88" s="178">
        <v>0</v>
      </c>
      <c r="P88" s="80">
        <f t="shared" si="27"/>
        <v>0</v>
      </c>
      <c r="Q88" s="178">
        <v>0</v>
      </c>
      <c r="R88" s="80">
        <f t="shared" si="28"/>
        <v>0</v>
      </c>
      <c r="S88" s="178">
        <v>0</v>
      </c>
      <c r="T88" s="80">
        <f t="shared" si="29"/>
        <v>0</v>
      </c>
      <c r="U88" s="178">
        <v>0</v>
      </c>
      <c r="V88" s="80">
        <f t="shared" si="30"/>
        <v>0</v>
      </c>
      <c r="X88" s="192"/>
    </row>
    <row r="89" spans="1:24" ht="12.75" customHeight="1">
      <c r="A89" s="2" t="s">
        <v>433</v>
      </c>
      <c r="B89" s="35"/>
      <c r="C89" s="178">
        <v>0</v>
      </c>
      <c r="D89" s="80">
        <f t="shared" si="21"/>
        <v>0</v>
      </c>
      <c r="E89" s="178">
        <v>0</v>
      </c>
      <c r="F89" s="80">
        <f t="shared" si="22"/>
        <v>0</v>
      </c>
      <c r="G89" s="178">
        <v>0</v>
      </c>
      <c r="H89" s="80">
        <f t="shared" si="23"/>
        <v>0</v>
      </c>
      <c r="I89" s="178">
        <v>0</v>
      </c>
      <c r="J89" s="80">
        <f t="shared" si="24"/>
        <v>0</v>
      </c>
      <c r="K89" s="178">
        <v>0</v>
      </c>
      <c r="L89" s="80">
        <f t="shared" si="25"/>
        <v>0</v>
      </c>
      <c r="M89" s="178">
        <v>0</v>
      </c>
      <c r="N89" s="80">
        <f t="shared" si="26"/>
        <v>0</v>
      </c>
      <c r="O89" s="178">
        <v>0</v>
      </c>
      <c r="P89" s="80">
        <f t="shared" si="27"/>
        <v>0</v>
      </c>
      <c r="Q89" s="178">
        <v>0</v>
      </c>
      <c r="R89" s="80">
        <f t="shared" si="28"/>
        <v>0</v>
      </c>
      <c r="S89" s="178">
        <v>0</v>
      </c>
      <c r="T89" s="80">
        <f t="shared" si="29"/>
        <v>0</v>
      </c>
      <c r="U89" s="178">
        <v>0</v>
      </c>
      <c r="V89" s="80">
        <f t="shared" si="30"/>
        <v>0</v>
      </c>
      <c r="X89" s="192"/>
    </row>
    <row r="90" spans="1:24" ht="12.75" customHeight="1">
      <c r="A90" s="2" t="s">
        <v>434</v>
      </c>
      <c r="B90" s="35"/>
      <c r="C90" s="178">
        <v>180.12456</v>
      </c>
      <c r="D90" s="80">
        <f t="shared" si="21"/>
        <v>2.0000000000000001E-4</v>
      </c>
      <c r="E90" s="178">
        <v>0</v>
      </c>
      <c r="F90" s="80">
        <f t="shared" si="22"/>
        <v>0</v>
      </c>
      <c r="G90" s="178">
        <v>0</v>
      </c>
      <c r="H90" s="80">
        <f t="shared" si="23"/>
        <v>0</v>
      </c>
      <c r="I90" s="178">
        <v>0</v>
      </c>
      <c r="J90" s="80">
        <f t="shared" si="24"/>
        <v>0</v>
      </c>
      <c r="K90" s="178">
        <v>0</v>
      </c>
      <c r="L90" s="80">
        <f t="shared" si="25"/>
        <v>0</v>
      </c>
      <c r="M90" s="178">
        <v>0</v>
      </c>
      <c r="N90" s="80">
        <f t="shared" si="26"/>
        <v>0</v>
      </c>
      <c r="O90" s="178">
        <v>0</v>
      </c>
      <c r="P90" s="80">
        <f t="shared" si="27"/>
        <v>0</v>
      </c>
      <c r="Q90" s="178">
        <v>0</v>
      </c>
      <c r="R90" s="80">
        <f t="shared" si="28"/>
        <v>0</v>
      </c>
      <c r="S90" s="178">
        <v>0</v>
      </c>
      <c r="T90" s="80">
        <f t="shared" si="29"/>
        <v>0</v>
      </c>
      <c r="U90" s="178">
        <v>0</v>
      </c>
      <c r="V90" s="80">
        <f t="shared" si="30"/>
        <v>0</v>
      </c>
      <c r="X90" s="192"/>
    </row>
    <row r="91" spans="1:24" ht="12.75" customHeight="1">
      <c r="A91" s="2" t="s">
        <v>435</v>
      </c>
      <c r="C91" s="178">
        <v>0</v>
      </c>
      <c r="D91" s="80">
        <f t="shared" si="21"/>
        <v>0</v>
      </c>
      <c r="E91" s="178">
        <v>0</v>
      </c>
      <c r="F91" s="80">
        <f t="shared" si="22"/>
        <v>0</v>
      </c>
      <c r="G91" s="178">
        <v>0</v>
      </c>
      <c r="H91" s="80">
        <f t="shared" si="23"/>
        <v>0</v>
      </c>
      <c r="I91" s="178">
        <v>0</v>
      </c>
      <c r="J91" s="80">
        <f t="shared" si="24"/>
        <v>0</v>
      </c>
      <c r="K91" s="178">
        <v>0</v>
      </c>
      <c r="L91" s="80">
        <f t="shared" si="25"/>
        <v>0</v>
      </c>
      <c r="M91" s="178">
        <v>0</v>
      </c>
      <c r="N91" s="80">
        <f t="shared" si="26"/>
        <v>0</v>
      </c>
      <c r="O91" s="178">
        <v>0</v>
      </c>
      <c r="P91" s="80">
        <f t="shared" si="27"/>
        <v>0</v>
      </c>
      <c r="Q91" s="178">
        <v>0</v>
      </c>
      <c r="R91" s="80">
        <f t="shared" si="28"/>
        <v>0</v>
      </c>
      <c r="S91" s="178">
        <v>0</v>
      </c>
      <c r="T91" s="80">
        <f t="shared" si="29"/>
        <v>0</v>
      </c>
      <c r="U91" s="178">
        <v>0</v>
      </c>
      <c r="V91" s="80">
        <f t="shared" si="30"/>
        <v>0</v>
      </c>
      <c r="X91" s="192"/>
    </row>
    <row r="92" spans="1:24" ht="12.75" customHeight="1">
      <c r="A92" s="2" t="s">
        <v>436</v>
      </c>
      <c r="B92" s="35"/>
      <c r="C92" s="178">
        <v>4683.2385599999998</v>
      </c>
      <c r="D92" s="80">
        <f t="shared" si="21"/>
        <v>5.1999999999999998E-3</v>
      </c>
      <c r="E92" s="178">
        <v>0</v>
      </c>
      <c r="F92" s="80">
        <f t="shared" si="22"/>
        <v>0</v>
      </c>
      <c r="G92" s="178">
        <v>0</v>
      </c>
      <c r="H92" s="80">
        <f t="shared" si="23"/>
        <v>0</v>
      </c>
      <c r="I92" s="178">
        <v>0</v>
      </c>
      <c r="J92" s="80">
        <f t="shared" si="24"/>
        <v>0</v>
      </c>
      <c r="K92" s="178">
        <v>0</v>
      </c>
      <c r="L92" s="80">
        <f t="shared" si="25"/>
        <v>0</v>
      </c>
      <c r="M92" s="178">
        <v>0</v>
      </c>
      <c r="N92" s="80">
        <f t="shared" si="26"/>
        <v>0</v>
      </c>
      <c r="O92" s="178">
        <v>0</v>
      </c>
      <c r="P92" s="80">
        <f t="shared" si="27"/>
        <v>0</v>
      </c>
      <c r="Q92" s="178">
        <v>0</v>
      </c>
      <c r="R92" s="80">
        <f t="shared" si="28"/>
        <v>0</v>
      </c>
      <c r="S92" s="178">
        <v>0</v>
      </c>
      <c r="T92" s="80">
        <f t="shared" si="29"/>
        <v>0</v>
      </c>
      <c r="U92" s="178">
        <v>0</v>
      </c>
      <c r="V92" s="80">
        <f t="shared" si="30"/>
        <v>0</v>
      </c>
      <c r="X92" s="192"/>
    </row>
    <row r="93" spans="1:24" ht="12.75" customHeight="1">
      <c r="A93" s="2" t="s">
        <v>437</v>
      </c>
      <c r="B93" s="35"/>
      <c r="C93" s="178">
        <v>0</v>
      </c>
      <c r="D93" s="80">
        <f t="shared" si="21"/>
        <v>0</v>
      </c>
      <c r="E93" s="178">
        <v>0</v>
      </c>
      <c r="F93" s="80">
        <f t="shared" si="22"/>
        <v>0</v>
      </c>
      <c r="G93" s="178">
        <v>0</v>
      </c>
      <c r="H93" s="80">
        <f t="shared" si="23"/>
        <v>0</v>
      </c>
      <c r="I93" s="178">
        <v>0</v>
      </c>
      <c r="J93" s="80">
        <f t="shared" si="24"/>
        <v>0</v>
      </c>
      <c r="K93" s="178">
        <v>0</v>
      </c>
      <c r="L93" s="80">
        <f t="shared" si="25"/>
        <v>0</v>
      </c>
      <c r="M93" s="178">
        <v>0</v>
      </c>
      <c r="N93" s="80">
        <f t="shared" si="26"/>
        <v>0</v>
      </c>
      <c r="O93" s="178">
        <v>0</v>
      </c>
      <c r="P93" s="80">
        <f t="shared" si="27"/>
        <v>0</v>
      </c>
      <c r="Q93" s="178">
        <v>0</v>
      </c>
      <c r="R93" s="80">
        <f t="shared" si="28"/>
        <v>0</v>
      </c>
      <c r="S93" s="178">
        <v>0</v>
      </c>
      <c r="T93" s="80">
        <f t="shared" si="29"/>
        <v>0</v>
      </c>
      <c r="U93" s="178">
        <v>0</v>
      </c>
      <c r="V93" s="80">
        <f t="shared" si="30"/>
        <v>0</v>
      </c>
      <c r="X93" s="192"/>
    </row>
    <row r="94" spans="1:24" ht="12.75" customHeight="1">
      <c r="A94" s="2" t="s">
        <v>438</v>
      </c>
      <c r="B94" s="35"/>
      <c r="C94" s="178">
        <v>0</v>
      </c>
      <c r="D94" s="80">
        <f t="shared" si="21"/>
        <v>0</v>
      </c>
      <c r="E94" s="178">
        <v>0</v>
      </c>
      <c r="F94" s="80">
        <f t="shared" si="22"/>
        <v>0</v>
      </c>
      <c r="G94" s="178">
        <v>0</v>
      </c>
      <c r="H94" s="80">
        <f t="shared" si="23"/>
        <v>0</v>
      </c>
      <c r="I94" s="178">
        <v>0</v>
      </c>
      <c r="J94" s="80">
        <f t="shared" si="24"/>
        <v>0</v>
      </c>
      <c r="K94" s="178">
        <v>0</v>
      </c>
      <c r="L94" s="80">
        <f t="shared" si="25"/>
        <v>0</v>
      </c>
      <c r="M94" s="178">
        <v>0</v>
      </c>
      <c r="N94" s="80">
        <f t="shared" si="26"/>
        <v>0</v>
      </c>
      <c r="O94" s="178">
        <v>0</v>
      </c>
      <c r="P94" s="80">
        <f t="shared" si="27"/>
        <v>0</v>
      </c>
      <c r="Q94" s="178">
        <v>0</v>
      </c>
      <c r="R94" s="80">
        <f t="shared" si="28"/>
        <v>0</v>
      </c>
      <c r="S94" s="178">
        <v>0</v>
      </c>
      <c r="T94" s="80">
        <f t="shared" si="29"/>
        <v>0</v>
      </c>
      <c r="U94" s="178">
        <v>0</v>
      </c>
      <c r="V94" s="80">
        <f t="shared" si="30"/>
        <v>0</v>
      </c>
      <c r="X94" s="192"/>
    </row>
    <row r="95" spans="1:24" ht="12.75" customHeight="1">
      <c r="A95" s="2" t="s">
        <v>439</v>
      </c>
      <c r="B95" s="35"/>
      <c r="C95" s="178">
        <v>0</v>
      </c>
      <c r="D95" s="80">
        <f t="shared" si="21"/>
        <v>0</v>
      </c>
      <c r="E95" s="178">
        <v>0</v>
      </c>
      <c r="F95" s="80">
        <f t="shared" si="22"/>
        <v>0</v>
      </c>
      <c r="G95" s="178">
        <v>0</v>
      </c>
      <c r="H95" s="80">
        <f t="shared" si="23"/>
        <v>0</v>
      </c>
      <c r="I95" s="178">
        <v>0</v>
      </c>
      <c r="J95" s="80">
        <f t="shared" si="24"/>
        <v>0</v>
      </c>
      <c r="K95" s="178">
        <v>0</v>
      </c>
      <c r="L95" s="80">
        <f t="shared" si="25"/>
        <v>0</v>
      </c>
      <c r="M95" s="178">
        <v>0</v>
      </c>
      <c r="N95" s="80">
        <f t="shared" si="26"/>
        <v>0</v>
      </c>
      <c r="O95" s="178">
        <v>0</v>
      </c>
      <c r="P95" s="80">
        <f t="shared" si="27"/>
        <v>0</v>
      </c>
      <c r="Q95" s="178">
        <v>0</v>
      </c>
      <c r="R95" s="80">
        <f t="shared" si="28"/>
        <v>0</v>
      </c>
      <c r="S95" s="178">
        <v>0</v>
      </c>
      <c r="T95" s="80">
        <f t="shared" si="29"/>
        <v>0</v>
      </c>
      <c r="U95" s="178">
        <v>0</v>
      </c>
      <c r="V95" s="80">
        <f t="shared" si="30"/>
        <v>0</v>
      </c>
      <c r="X95" s="192"/>
    </row>
    <row r="96" spans="1:24" ht="12.75" customHeight="1">
      <c r="A96" s="2" t="s">
        <v>440</v>
      </c>
      <c r="B96" s="35"/>
      <c r="C96" s="178">
        <v>0</v>
      </c>
      <c r="D96" s="80">
        <f t="shared" si="21"/>
        <v>0</v>
      </c>
      <c r="E96" s="178">
        <v>0</v>
      </c>
      <c r="F96" s="80">
        <f t="shared" si="22"/>
        <v>0</v>
      </c>
      <c r="G96" s="178">
        <v>0</v>
      </c>
      <c r="H96" s="80">
        <f t="shared" si="23"/>
        <v>0</v>
      </c>
      <c r="I96" s="178">
        <v>0</v>
      </c>
      <c r="J96" s="80">
        <f t="shared" si="24"/>
        <v>0</v>
      </c>
      <c r="K96" s="178">
        <v>0</v>
      </c>
      <c r="L96" s="80">
        <f t="shared" si="25"/>
        <v>0</v>
      </c>
      <c r="M96" s="178">
        <v>0</v>
      </c>
      <c r="N96" s="80">
        <f t="shared" si="26"/>
        <v>0</v>
      </c>
      <c r="O96" s="178">
        <v>0</v>
      </c>
      <c r="P96" s="80">
        <f t="shared" si="27"/>
        <v>0</v>
      </c>
      <c r="Q96" s="178">
        <v>0</v>
      </c>
      <c r="R96" s="80">
        <f t="shared" si="28"/>
        <v>0</v>
      </c>
      <c r="S96" s="178">
        <v>0</v>
      </c>
      <c r="T96" s="80">
        <f t="shared" si="29"/>
        <v>0</v>
      </c>
      <c r="U96" s="178">
        <v>0</v>
      </c>
      <c r="V96" s="80">
        <f t="shared" si="30"/>
        <v>0</v>
      </c>
      <c r="X96" s="192"/>
    </row>
    <row r="97" spans="1:24" ht="12.75" customHeight="1">
      <c r="A97" s="2" t="s">
        <v>441</v>
      </c>
      <c r="B97" s="35"/>
      <c r="C97" s="178">
        <v>14386.2035</v>
      </c>
      <c r="D97" s="80">
        <f t="shared" si="21"/>
        <v>1.5973616812721154E-2</v>
      </c>
      <c r="E97" s="178">
        <v>0</v>
      </c>
      <c r="F97" s="80">
        <f t="shared" si="22"/>
        <v>0</v>
      </c>
      <c r="G97" s="178">
        <v>0</v>
      </c>
      <c r="H97" s="80">
        <f t="shared" si="23"/>
        <v>0</v>
      </c>
      <c r="I97" s="178">
        <v>0</v>
      </c>
      <c r="J97" s="80">
        <f t="shared" si="24"/>
        <v>0</v>
      </c>
      <c r="K97" s="178">
        <v>0</v>
      </c>
      <c r="L97" s="80">
        <f t="shared" si="25"/>
        <v>0</v>
      </c>
      <c r="M97" s="178">
        <v>0</v>
      </c>
      <c r="N97" s="80">
        <f t="shared" si="26"/>
        <v>0</v>
      </c>
      <c r="O97" s="178">
        <v>0</v>
      </c>
      <c r="P97" s="80">
        <f t="shared" si="27"/>
        <v>0</v>
      </c>
      <c r="Q97" s="178">
        <v>0</v>
      </c>
      <c r="R97" s="80">
        <f t="shared" si="28"/>
        <v>0</v>
      </c>
      <c r="S97" s="178">
        <v>0</v>
      </c>
      <c r="T97" s="80">
        <f t="shared" si="29"/>
        <v>0</v>
      </c>
      <c r="U97" s="178">
        <v>0</v>
      </c>
      <c r="V97" s="80">
        <f t="shared" si="30"/>
        <v>0</v>
      </c>
      <c r="X97" s="192"/>
    </row>
    <row r="98" spans="1:24" ht="12.75" customHeight="1">
      <c r="A98" s="117" t="s">
        <v>444</v>
      </c>
      <c r="B98" s="35"/>
      <c r="C98" s="178">
        <v>1080.7473599999998</v>
      </c>
      <c r="D98" s="80">
        <f t="shared" si="21"/>
        <v>1.1999999999999999E-3</v>
      </c>
      <c r="E98" s="178">
        <v>0</v>
      </c>
      <c r="F98" s="80">
        <f t="shared" si="22"/>
        <v>0</v>
      </c>
      <c r="G98" s="178">
        <v>0</v>
      </c>
      <c r="H98" s="80">
        <f t="shared" si="23"/>
        <v>0</v>
      </c>
      <c r="I98" s="178">
        <v>0</v>
      </c>
      <c r="J98" s="80">
        <f t="shared" si="24"/>
        <v>0</v>
      </c>
      <c r="K98" s="178">
        <v>0</v>
      </c>
      <c r="L98" s="80">
        <f t="shared" si="25"/>
        <v>0</v>
      </c>
      <c r="M98" s="178">
        <v>0</v>
      </c>
      <c r="N98" s="80">
        <f t="shared" si="26"/>
        <v>0</v>
      </c>
      <c r="O98" s="178">
        <v>0</v>
      </c>
      <c r="P98" s="80">
        <f t="shared" si="27"/>
        <v>0</v>
      </c>
      <c r="Q98" s="178">
        <v>0</v>
      </c>
      <c r="R98" s="80">
        <f t="shared" si="28"/>
        <v>0</v>
      </c>
      <c r="S98" s="178">
        <v>0</v>
      </c>
      <c r="T98" s="80">
        <f t="shared" si="29"/>
        <v>0</v>
      </c>
      <c r="U98" s="178">
        <v>0</v>
      </c>
      <c r="V98" s="80">
        <f t="shared" si="30"/>
        <v>0</v>
      </c>
      <c r="X98" s="192"/>
    </row>
    <row r="99" spans="1:24" ht="12.75" customHeight="1">
      <c r="A99" s="117" t="s">
        <v>444</v>
      </c>
      <c r="B99" s="35"/>
      <c r="C99" s="178">
        <v>0</v>
      </c>
      <c r="D99" s="80">
        <f t="shared" si="21"/>
        <v>0</v>
      </c>
      <c r="E99" s="178">
        <v>0</v>
      </c>
      <c r="F99" s="80">
        <f t="shared" si="22"/>
        <v>0</v>
      </c>
      <c r="G99" s="178">
        <v>0</v>
      </c>
      <c r="H99" s="80">
        <f t="shared" si="23"/>
        <v>0</v>
      </c>
      <c r="I99" s="178">
        <v>0</v>
      </c>
      <c r="J99" s="80">
        <f t="shared" si="24"/>
        <v>0</v>
      </c>
      <c r="K99" s="178">
        <v>0</v>
      </c>
      <c r="L99" s="80">
        <f t="shared" si="25"/>
        <v>0</v>
      </c>
      <c r="M99" s="178">
        <v>0</v>
      </c>
      <c r="N99" s="80">
        <f t="shared" si="26"/>
        <v>0</v>
      </c>
      <c r="O99" s="178">
        <v>0</v>
      </c>
      <c r="P99" s="80">
        <f t="shared" si="27"/>
        <v>0</v>
      </c>
      <c r="Q99" s="178">
        <v>0</v>
      </c>
      <c r="R99" s="80">
        <f t="shared" si="28"/>
        <v>0</v>
      </c>
      <c r="S99" s="178">
        <v>0</v>
      </c>
      <c r="T99" s="80">
        <f t="shared" si="29"/>
        <v>0</v>
      </c>
      <c r="U99" s="178">
        <v>0</v>
      </c>
      <c r="V99" s="80">
        <f t="shared" si="30"/>
        <v>0</v>
      </c>
      <c r="X99" s="192"/>
    </row>
    <row r="100" spans="1:24" ht="12.75" customHeight="1">
      <c r="A100" s="117" t="s">
        <v>444</v>
      </c>
      <c r="B100" s="35"/>
      <c r="C100" s="178">
        <v>0</v>
      </c>
      <c r="D100" s="80">
        <f t="shared" si="21"/>
        <v>0</v>
      </c>
      <c r="E100" s="178">
        <v>0</v>
      </c>
      <c r="F100" s="80">
        <f t="shared" si="22"/>
        <v>0</v>
      </c>
      <c r="G100" s="178">
        <v>0</v>
      </c>
      <c r="H100" s="80">
        <f t="shared" si="23"/>
        <v>0</v>
      </c>
      <c r="I100" s="178">
        <v>0</v>
      </c>
      <c r="J100" s="80">
        <f t="shared" si="24"/>
        <v>0</v>
      </c>
      <c r="K100" s="178">
        <v>0</v>
      </c>
      <c r="L100" s="80">
        <f t="shared" si="25"/>
        <v>0</v>
      </c>
      <c r="M100" s="178">
        <v>0</v>
      </c>
      <c r="N100" s="80">
        <f t="shared" si="26"/>
        <v>0</v>
      </c>
      <c r="O100" s="178">
        <v>0</v>
      </c>
      <c r="P100" s="80">
        <f t="shared" si="27"/>
        <v>0</v>
      </c>
      <c r="Q100" s="178">
        <v>0</v>
      </c>
      <c r="R100" s="80">
        <f t="shared" si="28"/>
        <v>0</v>
      </c>
      <c r="S100" s="178">
        <v>0</v>
      </c>
      <c r="T100" s="80">
        <f t="shared" si="29"/>
        <v>0</v>
      </c>
      <c r="U100" s="178">
        <v>0</v>
      </c>
      <c r="V100" s="80">
        <f t="shared" si="30"/>
        <v>0</v>
      </c>
      <c r="X100" s="192"/>
    </row>
    <row r="101" spans="1:24" ht="12.75" customHeight="1">
      <c r="A101" s="2" t="s">
        <v>445</v>
      </c>
      <c r="B101" s="35"/>
      <c r="C101" s="178"/>
      <c r="D101" s="80">
        <f t="shared" si="21"/>
        <v>0</v>
      </c>
      <c r="E101" s="178"/>
      <c r="F101" s="80">
        <f t="shared" si="22"/>
        <v>0</v>
      </c>
      <c r="G101" s="178"/>
      <c r="H101" s="80">
        <f t="shared" si="23"/>
        <v>0</v>
      </c>
      <c r="I101" s="178">
        <v>0</v>
      </c>
      <c r="J101" s="80">
        <f t="shared" si="24"/>
        <v>0</v>
      </c>
      <c r="K101" s="178">
        <v>0</v>
      </c>
      <c r="L101" s="80">
        <f t="shared" si="25"/>
        <v>0</v>
      </c>
      <c r="M101" s="178">
        <v>0</v>
      </c>
      <c r="N101" s="80">
        <f t="shared" si="26"/>
        <v>0</v>
      </c>
      <c r="O101" s="178">
        <v>0</v>
      </c>
      <c r="P101" s="80">
        <f t="shared" si="27"/>
        <v>0</v>
      </c>
      <c r="Q101" s="178">
        <v>0</v>
      </c>
      <c r="R101" s="80">
        <f t="shared" si="28"/>
        <v>0</v>
      </c>
      <c r="S101" s="178">
        <v>0</v>
      </c>
      <c r="T101" s="80">
        <f t="shared" si="29"/>
        <v>0</v>
      </c>
      <c r="U101" s="178">
        <v>0</v>
      </c>
      <c r="V101" s="80">
        <f t="shared" si="30"/>
        <v>0</v>
      </c>
      <c r="X101" s="192"/>
    </row>
    <row r="102" spans="1:24" ht="12.75" customHeight="1">
      <c r="A102" s="117" t="s">
        <v>446</v>
      </c>
      <c r="B102" s="35"/>
      <c r="C102" s="178">
        <v>9006.2279999999992</v>
      </c>
      <c r="D102" s="80">
        <f t="shared" si="21"/>
        <v>0.01</v>
      </c>
      <c r="E102" s="178">
        <v>0</v>
      </c>
      <c r="F102" s="80">
        <f t="shared" si="22"/>
        <v>0</v>
      </c>
      <c r="G102" s="178">
        <v>0</v>
      </c>
      <c r="H102" s="80">
        <f t="shared" si="23"/>
        <v>0</v>
      </c>
      <c r="I102" s="178">
        <v>0</v>
      </c>
      <c r="J102" s="80">
        <f t="shared" si="24"/>
        <v>0</v>
      </c>
      <c r="K102" s="178">
        <v>0</v>
      </c>
      <c r="L102" s="80">
        <f t="shared" si="25"/>
        <v>0</v>
      </c>
      <c r="M102" s="178">
        <v>0</v>
      </c>
      <c r="N102" s="80">
        <f t="shared" si="26"/>
        <v>0</v>
      </c>
      <c r="O102" s="178">
        <v>0</v>
      </c>
      <c r="P102" s="80">
        <f t="shared" si="27"/>
        <v>0</v>
      </c>
      <c r="Q102" s="178">
        <v>0</v>
      </c>
      <c r="R102" s="80">
        <f t="shared" si="28"/>
        <v>0</v>
      </c>
      <c r="S102" s="178">
        <v>0</v>
      </c>
      <c r="T102" s="80">
        <f t="shared" si="29"/>
        <v>0</v>
      </c>
      <c r="U102" s="178">
        <v>0</v>
      </c>
      <c r="V102" s="80">
        <f t="shared" si="30"/>
        <v>0</v>
      </c>
      <c r="X102" s="192"/>
    </row>
    <row r="103" spans="1:24" ht="12.75" customHeight="1">
      <c r="A103" s="117" t="s">
        <v>446</v>
      </c>
      <c r="B103" s="35"/>
      <c r="C103" s="178">
        <v>0</v>
      </c>
      <c r="D103" s="80">
        <f t="shared" si="21"/>
        <v>0</v>
      </c>
      <c r="E103" s="178">
        <v>0</v>
      </c>
      <c r="F103" s="80">
        <f t="shared" si="22"/>
        <v>0</v>
      </c>
      <c r="G103" s="178">
        <v>0</v>
      </c>
      <c r="H103" s="80">
        <f t="shared" si="23"/>
        <v>0</v>
      </c>
      <c r="I103" s="178">
        <v>0</v>
      </c>
      <c r="J103" s="80">
        <f t="shared" si="24"/>
        <v>0</v>
      </c>
      <c r="K103" s="178">
        <v>0</v>
      </c>
      <c r="L103" s="80">
        <f t="shared" si="25"/>
        <v>0</v>
      </c>
      <c r="M103" s="178">
        <v>0</v>
      </c>
      <c r="N103" s="80">
        <f t="shared" si="26"/>
        <v>0</v>
      </c>
      <c r="O103" s="178">
        <v>0</v>
      </c>
      <c r="P103" s="80">
        <f t="shared" si="27"/>
        <v>0</v>
      </c>
      <c r="Q103" s="178">
        <v>0</v>
      </c>
      <c r="R103" s="80">
        <f t="shared" si="28"/>
        <v>0</v>
      </c>
      <c r="S103" s="178">
        <v>0</v>
      </c>
      <c r="T103" s="80">
        <f t="shared" si="29"/>
        <v>0</v>
      </c>
      <c r="U103" s="178">
        <v>0</v>
      </c>
      <c r="V103" s="80">
        <f t="shared" si="30"/>
        <v>0</v>
      </c>
      <c r="X103" s="192"/>
    </row>
    <row r="104" spans="1:24" ht="12.75" customHeight="1">
      <c r="A104" s="117" t="s">
        <v>446</v>
      </c>
      <c r="B104" s="1"/>
      <c r="C104" s="178">
        <v>0</v>
      </c>
      <c r="D104" s="80">
        <f t="shared" si="21"/>
        <v>0</v>
      </c>
      <c r="E104" s="178">
        <v>0</v>
      </c>
      <c r="F104" s="80">
        <f t="shared" si="22"/>
        <v>0</v>
      </c>
      <c r="G104" s="178">
        <v>0</v>
      </c>
      <c r="H104" s="80">
        <f t="shared" si="23"/>
        <v>0</v>
      </c>
      <c r="I104" s="178">
        <v>0</v>
      </c>
      <c r="J104" s="80">
        <f t="shared" si="24"/>
        <v>0</v>
      </c>
      <c r="K104" s="178">
        <v>0</v>
      </c>
      <c r="L104" s="80">
        <f t="shared" si="25"/>
        <v>0</v>
      </c>
      <c r="M104" s="178">
        <v>0</v>
      </c>
      <c r="N104" s="80">
        <f t="shared" si="26"/>
        <v>0</v>
      </c>
      <c r="O104" s="178">
        <v>0</v>
      </c>
      <c r="P104" s="80">
        <f t="shared" si="27"/>
        <v>0</v>
      </c>
      <c r="Q104" s="178">
        <v>0</v>
      </c>
      <c r="R104" s="80">
        <f t="shared" si="28"/>
        <v>0</v>
      </c>
      <c r="S104" s="178">
        <v>0</v>
      </c>
      <c r="T104" s="80">
        <f t="shared" si="29"/>
        <v>0</v>
      </c>
      <c r="U104" s="178">
        <v>0</v>
      </c>
      <c r="V104" s="80">
        <f t="shared" si="30"/>
        <v>0</v>
      </c>
      <c r="X104" s="192"/>
    </row>
    <row r="105" spans="1:24" ht="12.75" customHeight="1">
      <c r="A105" s="1" t="s">
        <v>447</v>
      </c>
      <c r="B105" s="53"/>
      <c r="C105" s="82">
        <f>SUM(C52:C104)</f>
        <v>187464.00237267403</v>
      </c>
      <c r="D105" s="83">
        <f t="shared" ref="D105" si="31">IFERROR(C105/C$28,0)</f>
        <v>0.20814929665635162</v>
      </c>
      <c r="E105" s="82">
        <f>SUM(E52:E104)</f>
        <v>0</v>
      </c>
      <c r="F105" s="83">
        <f t="shared" ref="F105" si="32">IFERROR(E105/E$28,0)</f>
        <v>0</v>
      </c>
      <c r="G105" s="82">
        <f>SUM(G52:G104)</f>
        <v>0</v>
      </c>
      <c r="H105" s="83">
        <f t="shared" ref="H105" si="33">IFERROR(G105/G$28,0)</f>
        <v>0</v>
      </c>
      <c r="I105" s="82">
        <f>SUM(I52:I104)</f>
        <v>0</v>
      </c>
      <c r="J105" s="83">
        <f t="shared" ref="J105" si="34">IFERROR(I105/I$28,0)</f>
        <v>0</v>
      </c>
      <c r="K105" s="82">
        <f>SUM(K52:K104)</f>
        <v>0</v>
      </c>
      <c r="L105" s="83">
        <f t="shared" ref="L105" si="35">IFERROR(K105/K$28,0)</f>
        <v>0</v>
      </c>
      <c r="M105" s="82">
        <f>SUM(M52:M104)</f>
        <v>0</v>
      </c>
      <c r="N105" s="83">
        <f t="shared" ref="N105" si="36">IFERROR(M105/M$28,0)</f>
        <v>0</v>
      </c>
      <c r="O105" s="82">
        <f>SUM(O52:O104)</f>
        <v>0</v>
      </c>
      <c r="P105" s="83">
        <f t="shared" ref="P105" si="37">IFERROR(O105/O$28,0)</f>
        <v>0</v>
      </c>
      <c r="Q105" s="82">
        <f>SUM(Q52:Q104)</f>
        <v>0</v>
      </c>
      <c r="R105" s="83">
        <f t="shared" ref="R105" si="38">IFERROR(Q105/Q$28,0)</f>
        <v>0</v>
      </c>
      <c r="S105" s="82">
        <f>SUM(S52:S104)</f>
        <v>0</v>
      </c>
      <c r="T105" s="83">
        <f t="shared" ref="T105" si="39">IFERROR(S105/S$28,0)</f>
        <v>0</v>
      </c>
      <c r="U105" s="82">
        <f>SUM(U52:U104)</f>
        <v>0</v>
      </c>
      <c r="V105" s="83">
        <f t="shared" si="30"/>
        <v>0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448</v>
      </c>
      <c r="B107" s="53"/>
      <c r="C107" s="82">
        <f>C28-C33-C46-C105</f>
        <v>45312.702827325818</v>
      </c>
      <c r="D107" s="83">
        <f>IFERROR(C107/C$28,0)</f>
        <v>5.0312631245095975E-2</v>
      </c>
      <c r="E107" s="82">
        <f>E28-E33-E46-E105</f>
        <v>0</v>
      </c>
      <c r="F107" s="83">
        <f>IFERROR(E107/E$28,0)</f>
        <v>0</v>
      </c>
      <c r="G107" s="82">
        <f>G28-G33-G46-G105</f>
        <v>0</v>
      </c>
      <c r="H107" s="83">
        <f>IFERROR(G107/G$28,0)</f>
        <v>0</v>
      </c>
      <c r="I107" s="82">
        <f>I28-I33-I46-I105</f>
        <v>0</v>
      </c>
      <c r="J107" s="83">
        <f>IFERROR(I107/I$28,0)</f>
        <v>0</v>
      </c>
      <c r="K107" s="82">
        <f>K28-K33-K46-K105</f>
        <v>0</v>
      </c>
      <c r="L107" s="83">
        <f>IFERROR(K107/K$28,0)</f>
        <v>0</v>
      </c>
      <c r="M107" s="82">
        <f>M28-M33-M46-M105</f>
        <v>0</v>
      </c>
      <c r="N107" s="83">
        <f>IFERROR(M107/M$28,0)</f>
        <v>0</v>
      </c>
      <c r="O107" s="82">
        <f>O28-O33-O46-O105</f>
        <v>0</v>
      </c>
      <c r="P107" s="83">
        <f>IFERROR(O107/O$28,0)</f>
        <v>0</v>
      </c>
      <c r="Q107" s="82">
        <f>Q28-Q33-Q46-Q105</f>
        <v>0</v>
      </c>
      <c r="R107" s="83">
        <f>IFERROR(Q107/Q$28,0)</f>
        <v>0</v>
      </c>
      <c r="S107" s="82">
        <f>S28-S33-S46-S105</f>
        <v>0</v>
      </c>
      <c r="T107" s="83">
        <f>IFERROR(S107/S$28,0)</f>
        <v>0</v>
      </c>
      <c r="U107" s="82">
        <f>U28-U33-U46-U105</f>
        <v>0</v>
      </c>
      <c r="V107" s="83">
        <f>IFERROR(U107/U$28,0)</f>
        <v>0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449</v>
      </c>
      <c r="B110" s="40"/>
      <c r="C110" s="86" t="str">
        <f>C50</f>
        <v>FY 2018-19</v>
      </c>
      <c r="D110" s="86" t="s">
        <v>366</v>
      </c>
      <c r="E110" s="86" t="str">
        <f>E50</f>
        <v>FY 2019-20</v>
      </c>
      <c r="F110" s="86" t="s">
        <v>366</v>
      </c>
      <c r="G110" s="86" t="str">
        <f>G50</f>
        <v>FY 2020-21</v>
      </c>
      <c r="H110" s="86" t="s">
        <v>366</v>
      </c>
      <c r="I110" s="86" t="str">
        <f>I50</f>
        <v>FY 2021-22</v>
      </c>
      <c r="J110" s="86" t="s">
        <v>366</v>
      </c>
      <c r="K110" s="86" t="str">
        <f>K50</f>
        <v>FY 2022-23</v>
      </c>
      <c r="L110" s="86" t="s">
        <v>366</v>
      </c>
      <c r="M110" s="86" t="str">
        <f>M50</f>
        <v>FY 2023-24</v>
      </c>
      <c r="N110" s="86" t="s">
        <v>366</v>
      </c>
      <c r="O110" s="86" t="str">
        <f>O50</f>
        <v>FY 2024-25</v>
      </c>
      <c r="P110" s="86" t="s">
        <v>366</v>
      </c>
      <c r="Q110" s="86" t="str">
        <f>Q50</f>
        <v>FY 2025-26</v>
      </c>
      <c r="R110" s="86" t="s">
        <v>366</v>
      </c>
      <c r="S110" s="86" t="str">
        <f>S50</f>
        <v>FY 2026-27</v>
      </c>
      <c r="T110" s="86" t="s">
        <v>366</v>
      </c>
      <c r="U110" s="86" t="str">
        <f>U50</f>
        <v>FY 2027-28</v>
      </c>
      <c r="V110" s="86" t="s">
        <v>366</v>
      </c>
    </row>
    <row r="111" spans="1:24" ht="12.75" customHeight="1">
      <c r="A111" s="2" t="s">
        <v>403</v>
      </c>
      <c r="B111" s="35"/>
      <c r="C111" s="79">
        <f>C59</f>
        <v>0</v>
      </c>
      <c r="D111" s="80">
        <f t="shared" ref="D111:D116" si="40">IFERROR(C111/C$28,0)</f>
        <v>0</v>
      </c>
      <c r="E111" s="79">
        <f>E59</f>
        <v>0</v>
      </c>
      <c r="F111" s="80">
        <f t="shared" ref="F111:F116" si="41">IFERROR(E111/E$28,0)</f>
        <v>0</v>
      </c>
      <c r="G111" s="79">
        <f>G59</f>
        <v>0</v>
      </c>
      <c r="H111" s="80">
        <f t="shared" ref="H111:H116" si="42">IFERROR(G111/G$28,0)</f>
        <v>0</v>
      </c>
      <c r="I111" s="79">
        <f>I59</f>
        <v>0</v>
      </c>
      <c r="J111" s="80">
        <f t="shared" ref="J111:J116" si="43">IFERROR(I111/I$28,0)</f>
        <v>0</v>
      </c>
      <c r="K111" s="79">
        <f>K59</f>
        <v>0</v>
      </c>
      <c r="L111" s="80">
        <f t="shared" ref="L111:L116" si="44">IFERROR(K111/K$28,0)</f>
        <v>0</v>
      </c>
      <c r="M111" s="79">
        <f>M59</f>
        <v>0</v>
      </c>
      <c r="N111" s="80">
        <f t="shared" ref="N111:N116" si="45">IFERROR(M111/M$28,0)</f>
        <v>0</v>
      </c>
      <c r="O111" s="79">
        <f>O59</f>
        <v>0</v>
      </c>
      <c r="P111" s="80">
        <f t="shared" ref="P111:P116" si="46">IFERROR(O111/O$28,0)</f>
        <v>0</v>
      </c>
      <c r="Q111" s="79">
        <f>Q59</f>
        <v>0</v>
      </c>
      <c r="R111" s="80">
        <f t="shared" ref="R111:R116" si="47">IFERROR(Q111/Q$28,0)</f>
        <v>0</v>
      </c>
      <c r="S111" s="79">
        <f>S59</f>
        <v>0</v>
      </c>
      <c r="T111" s="80">
        <f t="shared" ref="T111:T116" si="48">IFERROR(S111/S$28,0)</f>
        <v>0</v>
      </c>
      <c r="U111" s="79">
        <f>U59</f>
        <v>0</v>
      </c>
      <c r="V111" s="80">
        <f t="shared" ref="V111:V116" si="49">IFERROR(U111/U$28,0)</f>
        <v>0</v>
      </c>
    </row>
    <row r="112" spans="1:24" ht="12.75" customHeight="1">
      <c r="A112" s="2" t="s">
        <v>450</v>
      </c>
      <c r="B112" s="35"/>
      <c r="C112" s="79">
        <f>C62</f>
        <v>0</v>
      </c>
      <c r="D112" s="80">
        <f t="shared" si="40"/>
        <v>0</v>
      </c>
      <c r="E112" s="79">
        <f>E62</f>
        <v>0</v>
      </c>
      <c r="F112" s="80">
        <f t="shared" si="41"/>
        <v>0</v>
      </c>
      <c r="G112" s="79">
        <f>G62</f>
        <v>0</v>
      </c>
      <c r="H112" s="80">
        <f t="shared" si="42"/>
        <v>0</v>
      </c>
      <c r="I112" s="79">
        <f>I62</f>
        <v>0</v>
      </c>
      <c r="J112" s="80">
        <f t="shared" si="43"/>
        <v>0</v>
      </c>
      <c r="K112" s="79">
        <f>K62</f>
        <v>0</v>
      </c>
      <c r="L112" s="80">
        <f t="shared" si="44"/>
        <v>0</v>
      </c>
      <c r="M112" s="79">
        <f>M62</f>
        <v>0</v>
      </c>
      <c r="N112" s="80">
        <f t="shared" si="45"/>
        <v>0</v>
      </c>
      <c r="O112" s="79">
        <f>O62</f>
        <v>0</v>
      </c>
      <c r="P112" s="80">
        <f t="shared" si="46"/>
        <v>0</v>
      </c>
      <c r="Q112" s="79">
        <f>Q62</f>
        <v>0</v>
      </c>
      <c r="R112" s="80">
        <f t="shared" si="47"/>
        <v>0</v>
      </c>
      <c r="S112" s="79">
        <f>S62</f>
        <v>0</v>
      </c>
      <c r="T112" s="80">
        <f t="shared" si="48"/>
        <v>0</v>
      </c>
      <c r="U112" s="79">
        <f>U62</f>
        <v>0</v>
      </c>
      <c r="V112" s="80">
        <f t="shared" si="49"/>
        <v>0</v>
      </c>
    </row>
    <row r="113" spans="1:22" ht="12.75" customHeight="1">
      <c r="A113" s="117" t="s">
        <v>446</v>
      </c>
      <c r="B113" s="41"/>
      <c r="C113" s="111">
        <v>0</v>
      </c>
      <c r="D113" s="80">
        <f t="shared" si="40"/>
        <v>0</v>
      </c>
      <c r="E113" s="111">
        <v>0</v>
      </c>
      <c r="F113" s="80">
        <f t="shared" si="41"/>
        <v>0</v>
      </c>
      <c r="G113" s="111">
        <v>0</v>
      </c>
      <c r="H113" s="80">
        <f t="shared" si="42"/>
        <v>0</v>
      </c>
      <c r="I113" s="111">
        <v>0</v>
      </c>
      <c r="J113" s="80">
        <f t="shared" si="43"/>
        <v>0</v>
      </c>
      <c r="K113" s="111">
        <v>0</v>
      </c>
      <c r="L113" s="80">
        <f t="shared" si="44"/>
        <v>0</v>
      </c>
      <c r="M113" s="111">
        <v>0</v>
      </c>
      <c r="N113" s="80">
        <f t="shared" si="45"/>
        <v>0</v>
      </c>
      <c r="O113" s="111">
        <v>0</v>
      </c>
      <c r="P113" s="80">
        <f t="shared" si="46"/>
        <v>0</v>
      </c>
      <c r="Q113" s="111">
        <v>0</v>
      </c>
      <c r="R113" s="80">
        <f t="shared" si="47"/>
        <v>0</v>
      </c>
      <c r="S113" s="111">
        <v>0</v>
      </c>
      <c r="T113" s="80">
        <f t="shared" si="48"/>
        <v>0</v>
      </c>
      <c r="U113" s="111">
        <v>0</v>
      </c>
      <c r="V113" s="80">
        <f t="shared" si="49"/>
        <v>0</v>
      </c>
    </row>
    <row r="114" spans="1:22" ht="12.75" customHeight="1">
      <c r="A114" s="117" t="s">
        <v>446</v>
      </c>
      <c r="B114" s="41"/>
      <c r="C114" s="111">
        <v>0</v>
      </c>
      <c r="D114" s="80">
        <f t="shared" si="40"/>
        <v>0</v>
      </c>
      <c r="E114" s="111">
        <v>0</v>
      </c>
      <c r="F114" s="80">
        <f t="shared" si="41"/>
        <v>0</v>
      </c>
      <c r="G114" s="111">
        <v>0</v>
      </c>
      <c r="H114" s="80">
        <f t="shared" si="42"/>
        <v>0</v>
      </c>
      <c r="I114" s="111">
        <v>0</v>
      </c>
      <c r="J114" s="80">
        <f t="shared" si="43"/>
        <v>0</v>
      </c>
      <c r="K114" s="111">
        <v>0</v>
      </c>
      <c r="L114" s="80">
        <f t="shared" si="44"/>
        <v>0</v>
      </c>
      <c r="M114" s="111">
        <v>0</v>
      </c>
      <c r="N114" s="80">
        <f t="shared" si="45"/>
        <v>0</v>
      </c>
      <c r="O114" s="111">
        <v>0</v>
      </c>
      <c r="P114" s="80">
        <f t="shared" si="46"/>
        <v>0</v>
      </c>
      <c r="Q114" s="111">
        <v>0</v>
      </c>
      <c r="R114" s="80">
        <f t="shared" si="47"/>
        <v>0</v>
      </c>
      <c r="S114" s="111">
        <v>0</v>
      </c>
      <c r="T114" s="80">
        <f t="shared" si="48"/>
        <v>0</v>
      </c>
      <c r="U114" s="111">
        <v>0</v>
      </c>
      <c r="V114" s="80">
        <f t="shared" si="49"/>
        <v>0</v>
      </c>
    </row>
    <row r="115" spans="1:22" ht="12.75" customHeight="1">
      <c r="A115" s="117" t="s">
        <v>446</v>
      </c>
      <c r="B115" s="41"/>
      <c r="C115" s="112">
        <v>0</v>
      </c>
      <c r="D115" s="80">
        <f t="shared" si="40"/>
        <v>0</v>
      </c>
      <c r="E115" s="112">
        <v>0</v>
      </c>
      <c r="F115" s="80">
        <f t="shared" si="41"/>
        <v>0</v>
      </c>
      <c r="G115" s="112">
        <v>0</v>
      </c>
      <c r="H115" s="80">
        <f t="shared" si="42"/>
        <v>0</v>
      </c>
      <c r="I115" s="112">
        <v>0</v>
      </c>
      <c r="J115" s="80">
        <f t="shared" si="43"/>
        <v>0</v>
      </c>
      <c r="K115" s="112">
        <v>0</v>
      </c>
      <c r="L115" s="80">
        <f t="shared" si="44"/>
        <v>0</v>
      </c>
      <c r="M115" s="112">
        <v>0</v>
      </c>
      <c r="N115" s="80">
        <f t="shared" si="45"/>
        <v>0</v>
      </c>
      <c r="O115" s="112">
        <v>0</v>
      </c>
      <c r="P115" s="80">
        <f t="shared" si="46"/>
        <v>0</v>
      </c>
      <c r="Q115" s="112">
        <v>0</v>
      </c>
      <c r="R115" s="80">
        <f t="shared" si="47"/>
        <v>0</v>
      </c>
      <c r="S115" s="112">
        <v>0</v>
      </c>
      <c r="T115" s="80">
        <f t="shared" si="48"/>
        <v>0</v>
      </c>
      <c r="U115" s="112">
        <v>0</v>
      </c>
      <c r="V115" s="80">
        <f t="shared" si="49"/>
        <v>0</v>
      </c>
    </row>
    <row r="116" spans="1:22" ht="12.75" customHeight="1">
      <c r="A116" s="40" t="s">
        <v>451</v>
      </c>
      <c r="B116" s="42"/>
      <c r="C116" s="85">
        <f>SUM(C111:C115)</f>
        <v>0</v>
      </c>
      <c r="D116" s="83">
        <f t="shared" si="40"/>
        <v>0</v>
      </c>
      <c r="E116" s="85">
        <f>SUM(E111:E115)</f>
        <v>0</v>
      </c>
      <c r="F116" s="83">
        <f t="shared" si="41"/>
        <v>0</v>
      </c>
      <c r="G116" s="85">
        <f>SUM(G111:G115)</f>
        <v>0</v>
      </c>
      <c r="H116" s="83">
        <f t="shared" si="42"/>
        <v>0</v>
      </c>
      <c r="I116" s="85">
        <f>SUM(I111:I115)</f>
        <v>0</v>
      </c>
      <c r="J116" s="83">
        <f t="shared" si="43"/>
        <v>0</v>
      </c>
      <c r="K116" s="85">
        <f>SUM(K111:K115)</f>
        <v>0</v>
      </c>
      <c r="L116" s="83">
        <f t="shared" si="44"/>
        <v>0</v>
      </c>
      <c r="M116" s="85">
        <f>SUM(M111:M115)</f>
        <v>0</v>
      </c>
      <c r="N116" s="83">
        <f t="shared" si="45"/>
        <v>0</v>
      </c>
      <c r="O116" s="85">
        <f>SUM(O111:O115)</f>
        <v>0</v>
      </c>
      <c r="P116" s="83">
        <f t="shared" si="46"/>
        <v>0</v>
      </c>
      <c r="Q116" s="85">
        <f>SUM(Q111:Q115)</f>
        <v>0</v>
      </c>
      <c r="R116" s="83">
        <f t="shared" si="47"/>
        <v>0</v>
      </c>
      <c r="S116" s="85">
        <f>SUM(S111:S115)</f>
        <v>0</v>
      </c>
      <c r="T116" s="83">
        <f t="shared" si="48"/>
        <v>0</v>
      </c>
      <c r="U116" s="85">
        <f>SUM(U111:U115)</f>
        <v>0</v>
      </c>
      <c r="V116" s="83">
        <f t="shared" si="49"/>
        <v>0</v>
      </c>
    </row>
    <row r="118" spans="1:22" ht="12.75" customHeight="1">
      <c r="A118" s="43" t="s">
        <v>452</v>
      </c>
      <c r="B118" s="43"/>
    </row>
    <row r="119" spans="1:22" ht="12.75" customHeight="1">
      <c r="A119" s="47" t="s">
        <v>453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7" tint="0.59999389629810485"/>
  </sheetPr>
  <dimension ref="A1:X119"/>
  <sheetViews>
    <sheetView topLeftCell="A9" zoomScale="70" zoomScaleNormal="70" workbookViewId="0" xr3:uid="{2C1BA805-FFAE-53D9-94C0-3D95D45B0C9C}">
      <selection activeCell="W59" sqref="W59"/>
    </sheetView>
  </sheetViews>
  <sheetFormatPr defaultColWidth="9.140625" defaultRowHeight="12.75" customHeight="1"/>
  <cols>
    <col min="1" max="1" width="9.5703125" style="2" customWidth="1"/>
    <col min="2" max="2" width="37.42578125" style="2" customWidth="1"/>
    <col min="3" max="3" width="12.7109375" style="2" customWidth="1"/>
    <col min="4" max="4" width="8.7109375" style="2" customWidth="1"/>
    <col min="5" max="5" width="12.7109375" style="2" customWidth="1"/>
    <col min="6" max="6" width="8.7109375" style="2" customWidth="1"/>
    <col min="7" max="7" width="12.710937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355</v>
      </c>
      <c r="G2" s="33" t="s">
        <v>46</v>
      </c>
      <c r="H2" s="34"/>
      <c r="I2" s="34"/>
      <c r="V2" s="32"/>
    </row>
    <row r="3" spans="1:22" ht="12.75" customHeight="1">
      <c r="A3" s="1" t="s">
        <v>357</v>
      </c>
      <c r="D3" s="118" t="s">
        <v>358</v>
      </c>
      <c r="G3" s="115" t="str">
        <f>+G2</f>
        <v>Sushi Maki (Graham Center)</v>
      </c>
      <c r="H3" s="116"/>
      <c r="I3" s="116"/>
      <c r="V3" s="32"/>
    </row>
    <row r="4" spans="1:22" ht="12.75" customHeight="1">
      <c r="A4" s="1" t="s">
        <v>359</v>
      </c>
      <c r="B4" s="109" t="s">
        <v>221</v>
      </c>
      <c r="D4" s="118" t="s">
        <v>360</v>
      </c>
      <c r="G4" s="115" t="s">
        <v>36</v>
      </c>
      <c r="H4" s="116"/>
      <c r="I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361</v>
      </c>
      <c r="B7" s="1"/>
    </row>
    <row r="8" spans="1:22" ht="12.75" customHeight="1">
      <c r="A8" s="2" t="s">
        <v>362</v>
      </c>
      <c r="C8" s="109">
        <v>209</v>
      </c>
      <c r="E8" s="109">
        <f>+C8</f>
        <v>209</v>
      </c>
      <c r="G8" s="109">
        <f>+E8</f>
        <v>209</v>
      </c>
      <c r="I8" s="109">
        <f>+G8</f>
        <v>209</v>
      </c>
      <c r="K8" s="109">
        <f>+I8</f>
        <v>209</v>
      </c>
      <c r="M8" s="109">
        <f>+K8</f>
        <v>209</v>
      </c>
      <c r="O8" s="109">
        <f>+M8</f>
        <v>209</v>
      </c>
      <c r="Q8" s="109">
        <f>+O8</f>
        <v>209</v>
      </c>
      <c r="S8" s="109">
        <f>+Q8</f>
        <v>209</v>
      </c>
      <c r="U8" s="109">
        <f>+S8</f>
        <v>209</v>
      </c>
    </row>
    <row r="10" spans="1:22" ht="12.75" customHeight="1">
      <c r="A10" s="2" t="s">
        <v>462</v>
      </c>
      <c r="C10" s="109"/>
      <c r="E10" s="109"/>
      <c r="G10" s="109"/>
      <c r="I10" s="109"/>
      <c r="K10" s="109"/>
      <c r="M10" s="109"/>
      <c r="O10" s="109"/>
      <c r="Q10" s="109"/>
      <c r="S10" s="109"/>
      <c r="U10" s="109"/>
    </row>
    <row r="12" spans="1:22" ht="12.75" customHeight="1">
      <c r="A12" s="2" t="s">
        <v>463</v>
      </c>
      <c r="C12" s="110"/>
      <c r="E12" s="110"/>
      <c r="G12" s="110"/>
      <c r="I12" s="110"/>
      <c r="K12" s="110"/>
      <c r="M12" s="110"/>
      <c r="O12" s="110"/>
      <c r="Q12" s="110"/>
      <c r="S12" s="110"/>
      <c r="U12" s="110"/>
    </row>
    <row r="14" spans="1:22" ht="12.75" customHeight="1">
      <c r="A14" s="2" t="s">
        <v>464</v>
      </c>
      <c r="C14" s="121">
        <f>C12*C10*C8</f>
        <v>0</v>
      </c>
      <c r="E14" s="121">
        <f>E12*E10*E8</f>
        <v>0</v>
      </c>
      <c r="G14" s="121">
        <f>G12*G10*G8</f>
        <v>0</v>
      </c>
      <c r="I14" s="121">
        <f>I12*I10*I8</f>
        <v>0</v>
      </c>
      <c r="K14" s="121">
        <f>K12*K10*K8</f>
        <v>0</v>
      </c>
      <c r="M14" s="121">
        <f>M12*M10*M8</f>
        <v>0</v>
      </c>
      <c r="O14" s="121">
        <f>O12*O10*O8</f>
        <v>0</v>
      </c>
      <c r="Q14" s="121">
        <f>Q12*Q10*Q8</f>
        <v>0</v>
      </c>
      <c r="S14" s="121">
        <f>S12*S10*S8</f>
        <v>0</v>
      </c>
      <c r="U14" s="121">
        <f>U12*U10*U8</f>
        <v>0</v>
      </c>
    </row>
    <row r="15" spans="1:22" ht="12.75" customHeight="1">
      <c r="A15" s="39">
        <v>0.1</v>
      </c>
    </row>
    <row r="16" spans="1:22" ht="12.75" customHeight="1">
      <c r="B16" s="35"/>
      <c r="C16" s="86" t="str">
        <f>C6</f>
        <v>FY 2018-19</v>
      </c>
      <c r="D16" s="86" t="s">
        <v>366</v>
      </c>
      <c r="E16" s="86" t="str">
        <f>E6</f>
        <v>FY 2019-20</v>
      </c>
      <c r="F16" s="86" t="s">
        <v>366</v>
      </c>
      <c r="G16" s="86" t="str">
        <f>G6</f>
        <v>FY 2020-21</v>
      </c>
      <c r="H16" s="86" t="s">
        <v>366</v>
      </c>
      <c r="I16" s="86" t="str">
        <f>I6</f>
        <v>FY 2021-22</v>
      </c>
      <c r="J16" s="86" t="s">
        <v>366</v>
      </c>
      <c r="K16" s="86" t="str">
        <f>K6</f>
        <v>FY 2022-23</v>
      </c>
      <c r="L16" s="86" t="s">
        <v>366</v>
      </c>
      <c r="M16" s="86" t="str">
        <f>M6</f>
        <v>FY 2023-24</v>
      </c>
      <c r="N16" s="86" t="s">
        <v>366</v>
      </c>
      <c r="O16" s="86" t="str">
        <f>O6</f>
        <v>FY 2024-25</v>
      </c>
      <c r="P16" s="86" t="s">
        <v>366</v>
      </c>
      <c r="Q16" s="86" t="str">
        <f>Q6</f>
        <v>FY 2025-26</v>
      </c>
      <c r="R16" s="86" t="s">
        <v>366</v>
      </c>
      <c r="S16" s="86" t="str">
        <f>S6</f>
        <v>FY 2026-27</v>
      </c>
      <c r="T16" s="86" t="s">
        <v>366</v>
      </c>
      <c r="U16" s="86" t="str">
        <f>U6</f>
        <v>FY 2027-28</v>
      </c>
      <c r="V16" s="86" t="s">
        <v>366</v>
      </c>
    </row>
    <row r="17" spans="1:24" ht="12.75" customHeight="1">
      <c r="A17" s="1" t="s">
        <v>367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368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369</v>
      </c>
      <c r="B19" s="35"/>
      <c r="C19" s="200">
        <f>+C14-C20</f>
        <v>0</v>
      </c>
      <c r="D19" s="80">
        <f>IFERROR(C19/C$28,0)</f>
        <v>0</v>
      </c>
      <c r="E19" s="200">
        <f>+E14-E20</f>
        <v>0</v>
      </c>
      <c r="F19" s="80">
        <f>IFERROR(E19/E$28,0)</f>
        <v>0</v>
      </c>
      <c r="G19" s="111">
        <f>E19*1.02</f>
        <v>0</v>
      </c>
      <c r="H19" s="80">
        <f>IFERROR(G19/G$28,0)</f>
        <v>0</v>
      </c>
      <c r="I19" s="111">
        <f>G19*1.02</f>
        <v>0</v>
      </c>
      <c r="J19" s="80">
        <f>IFERROR(I19/I$28,0)</f>
        <v>0</v>
      </c>
      <c r="K19" s="111">
        <f>I19*1.02</f>
        <v>0</v>
      </c>
      <c r="L19" s="80">
        <f>IFERROR(K19/K$28,0)</f>
        <v>0</v>
      </c>
      <c r="M19" s="111">
        <f>K19*1.02</f>
        <v>0</v>
      </c>
      <c r="N19" s="80">
        <f>IFERROR(M19/M$28,0)</f>
        <v>0</v>
      </c>
      <c r="O19" s="111">
        <f>M19*1.02</f>
        <v>0</v>
      </c>
      <c r="P19" s="80">
        <f>IFERROR(O19/O$28,0)</f>
        <v>0</v>
      </c>
      <c r="Q19" s="111">
        <f>O19*1.02</f>
        <v>0</v>
      </c>
      <c r="R19" s="80">
        <f>IFERROR(Q19/Q$28,0)</f>
        <v>0</v>
      </c>
      <c r="S19" s="111">
        <f>Q19*1.02</f>
        <v>0</v>
      </c>
      <c r="T19" s="80">
        <f>IFERROR(S19/S$28,0)</f>
        <v>0</v>
      </c>
      <c r="U19" s="111">
        <f>S19*1.02</f>
        <v>0</v>
      </c>
      <c r="V19" s="80">
        <f>IFERROR(U19/U$28,0)</f>
        <v>0</v>
      </c>
    </row>
    <row r="20" spans="1:24" ht="12.75" customHeight="1">
      <c r="A20" s="2" t="s">
        <v>370</v>
      </c>
      <c r="B20" s="35"/>
      <c r="C20" s="111">
        <f>+C14*12.38%</f>
        <v>0</v>
      </c>
      <c r="D20" s="80">
        <f>IFERROR(C20/C$28,0)</f>
        <v>0</v>
      </c>
      <c r="E20" s="111">
        <f>+E14*53.27%</f>
        <v>0</v>
      </c>
      <c r="F20" s="80">
        <f>IFERROR(E20/E$28,0)</f>
        <v>0</v>
      </c>
      <c r="G20" s="111">
        <f t="shared" ref="G20:U21" si="0">E20*1.02</f>
        <v>0</v>
      </c>
      <c r="H20" s="80">
        <f>IFERROR(G20/G$28,0)</f>
        <v>0</v>
      </c>
      <c r="I20" s="111">
        <f t="shared" si="0"/>
        <v>0</v>
      </c>
      <c r="J20" s="80">
        <f>IFERROR(I20/I$28,0)</f>
        <v>0</v>
      </c>
      <c r="K20" s="111">
        <f t="shared" si="0"/>
        <v>0</v>
      </c>
      <c r="L20" s="80">
        <f>IFERROR(K20/K$28,0)</f>
        <v>0</v>
      </c>
      <c r="M20" s="111">
        <f t="shared" si="0"/>
        <v>0</v>
      </c>
      <c r="N20" s="80">
        <f>IFERROR(M20/M$28,0)</f>
        <v>0</v>
      </c>
      <c r="O20" s="111">
        <f t="shared" si="0"/>
        <v>0</v>
      </c>
      <c r="P20" s="80">
        <f>IFERROR(O20/O$28,0)</f>
        <v>0</v>
      </c>
      <c r="Q20" s="111">
        <f t="shared" si="0"/>
        <v>0</v>
      </c>
      <c r="R20" s="80">
        <f>IFERROR(Q20/Q$28,0)</f>
        <v>0</v>
      </c>
      <c r="S20" s="111">
        <f t="shared" si="0"/>
        <v>0</v>
      </c>
      <c r="T20" s="80">
        <f>IFERROR(S20/S$28,0)</f>
        <v>0</v>
      </c>
      <c r="U20" s="111">
        <f t="shared" si="0"/>
        <v>0</v>
      </c>
      <c r="V20" s="80">
        <f>IFERROR(U20/U$28,0)</f>
        <v>0</v>
      </c>
    </row>
    <row r="21" spans="1:24" ht="12.75" customHeight="1">
      <c r="A21" s="2" t="s">
        <v>371</v>
      </c>
      <c r="B21" s="35"/>
      <c r="C21" s="111"/>
      <c r="D21" s="80">
        <f>IFERROR(C21/C$28,0)</f>
        <v>0</v>
      </c>
      <c r="E21" s="111">
        <v>0</v>
      </c>
      <c r="F21" s="80">
        <f>IFERROR(E21/E$28,0)</f>
        <v>0</v>
      </c>
      <c r="G21" s="111">
        <f t="shared" si="0"/>
        <v>0</v>
      </c>
      <c r="H21" s="80">
        <f>IFERROR(G21/G$28,0)</f>
        <v>0</v>
      </c>
      <c r="I21" s="111">
        <f t="shared" si="0"/>
        <v>0</v>
      </c>
      <c r="J21" s="80">
        <f>IFERROR(I21/I$28,0)</f>
        <v>0</v>
      </c>
      <c r="K21" s="111">
        <f t="shared" si="0"/>
        <v>0</v>
      </c>
      <c r="L21" s="80">
        <f>IFERROR(K21/K$28,0)</f>
        <v>0</v>
      </c>
      <c r="M21" s="111">
        <f t="shared" si="0"/>
        <v>0</v>
      </c>
      <c r="N21" s="80">
        <f>IFERROR(M21/M$28,0)</f>
        <v>0</v>
      </c>
      <c r="O21" s="111">
        <f t="shared" si="0"/>
        <v>0</v>
      </c>
      <c r="P21" s="80">
        <f>IFERROR(O21/O$28,0)</f>
        <v>0</v>
      </c>
      <c r="Q21" s="111">
        <f t="shared" si="0"/>
        <v>0</v>
      </c>
      <c r="R21" s="80">
        <f>IFERROR(Q21/Q$28,0)</f>
        <v>0</v>
      </c>
      <c r="S21" s="111">
        <f t="shared" si="0"/>
        <v>0</v>
      </c>
      <c r="T21" s="80">
        <f>IFERROR(S21/S$28,0)</f>
        <v>0</v>
      </c>
      <c r="U21" s="111">
        <f t="shared" si="0"/>
        <v>0</v>
      </c>
      <c r="V21" s="80">
        <f>IFERROR(U21/U$28,0)</f>
        <v>0</v>
      </c>
    </row>
    <row r="22" spans="1:24" ht="12.75" customHeight="1">
      <c r="A22" s="2" t="s">
        <v>372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373</v>
      </c>
      <c r="B23" s="123"/>
      <c r="C23" s="79"/>
      <c r="D23" s="80">
        <f t="shared" ref="D23:D28" si="1">IFERROR(C23/C$28,0)</f>
        <v>0</v>
      </c>
      <c r="E23" s="79"/>
      <c r="F23" s="80">
        <f t="shared" ref="F23:F28" si="2">IFERROR(E23/E$28,0)</f>
        <v>0</v>
      </c>
      <c r="G23" s="79"/>
      <c r="H23" s="80">
        <f t="shared" ref="H23:H28" si="3">IFERROR(G23/G$28,0)</f>
        <v>0</v>
      </c>
      <c r="I23" s="79"/>
      <c r="J23" s="80">
        <f t="shared" ref="J23:J28" si="4">IFERROR(I23/I$28,0)</f>
        <v>0</v>
      </c>
      <c r="K23" s="79"/>
      <c r="L23" s="80">
        <f t="shared" ref="L23:L28" si="5">IFERROR(K23/K$28,0)</f>
        <v>0</v>
      </c>
      <c r="M23" s="79"/>
      <c r="N23" s="80">
        <f t="shared" ref="N23:N28" si="6">IFERROR(M23/M$28,0)</f>
        <v>0</v>
      </c>
      <c r="O23" s="79"/>
      <c r="P23" s="80">
        <f t="shared" ref="P23:P28" si="7">IFERROR(O23/O$28,0)</f>
        <v>0</v>
      </c>
      <c r="Q23" s="79"/>
      <c r="R23" s="80">
        <f t="shared" ref="R23:R28" si="8">IFERROR(Q23/Q$28,0)</f>
        <v>0</v>
      </c>
      <c r="S23" s="79"/>
      <c r="T23" s="80">
        <f t="shared" ref="T23:T28" si="9">IFERROR(S23/S$28,0)</f>
        <v>0</v>
      </c>
      <c r="U23" s="79"/>
      <c r="V23" s="80">
        <f t="shared" ref="V23:V28" si="10">IFERROR(U23/U$28,0)</f>
        <v>0</v>
      </c>
    </row>
    <row r="24" spans="1:24" ht="12.75" customHeight="1">
      <c r="A24" s="122" t="s">
        <v>374</v>
      </c>
      <c r="B24" s="123"/>
      <c r="C24" s="79"/>
      <c r="D24" s="80">
        <f t="shared" si="1"/>
        <v>0</v>
      </c>
      <c r="E24" s="79"/>
      <c r="F24" s="80">
        <f t="shared" si="2"/>
        <v>0</v>
      </c>
      <c r="G24" s="79"/>
      <c r="H24" s="80">
        <f t="shared" si="3"/>
        <v>0</v>
      </c>
      <c r="I24" s="79"/>
      <c r="J24" s="80">
        <f t="shared" si="4"/>
        <v>0</v>
      </c>
      <c r="K24" s="79"/>
      <c r="L24" s="80">
        <f t="shared" si="5"/>
        <v>0</v>
      </c>
      <c r="M24" s="79"/>
      <c r="N24" s="80">
        <f t="shared" si="6"/>
        <v>0</v>
      </c>
      <c r="O24" s="79"/>
      <c r="P24" s="80">
        <f t="shared" si="7"/>
        <v>0</v>
      </c>
      <c r="Q24" s="79"/>
      <c r="R24" s="80">
        <f t="shared" si="8"/>
        <v>0</v>
      </c>
      <c r="S24" s="79"/>
      <c r="T24" s="80">
        <f t="shared" si="9"/>
        <v>0</v>
      </c>
      <c r="U24" s="79"/>
      <c r="V24" s="80">
        <f t="shared" si="10"/>
        <v>0</v>
      </c>
      <c r="X24" s="79"/>
    </row>
    <row r="25" spans="1:24" ht="12.75" customHeight="1">
      <c r="A25" s="2" t="s">
        <v>375</v>
      </c>
      <c r="B25" s="35"/>
      <c r="C25" s="111"/>
      <c r="D25" s="80">
        <f t="shared" si="1"/>
        <v>0</v>
      </c>
      <c r="E25" s="111"/>
      <c r="F25" s="80">
        <f t="shared" si="2"/>
        <v>0</v>
      </c>
      <c r="G25" s="111"/>
      <c r="H25" s="80">
        <f t="shared" si="3"/>
        <v>0</v>
      </c>
      <c r="I25" s="111"/>
      <c r="J25" s="80">
        <f t="shared" si="4"/>
        <v>0</v>
      </c>
      <c r="K25" s="111"/>
      <c r="L25" s="80">
        <f t="shared" si="5"/>
        <v>0</v>
      </c>
      <c r="M25" s="111"/>
      <c r="N25" s="80">
        <f t="shared" si="6"/>
        <v>0</v>
      </c>
      <c r="O25" s="111"/>
      <c r="P25" s="80">
        <f t="shared" si="7"/>
        <v>0</v>
      </c>
      <c r="Q25" s="111"/>
      <c r="R25" s="80">
        <f t="shared" si="8"/>
        <v>0</v>
      </c>
      <c r="S25" s="111"/>
      <c r="T25" s="80">
        <f t="shared" si="9"/>
        <v>0</v>
      </c>
      <c r="U25" s="111"/>
      <c r="V25" s="80">
        <f t="shared" si="10"/>
        <v>0</v>
      </c>
      <c r="X25" s="79"/>
    </row>
    <row r="26" spans="1:24" ht="12.75" customHeight="1">
      <c r="A26" s="122" t="s">
        <v>376</v>
      </c>
      <c r="B26" s="35"/>
      <c r="C26" s="79"/>
      <c r="D26" s="80">
        <f t="shared" si="1"/>
        <v>0</v>
      </c>
      <c r="E26" s="79"/>
      <c r="F26" s="80">
        <f t="shared" si="2"/>
        <v>0</v>
      </c>
      <c r="G26" s="79"/>
      <c r="H26" s="80">
        <f t="shared" si="3"/>
        <v>0</v>
      </c>
      <c r="I26" s="79"/>
      <c r="J26" s="80">
        <f t="shared" si="4"/>
        <v>0</v>
      </c>
      <c r="K26" s="79"/>
      <c r="L26" s="80">
        <f t="shared" si="5"/>
        <v>0</v>
      </c>
      <c r="M26" s="79"/>
      <c r="N26" s="80">
        <f t="shared" si="6"/>
        <v>0</v>
      </c>
      <c r="O26" s="79"/>
      <c r="P26" s="80">
        <f t="shared" si="7"/>
        <v>0</v>
      </c>
      <c r="Q26" s="79"/>
      <c r="R26" s="80">
        <f t="shared" si="8"/>
        <v>0</v>
      </c>
      <c r="S26" s="79"/>
      <c r="T26" s="80">
        <f t="shared" si="9"/>
        <v>0</v>
      </c>
      <c r="U26" s="79"/>
      <c r="V26" s="80">
        <f t="shared" si="10"/>
        <v>0</v>
      </c>
    </row>
    <row r="27" spans="1:24" ht="12.75" customHeight="1">
      <c r="A27" s="2" t="s">
        <v>472</v>
      </c>
      <c r="B27" s="35"/>
      <c r="C27" s="112">
        <f>700000*0.21</f>
        <v>147000</v>
      </c>
      <c r="D27" s="80">
        <f t="shared" si="1"/>
        <v>1</v>
      </c>
      <c r="E27" s="112">
        <f>+C27*1.02</f>
        <v>149940</v>
      </c>
      <c r="F27" s="80">
        <f t="shared" si="2"/>
        <v>1</v>
      </c>
      <c r="G27" s="112">
        <f>+E27*1.02</f>
        <v>152938.79999999999</v>
      </c>
      <c r="H27" s="80">
        <f t="shared" si="3"/>
        <v>1</v>
      </c>
      <c r="I27" s="112">
        <f>+G27*1.02</f>
        <v>155997.576</v>
      </c>
      <c r="J27" s="80">
        <f t="shared" si="4"/>
        <v>1</v>
      </c>
      <c r="K27" s="112">
        <f>+I27*1.02</f>
        <v>159117.52752</v>
      </c>
      <c r="L27" s="80">
        <f t="shared" si="5"/>
        <v>1</v>
      </c>
      <c r="M27" s="112">
        <f>+K27*1.02</f>
        <v>162299.87807040001</v>
      </c>
      <c r="N27" s="80">
        <f t="shared" si="6"/>
        <v>1</v>
      </c>
      <c r="O27" s="112">
        <f>+M27*1.02</f>
        <v>165545.87563180801</v>
      </c>
      <c r="P27" s="80">
        <f t="shared" si="7"/>
        <v>1</v>
      </c>
      <c r="Q27" s="112">
        <f>+O27*1.02</f>
        <v>168856.79314444418</v>
      </c>
      <c r="R27" s="80">
        <f t="shared" si="8"/>
        <v>1</v>
      </c>
      <c r="S27" s="112">
        <f>+Q27*1.02</f>
        <v>172233.92900733306</v>
      </c>
      <c r="T27" s="80">
        <f t="shared" si="9"/>
        <v>1</v>
      </c>
      <c r="U27" s="112">
        <f>+S27*1.02</f>
        <v>175678.60758747972</v>
      </c>
      <c r="V27" s="80">
        <f t="shared" si="10"/>
        <v>1</v>
      </c>
    </row>
    <row r="28" spans="1:24" ht="12.75" customHeight="1">
      <c r="A28" s="1" t="s">
        <v>378</v>
      </c>
      <c r="B28" s="53"/>
      <c r="C28" s="82">
        <f>SUM(C19:C27)</f>
        <v>147000</v>
      </c>
      <c r="D28" s="83">
        <f t="shared" si="1"/>
        <v>1</v>
      </c>
      <c r="E28" s="82">
        <f>SUM(E19:E27)</f>
        <v>149940</v>
      </c>
      <c r="F28" s="83">
        <f t="shared" si="2"/>
        <v>1</v>
      </c>
      <c r="G28" s="82">
        <f>SUM(G19:G27)</f>
        <v>152938.79999999999</v>
      </c>
      <c r="H28" s="83">
        <f t="shared" si="3"/>
        <v>1</v>
      </c>
      <c r="I28" s="82">
        <f>SUM(I19:I27)</f>
        <v>155997.576</v>
      </c>
      <c r="J28" s="83">
        <f t="shared" si="4"/>
        <v>1</v>
      </c>
      <c r="K28" s="82">
        <f>SUM(K19:K27)</f>
        <v>159117.52752</v>
      </c>
      <c r="L28" s="83">
        <f t="shared" si="5"/>
        <v>1</v>
      </c>
      <c r="M28" s="82">
        <f>SUM(M19:M27)</f>
        <v>162299.87807040001</v>
      </c>
      <c r="N28" s="83">
        <f t="shared" si="6"/>
        <v>1</v>
      </c>
      <c r="O28" s="82">
        <f>SUM(O19:O27)</f>
        <v>165545.87563180801</v>
      </c>
      <c r="P28" s="83">
        <f t="shared" si="7"/>
        <v>1</v>
      </c>
      <c r="Q28" s="82">
        <f>SUM(Q19:Q27)</f>
        <v>168856.79314444418</v>
      </c>
      <c r="R28" s="83">
        <f t="shared" si="8"/>
        <v>1</v>
      </c>
      <c r="S28" s="82">
        <f>SUM(S19:S27)</f>
        <v>172233.92900733306</v>
      </c>
      <c r="T28" s="83">
        <f t="shared" si="9"/>
        <v>1</v>
      </c>
      <c r="U28" s="82">
        <f>SUM(U19:U27)</f>
        <v>175678.60758747972</v>
      </c>
      <c r="V28" s="83">
        <f t="shared" si="10"/>
        <v>1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379</v>
      </c>
      <c r="B30" s="53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380</v>
      </c>
      <c r="B31" s="35"/>
      <c r="C31" s="178">
        <f>$C$30*C14</f>
        <v>0</v>
      </c>
      <c r="D31" s="80">
        <f>IFERROR(C31/C$28,0)</f>
        <v>0</v>
      </c>
      <c r="E31" s="178">
        <f>$C$30*E14</f>
        <v>0</v>
      </c>
      <c r="F31" s="80">
        <f>IFERROR(E31/E$28,0)</f>
        <v>0</v>
      </c>
      <c r="G31" s="178">
        <f>$C$30*G14</f>
        <v>0</v>
      </c>
      <c r="H31" s="80">
        <f>IFERROR(G31/G$28,0)</f>
        <v>0</v>
      </c>
      <c r="I31" s="178">
        <f>$C$30*I14</f>
        <v>0</v>
      </c>
      <c r="J31" s="80">
        <f>IFERROR(I31/I$28,0)</f>
        <v>0</v>
      </c>
      <c r="K31" s="178">
        <f>$C$30*K14</f>
        <v>0</v>
      </c>
      <c r="L31" s="80">
        <f>IFERROR(K31/K$28,0)</f>
        <v>0</v>
      </c>
      <c r="M31" s="178">
        <f>$C$30*M14</f>
        <v>0</v>
      </c>
      <c r="N31" s="80">
        <f>IFERROR(M31/M$28,0)</f>
        <v>0</v>
      </c>
      <c r="O31" s="178">
        <f>$C$30*O14</f>
        <v>0</v>
      </c>
      <c r="P31" s="80">
        <f>IFERROR(O31/O$28,0)</f>
        <v>0</v>
      </c>
      <c r="Q31" s="178">
        <f>$C$30*Q14</f>
        <v>0</v>
      </c>
      <c r="R31" s="80">
        <f>IFERROR(Q31/Q$28,0)</f>
        <v>0</v>
      </c>
      <c r="S31" s="178">
        <f>$C$30*S14</f>
        <v>0</v>
      </c>
      <c r="T31" s="80">
        <f>IFERROR(S31/S$28,0)</f>
        <v>0</v>
      </c>
      <c r="U31" s="178">
        <f>$C$30*U14</f>
        <v>0</v>
      </c>
      <c r="V31" s="80">
        <f>IFERROR(U31/U$28,0)</f>
        <v>0</v>
      </c>
    </row>
    <row r="32" spans="1:24" ht="12.75" customHeight="1">
      <c r="A32" s="8" t="s">
        <v>381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382</v>
      </c>
      <c r="B33" s="53"/>
      <c r="C33" s="82">
        <f>SUM(C31:C32)</f>
        <v>0</v>
      </c>
      <c r="D33" s="83">
        <f>IFERROR(C33/C$28,0)</f>
        <v>0</v>
      </c>
      <c r="E33" s="82">
        <f>SUM(E31:E32)</f>
        <v>0</v>
      </c>
      <c r="F33" s="83">
        <f>IFERROR(E33/E$28,0)</f>
        <v>0</v>
      </c>
      <c r="G33" s="82">
        <f>SUM(G31:G32)</f>
        <v>0</v>
      </c>
      <c r="H33" s="83">
        <f>IFERROR(G33/G$28,0)</f>
        <v>0</v>
      </c>
      <c r="I33" s="82">
        <f>SUM(I31:I32)</f>
        <v>0</v>
      </c>
      <c r="J33" s="83">
        <f>IFERROR(I33/I$28,0)</f>
        <v>0</v>
      </c>
      <c r="K33" s="82">
        <f>SUM(K31:K32)</f>
        <v>0</v>
      </c>
      <c r="L33" s="83">
        <f>IFERROR(K33/K$28,0)</f>
        <v>0</v>
      </c>
      <c r="M33" s="82">
        <f>SUM(M31:M32)</f>
        <v>0</v>
      </c>
      <c r="N33" s="83">
        <f>IFERROR(M33/M$28,0)</f>
        <v>0</v>
      </c>
      <c r="O33" s="82">
        <f>SUM(O31:O32)</f>
        <v>0</v>
      </c>
      <c r="P33" s="83">
        <f>IFERROR(O33/O$28,0)</f>
        <v>0</v>
      </c>
      <c r="Q33" s="82">
        <f>SUM(Q31:Q32)</f>
        <v>0</v>
      </c>
      <c r="R33" s="83">
        <f>IFERROR(Q33/Q$28,0)</f>
        <v>0</v>
      </c>
      <c r="S33" s="82">
        <f>SUM(S31:S32)</f>
        <v>0</v>
      </c>
      <c r="T33" s="83">
        <f>IFERROR(S33/S$28,0)</f>
        <v>0</v>
      </c>
      <c r="U33" s="82">
        <f>SUM(U31:U32)</f>
        <v>0</v>
      </c>
      <c r="V33" s="83">
        <f>IFERROR(U33/U$28,0)</f>
        <v>0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383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384</v>
      </c>
      <c r="B36" s="35"/>
      <c r="C36" s="113"/>
      <c r="D36" s="80">
        <f t="shared" ref="D36:D46" si="11">IFERROR(C36/C$28,0)</f>
        <v>0</v>
      </c>
      <c r="E36" s="178"/>
      <c r="F36" s="80">
        <f t="shared" ref="F36:F46" si="12">IFERROR(E36/E$28,0)</f>
        <v>0</v>
      </c>
      <c r="G36" s="178"/>
      <c r="H36" s="80">
        <f t="shared" ref="H36:H46" si="13">IFERROR(G36/G$28,0)</f>
        <v>0</v>
      </c>
      <c r="I36" s="178"/>
      <c r="J36" s="80">
        <f t="shared" ref="J36:J46" si="14">IFERROR(I36/I$28,0)</f>
        <v>0</v>
      </c>
      <c r="K36" s="178"/>
      <c r="L36" s="80">
        <f t="shared" ref="L36:L46" si="15">IFERROR(K36/K$28,0)</f>
        <v>0</v>
      </c>
      <c r="M36" s="178"/>
      <c r="N36" s="80">
        <f t="shared" ref="N36:N46" si="16">IFERROR(M36/M$28,0)</f>
        <v>0</v>
      </c>
      <c r="O36" s="178"/>
      <c r="P36" s="80">
        <f t="shared" ref="P36:P46" si="17">IFERROR(O36/O$28,0)</f>
        <v>0</v>
      </c>
      <c r="Q36" s="178"/>
      <c r="R36" s="80">
        <f t="shared" ref="R36:R46" si="18">IFERROR(Q36/Q$28,0)</f>
        <v>0</v>
      </c>
      <c r="S36" s="178"/>
      <c r="T36" s="80">
        <f t="shared" ref="T36:T46" si="19">IFERROR(S36/S$28,0)</f>
        <v>0</v>
      </c>
      <c r="U36" s="178"/>
      <c r="V36" s="80">
        <f t="shared" ref="V36:V46" si="20">IFERROR(U36/U$28,0)</f>
        <v>0</v>
      </c>
    </row>
    <row r="37" spans="1:22" ht="12.75" customHeight="1">
      <c r="A37" s="2" t="s">
        <v>385</v>
      </c>
      <c r="B37" s="35"/>
      <c r="C37" s="113"/>
      <c r="D37" s="80">
        <f t="shared" si="11"/>
        <v>0</v>
      </c>
      <c r="E37" s="178">
        <f>+C37*1.112</f>
        <v>0</v>
      </c>
      <c r="F37" s="80">
        <f t="shared" si="12"/>
        <v>0</v>
      </c>
      <c r="G37" s="178">
        <f>+E37*1.035</f>
        <v>0</v>
      </c>
      <c r="H37" s="80">
        <f t="shared" si="13"/>
        <v>0</v>
      </c>
      <c r="I37" s="178">
        <f>+G37*1.032</f>
        <v>0</v>
      </c>
      <c r="J37" s="80">
        <f t="shared" si="14"/>
        <v>0</v>
      </c>
      <c r="K37" s="178">
        <f>+I37*1.025</f>
        <v>0</v>
      </c>
      <c r="L37" s="80">
        <f t="shared" si="15"/>
        <v>0</v>
      </c>
      <c r="M37" s="178">
        <f>+K37*1.025</f>
        <v>0</v>
      </c>
      <c r="N37" s="80">
        <f t="shared" si="16"/>
        <v>0</v>
      </c>
      <c r="O37" s="178">
        <f>+M37*1.025</f>
        <v>0</v>
      </c>
      <c r="P37" s="80">
        <f t="shared" si="17"/>
        <v>0</v>
      </c>
      <c r="Q37" s="178">
        <f>+O37*1.025</f>
        <v>0</v>
      </c>
      <c r="R37" s="80">
        <f t="shared" si="18"/>
        <v>0</v>
      </c>
      <c r="S37" s="178">
        <f>+Q37*1.025</f>
        <v>0</v>
      </c>
      <c r="T37" s="80">
        <f t="shared" si="19"/>
        <v>0</v>
      </c>
      <c r="U37" s="178">
        <f>+S37*1.025</f>
        <v>0</v>
      </c>
      <c r="V37" s="80">
        <f t="shared" si="20"/>
        <v>0</v>
      </c>
    </row>
    <row r="38" spans="1:22" ht="12.75" customHeight="1">
      <c r="A38" s="2" t="s">
        <v>386</v>
      </c>
      <c r="B38" s="35"/>
      <c r="C38" s="113"/>
      <c r="D38" s="80">
        <f t="shared" si="11"/>
        <v>0</v>
      </c>
      <c r="E38" s="178">
        <f t="shared" ref="E38:E39" si="21">+C38*1.112</f>
        <v>0</v>
      </c>
      <c r="F38" s="80">
        <f t="shared" si="12"/>
        <v>0</v>
      </c>
      <c r="G38" s="178">
        <f>+E38*1.035</f>
        <v>0</v>
      </c>
      <c r="H38" s="80">
        <f t="shared" si="13"/>
        <v>0</v>
      </c>
      <c r="I38" s="178">
        <f>+G38*1.032</f>
        <v>0</v>
      </c>
      <c r="J38" s="80">
        <f t="shared" si="14"/>
        <v>0</v>
      </c>
      <c r="K38" s="178">
        <f>+I38*1.025</f>
        <v>0</v>
      </c>
      <c r="L38" s="80">
        <f t="shared" si="15"/>
        <v>0</v>
      </c>
      <c r="M38" s="178">
        <f>+K38*1.025</f>
        <v>0</v>
      </c>
      <c r="N38" s="80">
        <f t="shared" si="16"/>
        <v>0</v>
      </c>
      <c r="O38" s="178">
        <f>+M38*1.025</f>
        <v>0</v>
      </c>
      <c r="P38" s="80">
        <f t="shared" si="17"/>
        <v>0</v>
      </c>
      <c r="Q38" s="178">
        <f>+O38*1.025</f>
        <v>0</v>
      </c>
      <c r="R38" s="80">
        <f t="shared" si="18"/>
        <v>0</v>
      </c>
      <c r="S38" s="178">
        <f>+Q38*1.025</f>
        <v>0</v>
      </c>
      <c r="T38" s="80">
        <f t="shared" si="19"/>
        <v>0</v>
      </c>
      <c r="U38" s="178">
        <f>+S38*1.025</f>
        <v>0</v>
      </c>
      <c r="V38" s="80">
        <f t="shared" si="20"/>
        <v>0</v>
      </c>
    </row>
    <row r="39" spans="1:22" ht="12.75" customHeight="1">
      <c r="A39" s="2" t="s">
        <v>387</v>
      </c>
      <c r="B39" s="35"/>
      <c r="C39" s="113"/>
      <c r="D39" s="80">
        <f t="shared" si="11"/>
        <v>0</v>
      </c>
      <c r="E39" s="178">
        <f t="shared" si="21"/>
        <v>0</v>
      </c>
      <c r="F39" s="80">
        <f t="shared" si="12"/>
        <v>0</v>
      </c>
      <c r="G39" s="178">
        <f>+E39*1.035</f>
        <v>0</v>
      </c>
      <c r="H39" s="80">
        <f t="shared" si="13"/>
        <v>0</v>
      </c>
      <c r="I39" s="178">
        <f>+G39*1.032</f>
        <v>0</v>
      </c>
      <c r="J39" s="80">
        <f t="shared" si="14"/>
        <v>0</v>
      </c>
      <c r="K39" s="178">
        <f>+I39*1.025</f>
        <v>0</v>
      </c>
      <c r="L39" s="80">
        <f t="shared" si="15"/>
        <v>0</v>
      </c>
      <c r="M39" s="178">
        <f>+K39*1.025</f>
        <v>0</v>
      </c>
      <c r="N39" s="80">
        <f t="shared" si="16"/>
        <v>0</v>
      </c>
      <c r="O39" s="178">
        <f>+M39*1.025</f>
        <v>0</v>
      </c>
      <c r="P39" s="80">
        <f t="shared" si="17"/>
        <v>0</v>
      </c>
      <c r="Q39" s="178">
        <f>+O39*1.025</f>
        <v>0</v>
      </c>
      <c r="R39" s="80">
        <f t="shared" si="18"/>
        <v>0</v>
      </c>
      <c r="S39" s="178">
        <f>+Q39*1.025</f>
        <v>0</v>
      </c>
      <c r="T39" s="80">
        <f t="shared" si="19"/>
        <v>0</v>
      </c>
      <c r="U39" s="178">
        <f>+S39*1.025</f>
        <v>0</v>
      </c>
      <c r="V39" s="80">
        <f t="shared" si="20"/>
        <v>0</v>
      </c>
    </row>
    <row r="40" spans="1:22" ht="12.75" customHeight="1">
      <c r="A40" s="2" t="s">
        <v>388</v>
      </c>
      <c r="B40" s="35"/>
      <c r="C40" s="113">
        <f>C36*0.124</f>
        <v>0</v>
      </c>
      <c r="D40" s="80">
        <f t="shared" si="11"/>
        <v>0</v>
      </c>
      <c r="E40" s="113">
        <f>E36*0.124</f>
        <v>0</v>
      </c>
      <c r="F40" s="80">
        <f t="shared" si="12"/>
        <v>0</v>
      </c>
      <c r="G40" s="113">
        <f>G36*0.124</f>
        <v>0</v>
      </c>
      <c r="H40" s="80">
        <f t="shared" si="13"/>
        <v>0</v>
      </c>
      <c r="I40" s="113">
        <f>I36*0.124</f>
        <v>0</v>
      </c>
      <c r="J40" s="80">
        <f t="shared" si="14"/>
        <v>0</v>
      </c>
      <c r="K40" s="113">
        <f>K36*0.124</f>
        <v>0</v>
      </c>
      <c r="L40" s="80">
        <f t="shared" si="15"/>
        <v>0</v>
      </c>
      <c r="M40" s="113">
        <f>M36*0.124</f>
        <v>0</v>
      </c>
      <c r="N40" s="80">
        <f t="shared" si="16"/>
        <v>0</v>
      </c>
      <c r="O40" s="113">
        <f>O36*0.124</f>
        <v>0</v>
      </c>
      <c r="P40" s="80">
        <f t="shared" si="17"/>
        <v>0</v>
      </c>
      <c r="Q40" s="113">
        <f>Q36*0.124</f>
        <v>0</v>
      </c>
      <c r="R40" s="80">
        <f t="shared" si="18"/>
        <v>0</v>
      </c>
      <c r="S40" s="113">
        <f>S36*0.124</f>
        <v>0</v>
      </c>
      <c r="T40" s="80">
        <f t="shared" si="19"/>
        <v>0</v>
      </c>
      <c r="U40" s="113">
        <f>U36*0.124</f>
        <v>0</v>
      </c>
      <c r="V40" s="80">
        <f t="shared" si="20"/>
        <v>0</v>
      </c>
    </row>
    <row r="41" spans="1:22" ht="12.75" customHeight="1">
      <c r="A41" s="2" t="s">
        <v>389</v>
      </c>
      <c r="B41" s="35"/>
      <c r="C41" s="113">
        <f>C37*0.124</f>
        <v>0</v>
      </c>
      <c r="D41" s="80">
        <f t="shared" si="11"/>
        <v>0</v>
      </c>
      <c r="E41" s="113">
        <f>E37*0.124</f>
        <v>0</v>
      </c>
      <c r="F41" s="80">
        <f t="shared" si="12"/>
        <v>0</v>
      </c>
      <c r="G41" s="113">
        <f>G37*0.124</f>
        <v>0</v>
      </c>
      <c r="H41" s="80">
        <f t="shared" si="13"/>
        <v>0</v>
      </c>
      <c r="I41" s="113">
        <f>I37*0.124</f>
        <v>0</v>
      </c>
      <c r="J41" s="80">
        <f t="shared" si="14"/>
        <v>0</v>
      </c>
      <c r="K41" s="113">
        <f>K37*0.124</f>
        <v>0</v>
      </c>
      <c r="L41" s="80">
        <f t="shared" si="15"/>
        <v>0</v>
      </c>
      <c r="M41" s="113">
        <f>M37*0.124</f>
        <v>0</v>
      </c>
      <c r="N41" s="80">
        <f t="shared" si="16"/>
        <v>0</v>
      </c>
      <c r="O41" s="113">
        <f>O37*0.124</f>
        <v>0</v>
      </c>
      <c r="P41" s="80">
        <f t="shared" si="17"/>
        <v>0</v>
      </c>
      <c r="Q41" s="113">
        <f>Q37*0.124</f>
        <v>0</v>
      </c>
      <c r="R41" s="80">
        <f t="shared" si="18"/>
        <v>0</v>
      </c>
      <c r="S41" s="113">
        <f>S37*0.124</f>
        <v>0</v>
      </c>
      <c r="T41" s="80">
        <f t="shared" si="19"/>
        <v>0</v>
      </c>
      <c r="U41" s="113">
        <f>U37*0.124</f>
        <v>0</v>
      </c>
      <c r="V41" s="80">
        <f t="shared" si="20"/>
        <v>0</v>
      </c>
    </row>
    <row r="42" spans="1:22" ht="12.75" customHeight="1">
      <c r="A42" s="2" t="s">
        <v>390</v>
      </c>
      <c r="B42" s="35"/>
      <c r="C42" s="113"/>
      <c r="D42" s="80">
        <f t="shared" si="11"/>
        <v>0</v>
      </c>
      <c r="E42" s="178"/>
      <c r="F42" s="80">
        <f t="shared" si="12"/>
        <v>0</v>
      </c>
      <c r="G42" s="178"/>
      <c r="H42" s="80">
        <f t="shared" si="13"/>
        <v>0</v>
      </c>
      <c r="I42" s="178"/>
      <c r="J42" s="80">
        <f t="shared" si="14"/>
        <v>0</v>
      </c>
      <c r="K42" s="178"/>
      <c r="L42" s="80">
        <f t="shared" si="15"/>
        <v>0</v>
      </c>
      <c r="M42" s="178"/>
      <c r="N42" s="80">
        <f t="shared" si="16"/>
        <v>0</v>
      </c>
      <c r="O42" s="178"/>
      <c r="P42" s="80">
        <f t="shared" si="17"/>
        <v>0</v>
      </c>
      <c r="Q42" s="178"/>
      <c r="R42" s="80">
        <f t="shared" si="18"/>
        <v>0</v>
      </c>
      <c r="S42" s="178"/>
      <c r="T42" s="80">
        <f t="shared" si="19"/>
        <v>0</v>
      </c>
      <c r="U42" s="178"/>
      <c r="V42" s="80">
        <f t="shared" si="20"/>
        <v>0</v>
      </c>
    </row>
    <row r="43" spans="1:22" ht="12.75" customHeight="1">
      <c r="A43" s="2" t="s">
        <v>391</v>
      </c>
      <c r="B43" s="35"/>
      <c r="C43" s="113"/>
      <c r="D43" s="80">
        <f t="shared" si="11"/>
        <v>0</v>
      </c>
      <c r="E43" s="178"/>
      <c r="F43" s="80">
        <f t="shared" si="12"/>
        <v>0</v>
      </c>
      <c r="G43" s="178"/>
      <c r="H43" s="80">
        <f t="shared" si="13"/>
        <v>0</v>
      </c>
      <c r="I43" s="178"/>
      <c r="J43" s="80">
        <f t="shared" si="14"/>
        <v>0</v>
      </c>
      <c r="K43" s="178"/>
      <c r="L43" s="80">
        <f t="shared" si="15"/>
        <v>0</v>
      </c>
      <c r="M43" s="178"/>
      <c r="N43" s="80">
        <f t="shared" si="16"/>
        <v>0</v>
      </c>
      <c r="O43" s="178"/>
      <c r="P43" s="80">
        <f t="shared" si="17"/>
        <v>0</v>
      </c>
      <c r="Q43" s="178"/>
      <c r="R43" s="80">
        <f t="shared" si="18"/>
        <v>0</v>
      </c>
      <c r="S43" s="178"/>
      <c r="T43" s="80">
        <f t="shared" si="19"/>
        <v>0</v>
      </c>
      <c r="U43" s="178"/>
      <c r="V43" s="80">
        <f t="shared" si="20"/>
        <v>0</v>
      </c>
    </row>
    <row r="44" spans="1:22" ht="12.75" customHeight="1">
      <c r="A44" s="2" t="s">
        <v>392</v>
      </c>
      <c r="B44" s="35"/>
      <c r="C44" s="113"/>
      <c r="D44" s="80">
        <f t="shared" si="11"/>
        <v>0</v>
      </c>
      <c r="E44" s="178"/>
      <c r="F44" s="80">
        <f t="shared" si="12"/>
        <v>0</v>
      </c>
      <c r="G44" s="178"/>
      <c r="H44" s="80">
        <f t="shared" si="13"/>
        <v>0</v>
      </c>
      <c r="I44" s="178"/>
      <c r="J44" s="80">
        <f t="shared" si="14"/>
        <v>0</v>
      </c>
      <c r="K44" s="178"/>
      <c r="L44" s="80">
        <f t="shared" si="15"/>
        <v>0</v>
      </c>
      <c r="M44" s="178"/>
      <c r="N44" s="80">
        <f t="shared" si="16"/>
        <v>0</v>
      </c>
      <c r="O44" s="178"/>
      <c r="P44" s="80">
        <f t="shared" si="17"/>
        <v>0</v>
      </c>
      <c r="Q44" s="178"/>
      <c r="R44" s="80">
        <f t="shared" si="18"/>
        <v>0</v>
      </c>
      <c r="S44" s="178"/>
      <c r="T44" s="80">
        <f t="shared" si="19"/>
        <v>0</v>
      </c>
      <c r="U44" s="178"/>
      <c r="V44" s="80">
        <f t="shared" si="20"/>
        <v>0</v>
      </c>
    </row>
    <row r="45" spans="1:22" ht="12.75" customHeight="1">
      <c r="A45" s="2" t="s">
        <v>393</v>
      </c>
      <c r="B45" s="35"/>
      <c r="C45" s="114">
        <f>SUM(C36:C39)*0.094</f>
        <v>0</v>
      </c>
      <c r="D45" s="80">
        <f t="shared" si="11"/>
        <v>0</v>
      </c>
      <c r="E45" s="114">
        <f>SUM(E36:E39)*0.094</f>
        <v>0</v>
      </c>
      <c r="F45" s="80">
        <f t="shared" si="12"/>
        <v>0</v>
      </c>
      <c r="G45" s="114">
        <f>SUM(G36:G39)*0.094</f>
        <v>0</v>
      </c>
      <c r="H45" s="80">
        <f t="shared" si="13"/>
        <v>0</v>
      </c>
      <c r="I45" s="114">
        <f>SUM(I36:I39)*0.094</f>
        <v>0</v>
      </c>
      <c r="J45" s="80">
        <f t="shared" si="14"/>
        <v>0</v>
      </c>
      <c r="K45" s="114">
        <f>SUM(K36:K39)*0.094</f>
        <v>0</v>
      </c>
      <c r="L45" s="80">
        <f t="shared" si="15"/>
        <v>0</v>
      </c>
      <c r="M45" s="114">
        <f>SUM(M36:M39)*0.094</f>
        <v>0</v>
      </c>
      <c r="N45" s="80">
        <f t="shared" si="16"/>
        <v>0</v>
      </c>
      <c r="O45" s="114">
        <f>SUM(O36:O39)*0.094</f>
        <v>0</v>
      </c>
      <c r="P45" s="80">
        <f t="shared" si="17"/>
        <v>0</v>
      </c>
      <c r="Q45" s="114">
        <f>SUM(Q36:Q39)*0.094</f>
        <v>0</v>
      </c>
      <c r="R45" s="80">
        <f t="shared" si="18"/>
        <v>0</v>
      </c>
      <c r="S45" s="114">
        <f>SUM(S36:S39)*0.094</f>
        <v>0</v>
      </c>
      <c r="T45" s="80">
        <f t="shared" si="19"/>
        <v>0</v>
      </c>
      <c r="U45" s="114">
        <f>SUM(U36:U39)*0.094</f>
        <v>0</v>
      </c>
      <c r="V45" s="80">
        <f t="shared" si="20"/>
        <v>0</v>
      </c>
    </row>
    <row r="46" spans="1:22" ht="12.75" customHeight="1">
      <c r="A46" s="1" t="s">
        <v>394</v>
      </c>
      <c r="B46" s="53"/>
      <c r="C46" s="82">
        <f>SUM(C36:C45)</f>
        <v>0</v>
      </c>
      <c r="D46" s="83">
        <f t="shared" si="11"/>
        <v>0</v>
      </c>
      <c r="E46" s="82">
        <f>SUM(E36:E45)</f>
        <v>0</v>
      </c>
      <c r="F46" s="83">
        <f t="shared" si="12"/>
        <v>0</v>
      </c>
      <c r="G46" s="82">
        <f>SUM(G36:G45)</f>
        <v>0</v>
      </c>
      <c r="H46" s="83">
        <f t="shared" si="13"/>
        <v>0</v>
      </c>
      <c r="I46" s="82">
        <f>SUM(I36:I45)</f>
        <v>0</v>
      </c>
      <c r="J46" s="83">
        <f t="shared" si="14"/>
        <v>0</v>
      </c>
      <c r="K46" s="82">
        <f>SUM(K36:K45)</f>
        <v>0</v>
      </c>
      <c r="L46" s="83">
        <f t="shared" si="15"/>
        <v>0</v>
      </c>
      <c r="M46" s="82">
        <f>SUM(M36:M45)</f>
        <v>0</v>
      </c>
      <c r="N46" s="83">
        <f t="shared" si="16"/>
        <v>0</v>
      </c>
      <c r="O46" s="82">
        <f>SUM(O36:O45)</f>
        <v>0</v>
      </c>
      <c r="P46" s="83">
        <f t="shared" si="17"/>
        <v>0</v>
      </c>
      <c r="Q46" s="82">
        <f>SUM(Q36:Q45)</f>
        <v>0</v>
      </c>
      <c r="R46" s="83">
        <f t="shared" si="18"/>
        <v>0</v>
      </c>
      <c r="S46" s="82">
        <f>SUM(S36:S45)</f>
        <v>0</v>
      </c>
      <c r="T46" s="83">
        <f t="shared" si="19"/>
        <v>0</v>
      </c>
      <c r="U46" s="82">
        <f>SUM(U36:U45)</f>
        <v>0</v>
      </c>
      <c r="V46" s="83">
        <f t="shared" si="20"/>
        <v>0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366</v>
      </c>
      <c r="E50" s="86" t="str">
        <f>E6</f>
        <v>FY 2019-20</v>
      </c>
      <c r="F50" s="86" t="s">
        <v>366</v>
      </c>
      <c r="G50" s="86" t="str">
        <f>G6</f>
        <v>FY 2020-21</v>
      </c>
      <c r="H50" s="86" t="s">
        <v>366</v>
      </c>
      <c r="I50" s="86" t="str">
        <f>I6</f>
        <v>FY 2021-22</v>
      </c>
      <c r="J50" s="86" t="s">
        <v>366</v>
      </c>
      <c r="K50" s="86" t="str">
        <f>K6</f>
        <v>FY 2022-23</v>
      </c>
      <c r="L50" s="86" t="s">
        <v>366</v>
      </c>
      <c r="M50" s="86" t="str">
        <f>M6</f>
        <v>FY 2023-24</v>
      </c>
      <c r="N50" s="86" t="s">
        <v>366</v>
      </c>
      <c r="O50" s="86" t="str">
        <f>O6</f>
        <v>FY 2024-25</v>
      </c>
      <c r="P50" s="86" t="s">
        <v>366</v>
      </c>
      <c r="Q50" s="86" t="str">
        <f>Q6</f>
        <v>FY 2025-26</v>
      </c>
      <c r="R50" s="86" t="s">
        <v>366</v>
      </c>
      <c r="S50" s="86" t="str">
        <f>S6</f>
        <v>FY 2026-27</v>
      </c>
      <c r="T50" s="86" t="s">
        <v>366</v>
      </c>
      <c r="U50" s="86" t="str">
        <f>U6</f>
        <v>FY 2027-28</v>
      </c>
      <c r="V50" s="86" t="s">
        <v>366</v>
      </c>
    </row>
    <row r="51" spans="1:24" ht="12.75" customHeight="1">
      <c r="A51" s="1" t="s">
        <v>395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396</v>
      </c>
      <c r="B52" s="35"/>
      <c r="C52" s="178">
        <v>0</v>
      </c>
      <c r="D52" s="80">
        <f t="shared" ref="D52:D83" si="22">IFERROR(C52/C$28,0)</f>
        <v>0</v>
      </c>
      <c r="E52" s="178">
        <v>0</v>
      </c>
      <c r="F52" s="80">
        <f t="shared" ref="F52:F105" si="23">IFERROR(E52/E$28,0)</f>
        <v>0</v>
      </c>
      <c r="G52" s="178">
        <v>0</v>
      </c>
      <c r="H52" s="80">
        <f t="shared" ref="H52:H105" si="24">IFERROR(G52/G$28,0)</f>
        <v>0</v>
      </c>
      <c r="I52" s="178">
        <v>0</v>
      </c>
      <c r="J52" s="80">
        <f t="shared" ref="J52:J105" si="25">IFERROR(I52/I$28,0)</f>
        <v>0</v>
      </c>
      <c r="K52" s="178">
        <v>0</v>
      </c>
      <c r="L52" s="80">
        <f t="shared" ref="L52:L105" si="26">IFERROR(K52/K$28,0)</f>
        <v>0</v>
      </c>
      <c r="M52" s="178">
        <v>0</v>
      </c>
      <c r="N52" s="80">
        <f t="shared" ref="N52:N105" si="27">IFERROR(M52/M$28,0)</f>
        <v>0</v>
      </c>
      <c r="O52" s="178">
        <v>0</v>
      </c>
      <c r="P52" s="80">
        <f t="shared" ref="P52:P105" si="28">IFERROR(O52/O$28,0)</f>
        <v>0</v>
      </c>
      <c r="Q52" s="178">
        <v>0</v>
      </c>
      <c r="R52" s="80">
        <f t="shared" ref="R52:R105" si="29">IFERROR(Q52/Q$28,0)</f>
        <v>0</v>
      </c>
      <c r="S52" s="178">
        <v>0</v>
      </c>
      <c r="T52" s="80">
        <f t="shared" ref="T52:T105" si="30">IFERROR(S52/S$28,0)</f>
        <v>0</v>
      </c>
      <c r="U52" s="178">
        <v>0</v>
      </c>
      <c r="V52" s="80">
        <f t="shared" ref="V52:V105" si="31">IFERROR(U52/U$28,0)</f>
        <v>0</v>
      </c>
      <c r="X52" s="192"/>
    </row>
    <row r="53" spans="1:24" ht="12.75" customHeight="1">
      <c r="A53" s="2" t="s">
        <v>397</v>
      </c>
      <c r="B53" s="35"/>
      <c r="C53" s="178">
        <v>0</v>
      </c>
      <c r="D53" s="80">
        <f t="shared" si="22"/>
        <v>0</v>
      </c>
      <c r="E53" s="178">
        <v>0</v>
      </c>
      <c r="F53" s="80">
        <f t="shared" si="23"/>
        <v>0</v>
      </c>
      <c r="G53" s="178">
        <v>0</v>
      </c>
      <c r="H53" s="80">
        <f t="shared" si="24"/>
        <v>0</v>
      </c>
      <c r="I53" s="178">
        <v>0</v>
      </c>
      <c r="J53" s="80">
        <f t="shared" si="25"/>
        <v>0</v>
      </c>
      <c r="K53" s="178">
        <v>0</v>
      </c>
      <c r="L53" s="80">
        <f t="shared" si="26"/>
        <v>0</v>
      </c>
      <c r="M53" s="178">
        <v>0</v>
      </c>
      <c r="N53" s="80">
        <f t="shared" si="27"/>
        <v>0</v>
      </c>
      <c r="O53" s="178">
        <v>0</v>
      </c>
      <c r="P53" s="80">
        <f t="shared" si="28"/>
        <v>0</v>
      </c>
      <c r="Q53" s="178">
        <v>0</v>
      </c>
      <c r="R53" s="80">
        <f t="shared" si="29"/>
        <v>0</v>
      </c>
      <c r="S53" s="178">
        <v>0</v>
      </c>
      <c r="T53" s="80">
        <f t="shared" si="30"/>
        <v>0</v>
      </c>
      <c r="U53" s="178">
        <v>0</v>
      </c>
      <c r="V53" s="80">
        <f t="shared" si="31"/>
        <v>0</v>
      </c>
      <c r="X53" s="192"/>
    </row>
    <row r="54" spans="1:24" ht="12.75" customHeight="1">
      <c r="A54" s="2" t="s">
        <v>398</v>
      </c>
      <c r="B54" s="35"/>
      <c r="C54" s="178">
        <v>0</v>
      </c>
      <c r="D54" s="80">
        <f t="shared" si="22"/>
        <v>0</v>
      </c>
      <c r="E54" s="178">
        <v>0</v>
      </c>
      <c r="F54" s="80">
        <f t="shared" si="23"/>
        <v>0</v>
      </c>
      <c r="G54" s="178">
        <v>0</v>
      </c>
      <c r="H54" s="80">
        <f t="shared" si="24"/>
        <v>0</v>
      </c>
      <c r="I54" s="178">
        <v>0</v>
      </c>
      <c r="J54" s="80">
        <f t="shared" si="25"/>
        <v>0</v>
      </c>
      <c r="K54" s="178">
        <v>0</v>
      </c>
      <c r="L54" s="80">
        <f t="shared" si="26"/>
        <v>0</v>
      </c>
      <c r="M54" s="178">
        <v>0</v>
      </c>
      <c r="N54" s="80">
        <f t="shared" si="27"/>
        <v>0</v>
      </c>
      <c r="O54" s="178">
        <v>0</v>
      </c>
      <c r="P54" s="80">
        <f t="shared" si="28"/>
        <v>0</v>
      </c>
      <c r="Q54" s="178">
        <v>0</v>
      </c>
      <c r="R54" s="80">
        <f t="shared" si="29"/>
        <v>0</v>
      </c>
      <c r="S54" s="178">
        <v>0</v>
      </c>
      <c r="T54" s="80">
        <f t="shared" si="30"/>
        <v>0</v>
      </c>
      <c r="U54" s="178">
        <v>0</v>
      </c>
      <c r="V54" s="80">
        <f t="shared" si="31"/>
        <v>0</v>
      </c>
      <c r="X54" s="192"/>
    </row>
    <row r="55" spans="1:24" ht="12.75" customHeight="1">
      <c r="A55" s="2" t="s">
        <v>399</v>
      </c>
      <c r="B55" s="35"/>
      <c r="C55" s="178">
        <v>0</v>
      </c>
      <c r="D55" s="80">
        <f t="shared" si="22"/>
        <v>0</v>
      </c>
      <c r="E55" s="178">
        <v>0</v>
      </c>
      <c r="F55" s="80">
        <f t="shared" si="23"/>
        <v>0</v>
      </c>
      <c r="G55" s="178">
        <v>0</v>
      </c>
      <c r="H55" s="80">
        <f t="shared" si="24"/>
        <v>0</v>
      </c>
      <c r="I55" s="178">
        <v>0</v>
      </c>
      <c r="J55" s="80">
        <f t="shared" si="25"/>
        <v>0</v>
      </c>
      <c r="K55" s="178">
        <v>0</v>
      </c>
      <c r="L55" s="80">
        <f t="shared" si="26"/>
        <v>0</v>
      </c>
      <c r="M55" s="178">
        <v>0</v>
      </c>
      <c r="N55" s="80">
        <f t="shared" si="27"/>
        <v>0</v>
      </c>
      <c r="O55" s="178">
        <v>0</v>
      </c>
      <c r="P55" s="80">
        <f t="shared" si="28"/>
        <v>0</v>
      </c>
      <c r="Q55" s="178">
        <v>0</v>
      </c>
      <c r="R55" s="80">
        <f t="shared" si="29"/>
        <v>0</v>
      </c>
      <c r="S55" s="178">
        <v>0</v>
      </c>
      <c r="T55" s="80">
        <f t="shared" si="30"/>
        <v>0</v>
      </c>
      <c r="U55" s="178">
        <v>0</v>
      </c>
      <c r="V55" s="80">
        <f t="shared" si="31"/>
        <v>0</v>
      </c>
      <c r="X55" s="192"/>
    </row>
    <row r="56" spans="1:24" ht="12.75" customHeight="1">
      <c r="A56" s="2" t="s">
        <v>400</v>
      </c>
      <c r="B56" s="35"/>
      <c r="C56" s="178">
        <v>0</v>
      </c>
      <c r="D56" s="80">
        <f t="shared" si="22"/>
        <v>0</v>
      </c>
      <c r="E56" s="178">
        <v>0</v>
      </c>
      <c r="F56" s="80">
        <f t="shared" si="23"/>
        <v>0</v>
      </c>
      <c r="G56" s="178">
        <v>0</v>
      </c>
      <c r="H56" s="80">
        <f t="shared" si="24"/>
        <v>0</v>
      </c>
      <c r="I56" s="178">
        <v>0</v>
      </c>
      <c r="J56" s="80">
        <f t="shared" si="25"/>
        <v>0</v>
      </c>
      <c r="K56" s="178">
        <v>0</v>
      </c>
      <c r="L56" s="80">
        <f t="shared" si="26"/>
        <v>0</v>
      </c>
      <c r="M56" s="178">
        <v>0</v>
      </c>
      <c r="N56" s="80">
        <f t="shared" si="27"/>
        <v>0</v>
      </c>
      <c r="O56" s="178">
        <v>0</v>
      </c>
      <c r="P56" s="80">
        <f t="shared" si="28"/>
        <v>0</v>
      </c>
      <c r="Q56" s="178">
        <v>0</v>
      </c>
      <c r="R56" s="80">
        <f t="shared" si="29"/>
        <v>0</v>
      </c>
      <c r="S56" s="178">
        <v>0</v>
      </c>
      <c r="T56" s="80">
        <f t="shared" si="30"/>
        <v>0</v>
      </c>
      <c r="U56" s="178">
        <v>0</v>
      </c>
      <c r="V56" s="80">
        <f t="shared" si="31"/>
        <v>0</v>
      </c>
      <c r="X56" s="192"/>
    </row>
    <row r="57" spans="1:24" ht="12.75" customHeight="1">
      <c r="A57" s="2" t="s">
        <v>401</v>
      </c>
      <c r="B57" s="35"/>
      <c r="C57" s="178">
        <v>0</v>
      </c>
      <c r="D57" s="80">
        <f t="shared" si="22"/>
        <v>0</v>
      </c>
      <c r="E57" s="178">
        <v>0</v>
      </c>
      <c r="F57" s="80">
        <f t="shared" si="23"/>
        <v>0</v>
      </c>
      <c r="G57" s="178">
        <v>0</v>
      </c>
      <c r="H57" s="80">
        <f t="shared" si="24"/>
        <v>0</v>
      </c>
      <c r="I57" s="178">
        <v>0</v>
      </c>
      <c r="J57" s="80">
        <f t="shared" si="25"/>
        <v>0</v>
      </c>
      <c r="K57" s="178">
        <v>0</v>
      </c>
      <c r="L57" s="80">
        <f t="shared" si="26"/>
        <v>0</v>
      </c>
      <c r="M57" s="178">
        <v>0</v>
      </c>
      <c r="N57" s="80">
        <f t="shared" si="27"/>
        <v>0</v>
      </c>
      <c r="O57" s="178">
        <v>0</v>
      </c>
      <c r="P57" s="80">
        <f t="shared" si="28"/>
        <v>0</v>
      </c>
      <c r="Q57" s="178">
        <v>0</v>
      </c>
      <c r="R57" s="80">
        <f t="shared" si="29"/>
        <v>0</v>
      </c>
      <c r="S57" s="178">
        <v>0</v>
      </c>
      <c r="T57" s="80">
        <f t="shared" si="30"/>
        <v>0</v>
      </c>
      <c r="U57" s="178">
        <v>0</v>
      </c>
      <c r="V57" s="80">
        <f t="shared" si="31"/>
        <v>0</v>
      </c>
      <c r="X57" s="192"/>
    </row>
    <row r="58" spans="1:24" ht="12.75" customHeight="1">
      <c r="A58" s="2" t="s">
        <v>402</v>
      </c>
      <c r="B58" s="35"/>
      <c r="C58" s="178">
        <v>0</v>
      </c>
      <c r="D58" s="80">
        <f t="shared" si="22"/>
        <v>0</v>
      </c>
      <c r="E58" s="178">
        <v>0</v>
      </c>
      <c r="F58" s="80">
        <f t="shared" si="23"/>
        <v>0</v>
      </c>
      <c r="G58" s="178">
        <v>0</v>
      </c>
      <c r="H58" s="80">
        <f t="shared" si="24"/>
        <v>0</v>
      </c>
      <c r="I58" s="178">
        <v>0</v>
      </c>
      <c r="J58" s="80">
        <f t="shared" si="25"/>
        <v>0</v>
      </c>
      <c r="K58" s="178">
        <v>0</v>
      </c>
      <c r="L58" s="80">
        <f t="shared" si="26"/>
        <v>0</v>
      </c>
      <c r="M58" s="178">
        <v>0</v>
      </c>
      <c r="N58" s="80">
        <f t="shared" si="27"/>
        <v>0</v>
      </c>
      <c r="O58" s="178">
        <v>0</v>
      </c>
      <c r="P58" s="80">
        <f t="shared" si="28"/>
        <v>0</v>
      </c>
      <c r="Q58" s="178">
        <v>0</v>
      </c>
      <c r="R58" s="80">
        <f t="shared" si="29"/>
        <v>0</v>
      </c>
      <c r="S58" s="178">
        <v>0</v>
      </c>
      <c r="T58" s="80">
        <f t="shared" si="30"/>
        <v>0</v>
      </c>
      <c r="U58" s="178">
        <v>0</v>
      </c>
      <c r="V58" s="80">
        <f t="shared" si="31"/>
        <v>0</v>
      </c>
      <c r="X58" s="192"/>
    </row>
    <row r="59" spans="1:24" ht="12.75" customHeight="1">
      <c r="A59" s="2" t="s">
        <v>403</v>
      </c>
      <c r="B59" s="35"/>
      <c r="C59" s="178"/>
      <c r="D59" s="80">
        <f t="shared" si="22"/>
        <v>0</v>
      </c>
      <c r="E59" s="178"/>
      <c r="F59" s="80">
        <f t="shared" si="23"/>
        <v>0</v>
      </c>
      <c r="G59" s="178"/>
      <c r="H59" s="80">
        <f t="shared" si="24"/>
        <v>0</v>
      </c>
      <c r="I59" s="178"/>
      <c r="J59" s="80">
        <f t="shared" si="25"/>
        <v>0</v>
      </c>
      <c r="K59" s="178"/>
      <c r="L59" s="80">
        <f t="shared" si="26"/>
        <v>0</v>
      </c>
      <c r="M59" s="178"/>
      <c r="N59" s="80">
        <f t="shared" si="27"/>
        <v>0</v>
      </c>
      <c r="O59" s="178"/>
      <c r="P59" s="80">
        <f t="shared" si="28"/>
        <v>0</v>
      </c>
      <c r="Q59" s="178"/>
      <c r="R59" s="80">
        <f t="shared" si="29"/>
        <v>0</v>
      </c>
      <c r="S59" s="178"/>
      <c r="T59" s="80">
        <f t="shared" si="30"/>
        <v>0</v>
      </c>
      <c r="U59" s="178"/>
      <c r="V59" s="80">
        <f t="shared" si="31"/>
        <v>0</v>
      </c>
      <c r="X59" s="192"/>
    </row>
    <row r="60" spans="1:24" ht="12.75" customHeight="1">
      <c r="A60" s="2" t="s">
        <v>404</v>
      </c>
      <c r="B60" s="35"/>
      <c r="C60" s="178">
        <v>0</v>
      </c>
      <c r="D60" s="80">
        <f t="shared" si="22"/>
        <v>0</v>
      </c>
      <c r="E60" s="178">
        <v>0</v>
      </c>
      <c r="F60" s="80">
        <f t="shared" si="23"/>
        <v>0</v>
      </c>
      <c r="G60" s="178">
        <v>0</v>
      </c>
      <c r="H60" s="80">
        <f t="shared" si="24"/>
        <v>0</v>
      </c>
      <c r="I60" s="178">
        <v>0</v>
      </c>
      <c r="J60" s="80">
        <f t="shared" si="25"/>
        <v>0</v>
      </c>
      <c r="K60" s="178">
        <v>0</v>
      </c>
      <c r="L60" s="80">
        <f t="shared" si="26"/>
        <v>0</v>
      </c>
      <c r="M60" s="178">
        <v>0</v>
      </c>
      <c r="N60" s="80">
        <f t="shared" si="27"/>
        <v>0</v>
      </c>
      <c r="O60" s="178">
        <v>0</v>
      </c>
      <c r="P60" s="80">
        <f t="shared" si="28"/>
        <v>0</v>
      </c>
      <c r="Q60" s="178">
        <v>0</v>
      </c>
      <c r="R60" s="80">
        <f t="shared" si="29"/>
        <v>0</v>
      </c>
      <c r="S60" s="178">
        <v>0</v>
      </c>
      <c r="T60" s="80">
        <f t="shared" si="30"/>
        <v>0</v>
      </c>
      <c r="U60" s="178">
        <v>0</v>
      </c>
      <c r="V60" s="80">
        <f t="shared" si="31"/>
        <v>0</v>
      </c>
      <c r="X60" s="192"/>
    </row>
    <row r="61" spans="1:24" ht="12.75" customHeight="1">
      <c r="A61" s="2" t="s">
        <v>405</v>
      </c>
      <c r="B61" s="35"/>
      <c r="C61" s="178">
        <v>0</v>
      </c>
      <c r="D61" s="80">
        <f t="shared" si="22"/>
        <v>0</v>
      </c>
      <c r="E61" s="178">
        <v>0</v>
      </c>
      <c r="F61" s="80">
        <f t="shared" si="23"/>
        <v>0</v>
      </c>
      <c r="G61" s="178">
        <v>0</v>
      </c>
      <c r="H61" s="80">
        <f t="shared" si="24"/>
        <v>0</v>
      </c>
      <c r="I61" s="178">
        <v>0</v>
      </c>
      <c r="J61" s="80">
        <f t="shared" si="25"/>
        <v>0</v>
      </c>
      <c r="K61" s="178">
        <v>0</v>
      </c>
      <c r="L61" s="80">
        <f t="shared" si="26"/>
        <v>0</v>
      </c>
      <c r="M61" s="178">
        <v>0</v>
      </c>
      <c r="N61" s="80">
        <f t="shared" si="27"/>
        <v>0</v>
      </c>
      <c r="O61" s="178">
        <v>0</v>
      </c>
      <c r="P61" s="80">
        <f t="shared" si="28"/>
        <v>0</v>
      </c>
      <c r="Q61" s="178">
        <v>0</v>
      </c>
      <c r="R61" s="80">
        <f t="shared" si="29"/>
        <v>0</v>
      </c>
      <c r="S61" s="178">
        <v>0</v>
      </c>
      <c r="T61" s="80">
        <f t="shared" si="30"/>
        <v>0</v>
      </c>
      <c r="U61" s="178">
        <v>0</v>
      </c>
      <c r="V61" s="80">
        <f t="shared" si="31"/>
        <v>0</v>
      </c>
      <c r="X61" s="192"/>
    </row>
    <row r="62" spans="1:24" ht="12.75" customHeight="1">
      <c r="A62" s="2" t="s">
        <v>406</v>
      </c>
      <c r="B62" s="35"/>
      <c r="C62" s="178">
        <v>0</v>
      </c>
      <c r="D62" s="80">
        <f t="shared" si="22"/>
        <v>0</v>
      </c>
      <c r="E62" s="178">
        <v>0</v>
      </c>
      <c r="F62" s="80">
        <f t="shared" si="23"/>
        <v>0</v>
      </c>
      <c r="G62" s="178">
        <v>0</v>
      </c>
      <c r="H62" s="80">
        <f t="shared" si="24"/>
        <v>0</v>
      </c>
      <c r="I62" s="178">
        <v>0</v>
      </c>
      <c r="J62" s="80">
        <f t="shared" si="25"/>
        <v>0</v>
      </c>
      <c r="K62" s="178">
        <v>0</v>
      </c>
      <c r="L62" s="80">
        <f t="shared" si="26"/>
        <v>0</v>
      </c>
      <c r="M62" s="178">
        <v>0</v>
      </c>
      <c r="N62" s="80">
        <f t="shared" si="27"/>
        <v>0</v>
      </c>
      <c r="O62" s="178">
        <v>0</v>
      </c>
      <c r="P62" s="80">
        <f t="shared" si="28"/>
        <v>0</v>
      </c>
      <c r="Q62" s="178">
        <v>0</v>
      </c>
      <c r="R62" s="80">
        <f t="shared" si="29"/>
        <v>0</v>
      </c>
      <c r="S62" s="178">
        <v>0</v>
      </c>
      <c r="T62" s="80">
        <f t="shared" si="30"/>
        <v>0</v>
      </c>
      <c r="U62" s="178">
        <v>0</v>
      </c>
      <c r="V62" s="80">
        <f t="shared" si="31"/>
        <v>0</v>
      </c>
      <c r="X62" s="192"/>
    </row>
    <row r="63" spans="1:24" ht="12.75" customHeight="1">
      <c r="A63" s="2" t="s">
        <v>407</v>
      </c>
      <c r="B63" s="35"/>
      <c r="C63" s="178">
        <v>0</v>
      </c>
      <c r="D63" s="80">
        <f t="shared" si="22"/>
        <v>0</v>
      </c>
      <c r="E63" s="178">
        <v>0</v>
      </c>
      <c r="F63" s="80">
        <f t="shared" si="23"/>
        <v>0</v>
      </c>
      <c r="G63" s="178">
        <v>0</v>
      </c>
      <c r="H63" s="80">
        <f t="shared" si="24"/>
        <v>0</v>
      </c>
      <c r="I63" s="178">
        <v>0</v>
      </c>
      <c r="J63" s="80">
        <f t="shared" si="25"/>
        <v>0</v>
      </c>
      <c r="K63" s="178">
        <v>0</v>
      </c>
      <c r="L63" s="80">
        <f t="shared" si="26"/>
        <v>0</v>
      </c>
      <c r="M63" s="178">
        <v>0</v>
      </c>
      <c r="N63" s="80">
        <f t="shared" si="27"/>
        <v>0</v>
      </c>
      <c r="O63" s="178">
        <v>0</v>
      </c>
      <c r="P63" s="80">
        <f t="shared" si="28"/>
        <v>0</v>
      </c>
      <c r="Q63" s="178">
        <v>0</v>
      </c>
      <c r="R63" s="80">
        <f t="shared" si="29"/>
        <v>0</v>
      </c>
      <c r="S63" s="178">
        <v>0</v>
      </c>
      <c r="T63" s="80">
        <f t="shared" si="30"/>
        <v>0</v>
      </c>
      <c r="U63" s="178">
        <v>0</v>
      </c>
      <c r="V63" s="80">
        <f t="shared" si="31"/>
        <v>0</v>
      </c>
      <c r="X63" s="192"/>
    </row>
    <row r="64" spans="1:24" ht="12.75" customHeight="1">
      <c r="A64" s="2" t="s">
        <v>408</v>
      </c>
      <c r="B64" s="35"/>
      <c r="C64" s="178">
        <v>0</v>
      </c>
      <c r="D64" s="80">
        <f t="shared" si="22"/>
        <v>0</v>
      </c>
      <c r="E64" s="178">
        <v>0</v>
      </c>
      <c r="F64" s="80">
        <f t="shared" si="23"/>
        <v>0</v>
      </c>
      <c r="G64" s="178">
        <v>0</v>
      </c>
      <c r="H64" s="80">
        <f t="shared" si="24"/>
        <v>0</v>
      </c>
      <c r="I64" s="178">
        <v>0</v>
      </c>
      <c r="J64" s="80">
        <f t="shared" si="25"/>
        <v>0</v>
      </c>
      <c r="K64" s="178">
        <v>0</v>
      </c>
      <c r="L64" s="80">
        <f t="shared" si="26"/>
        <v>0</v>
      </c>
      <c r="M64" s="178">
        <v>0</v>
      </c>
      <c r="N64" s="80">
        <f t="shared" si="27"/>
        <v>0</v>
      </c>
      <c r="O64" s="178">
        <v>0</v>
      </c>
      <c r="P64" s="80">
        <f t="shared" si="28"/>
        <v>0</v>
      </c>
      <c r="Q64" s="178">
        <v>0</v>
      </c>
      <c r="R64" s="80">
        <f t="shared" si="29"/>
        <v>0</v>
      </c>
      <c r="S64" s="178">
        <v>0</v>
      </c>
      <c r="T64" s="80">
        <f t="shared" si="30"/>
        <v>0</v>
      </c>
      <c r="U64" s="178">
        <v>0</v>
      </c>
      <c r="V64" s="80">
        <f t="shared" si="31"/>
        <v>0</v>
      </c>
      <c r="X64" s="192"/>
    </row>
    <row r="65" spans="1:24" ht="12.75" customHeight="1">
      <c r="A65" s="2" t="s">
        <v>409</v>
      </c>
      <c r="B65" s="35"/>
      <c r="C65" s="178">
        <v>0</v>
      </c>
      <c r="D65" s="80">
        <f t="shared" si="22"/>
        <v>0</v>
      </c>
      <c r="E65" s="178">
        <v>0</v>
      </c>
      <c r="F65" s="80">
        <f t="shared" si="23"/>
        <v>0</v>
      </c>
      <c r="G65" s="178">
        <v>0</v>
      </c>
      <c r="H65" s="80">
        <f t="shared" si="24"/>
        <v>0</v>
      </c>
      <c r="I65" s="178">
        <v>0</v>
      </c>
      <c r="J65" s="80">
        <f t="shared" si="25"/>
        <v>0</v>
      </c>
      <c r="K65" s="178">
        <v>0</v>
      </c>
      <c r="L65" s="80">
        <f t="shared" si="26"/>
        <v>0</v>
      </c>
      <c r="M65" s="178">
        <v>0</v>
      </c>
      <c r="N65" s="80">
        <f t="shared" si="27"/>
        <v>0</v>
      </c>
      <c r="O65" s="178">
        <v>0</v>
      </c>
      <c r="P65" s="80">
        <f t="shared" si="28"/>
        <v>0</v>
      </c>
      <c r="Q65" s="178">
        <v>0</v>
      </c>
      <c r="R65" s="80">
        <f t="shared" si="29"/>
        <v>0</v>
      </c>
      <c r="S65" s="178">
        <v>0</v>
      </c>
      <c r="T65" s="80">
        <f t="shared" si="30"/>
        <v>0</v>
      </c>
      <c r="U65" s="178">
        <v>0</v>
      </c>
      <c r="V65" s="80">
        <f t="shared" si="31"/>
        <v>0</v>
      </c>
      <c r="X65" s="192"/>
    </row>
    <row r="66" spans="1:24" ht="12.75" customHeight="1">
      <c r="A66" s="2" t="s">
        <v>410</v>
      </c>
      <c r="B66" s="35"/>
      <c r="C66" s="178">
        <v>0</v>
      </c>
      <c r="D66" s="80">
        <f t="shared" si="22"/>
        <v>0</v>
      </c>
      <c r="E66" s="178">
        <v>0</v>
      </c>
      <c r="F66" s="80">
        <f t="shared" si="23"/>
        <v>0</v>
      </c>
      <c r="G66" s="178">
        <v>0</v>
      </c>
      <c r="H66" s="80">
        <f t="shared" si="24"/>
        <v>0</v>
      </c>
      <c r="I66" s="178">
        <v>0</v>
      </c>
      <c r="J66" s="80">
        <f t="shared" si="25"/>
        <v>0</v>
      </c>
      <c r="K66" s="178">
        <v>0</v>
      </c>
      <c r="L66" s="80">
        <f t="shared" si="26"/>
        <v>0</v>
      </c>
      <c r="M66" s="178">
        <v>0</v>
      </c>
      <c r="N66" s="80">
        <f t="shared" si="27"/>
        <v>0</v>
      </c>
      <c r="O66" s="178">
        <v>0</v>
      </c>
      <c r="P66" s="80">
        <f t="shared" si="28"/>
        <v>0</v>
      </c>
      <c r="Q66" s="178">
        <v>0</v>
      </c>
      <c r="R66" s="80">
        <f t="shared" si="29"/>
        <v>0</v>
      </c>
      <c r="S66" s="178">
        <v>0</v>
      </c>
      <c r="T66" s="80">
        <f t="shared" si="30"/>
        <v>0</v>
      </c>
      <c r="U66" s="178">
        <v>0</v>
      </c>
      <c r="V66" s="80">
        <f t="shared" si="31"/>
        <v>0</v>
      </c>
      <c r="X66" s="192"/>
    </row>
    <row r="67" spans="1:24" ht="12.75" customHeight="1">
      <c r="A67" s="2" t="s">
        <v>411</v>
      </c>
      <c r="B67" s="35"/>
      <c r="C67" s="178">
        <v>0</v>
      </c>
      <c r="D67" s="80">
        <f t="shared" si="22"/>
        <v>0</v>
      </c>
      <c r="E67" s="178">
        <v>0</v>
      </c>
      <c r="F67" s="80">
        <f t="shared" si="23"/>
        <v>0</v>
      </c>
      <c r="G67" s="178">
        <v>0</v>
      </c>
      <c r="H67" s="80">
        <f t="shared" si="24"/>
        <v>0</v>
      </c>
      <c r="I67" s="178">
        <v>0</v>
      </c>
      <c r="J67" s="80">
        <f t="shared" si="25"/>
        <v>0</v>
      </c>
      <c r="K67" s="178">
        <v>0</v>
      </c>
      <c r="L67" s="80">
        <f t="shared" si="26"/>
        <v>0</v>
      </c>
      <c r="M67" s="178">
        <v>0</v>
      </c>
      <c r="N67" s="80">
        <f t="shared" si="27"/>
        <v>0</v>
      </c>
      <c r="O67" s="178">
        <v>0</v>
      </c>
      <c r="P67" s="80">
        <f t="shared" si="28"/>
        <v>0</v>
      </c>
      <c r="Q67" s="178">
        <v>0</v>
      </c>
      <c r="R67" s="80">
        <f t="shared" si="29"/>
        <v>0</v>
      </c>
      <c r="S67" s="178">
        <v>0</v>
      </c>
      <c r="T67" s="80">
        <f t="shared" si="30"/>
        <v>0</v>
      </c>
      <c r="U67" s="178">
        <v>0</v>
      </c>
      <c r="V67" s="80">
        <f t="shared" si="31"/>
        <v>0</v>
      </c>
      <c r="X67" s="192"/>
    </row>
    <row r="68" spans="1:24" ht="12.75" customHeight="1">
      <c r="A68" s="2" t="s">
        <v>412</v>
      </c>
      <c r="B68" s="35"/>
      <c r="C68" s="178">
        <v>0</v>
      </c>
      <c r="D68" s="80">
        <f t="shared" si="22"/>
        <v>0</v>
      </c>
      <c r="E68" s="178">
        <v>0</v>
      </c>
      <c r="F68" s="80">
        <f t="shared" si="23"/>
        <v>0</v>
      </c>
      <c r="G68" s="178">
        <v>0</v>
      </c>
      <c r="H68" s="80">
        <f t="shared" si="24"/>
        <v>0</v>
      </c>
      <c r="I68" s="178">
        <v>0</v>
      </c>
      <c r="J68" s="80">
        <f t="shared" si="25"/>
        <v>0</v>
      </c>
      <c r="K68" s="178">
        <v>0</v>
      </c>
      <c r="L68" s="80">
        <f t="shared" si="26"/>
        <v>0</v>
      </c>
      <c r="M68" s="178">
        <v>0</v>
      </c>
      <c r="N68" s="80">
        <f t="shared" si="27"/>
        <v>0</v>
      </c>
      <c r="O68" s="178">
        <v>0</v>
      </c>
      <c r="P68" s="80">
        <f t="shared" si="28"/>
        <v>0</v>
      </c>
      <c r="Q68" s="178">
        <v>0</v>
      </c>
      <c r="R68" s="80">
        <f t="shared" si="29"/>
        <v>0</v>
      </c>
      <c r="S68" s="178">
        <v>0</v>
      </c>
      <c r="T68" s="80">
        <f t="shared" si="30"/>
        <v>0</v>
      </c>
      <c r="U68" s="178">
        <v>0</v>
      </c>
      <c r="V68" s="80">
        <f t="shared" si="31"/>
        <v>0</v>
      </c>
      <c r="X68" s="192"/>
    </row>
    <row r="69" spans="1:24" ht="12.75" customHeight="1">
      <c r="A69" s="2" t="s">
        <v>413</v>
      </c>
      <c r="B69" s="35"/>
      <c r="C69" s="178">
        <v>0</v>
      </c>
      <c r="D69" s="80">
        <f t="shared" si="22"/>
        <v>0</v>
      </c>
      <c r="E69" s="178">
        <v>0</v>
      </c>
      <c r="F69" s="80">
        <f t="shared" si="23"/>
        <v>0</v>
      </c>
      <c r="G69" s="178">
        <v>0</v>
      </c>
      <c r="H69" s="80">
        <f t="shared" si="24"/>
        <v>0</v>
      </c>
      <c r="I69" s="178">
        <v>0</v>
      </c>
      <c r="J69" s="80">
        <f t="shared" si="25"/>
        <v>0</v>
      </c>
      <c r="K69" s="178">
        <v>0</v>
      </c>
      <c r="L69" s="80">
        <f t="shared" si="26"/>
        <v>0</v>
      </c>
      <c r="M69" s="178">
        <v>0</v>
      </c>
      <c r="N69" s="80">
        <f t="shared" si="27"/>
        <v>0</v>
      </c>
      <c r="O69" s="178">
        <v>0</v>
      </c>
      <c r="P69" s="80">
        <f t="shared" si="28"/>
        <v>0</v>
      </c>
      <c r="Q69" s="178">
        <v>0</v>
      </c>
      <c r="R69" s="80">
        <f t="shared" si="29"/>
        <v>0</v>
      </c>
      <c r="S69" s="178">
        <v>0</v>
      </c>
      <c r="T69" s="80">
        <f t="shared" si="30"/>
        <v>0</v>
      </c>
      <c r="U69" s="178">
        <v>0</v>
      </c>
      <c r="V69" s="80">
        <f t="shared" si="31"/>
        <v>0</v>
      </c>
      <c r="X69" s="192"/>
    </row>
    <row r="70" spans="1:24" ht="12.75" customHeight="1">
      <c r="A70" s="2" t="s">
        <v>414</v>
      </c>
      <c r="B70" s="35"/>
      <c r="C70" s="178">
        <v>0</v>
      </c>
      <c r="D70" s="80">
        <f t="shared" si="22"/>
        <v>0</v>
      </c>
      <c r="E70" s="178">
        <v>0</v>
      </c>
      <c r="F70" s="80">
        <f t="shared" si="23"/>
        <v>0</v>
      </c>
      <c r="G70" s="178">
        <v>0</v>
      </c>
      <c r="H70" s="80">
        <f t="shared" si="24"/>
        <v>0</v>
      </c>
      <c r="I70" s="178">
        <v>0</v>
      </c>
      <c r="J70" s="80">
        <f t="shared" si="25"/>
        <v>0</v>
      </c>
      <c r="K70" s="178">
        <v>0</v>
      </c>
      <c r="L70" s="80">
        <f t="shared" si="26"/>
        <v>0</v>
      </c>
      <c r="M70" s="178">
        <v>0</v>
      </c>
      <c r="N70" s="80">
        <f t="shared" si="27"/>
        <v>0</v>
      </c>
      <c r="O70" s="178">
        <v>0</v>
      </c>
      <c r="P70" s="80">
        <f t="shared" si="28"/>
        <v>0</v>
      </c>
      <c r="Q70" s="178">
        <v>0</v>
      </c>
      <c r="R70" s="80">
        <f t="shared" si="29"/>
        <v>0</v>
      </c>
      <c r="S70" s="178">
        <v>0</v>
      </c>
      <c r="T70" s="80">
        <f t="shared" si="30"/>
        <v>0</v>
      </c>
      <c r="U70" s="178">
        <v>0</v>
      </c>
      <c r="V70" s="80">
        <f t="shared" si="31"/>
        <v>0</v>
      </c>
      <c r="X70" s="192"/>
    </row>
    <row r="71" spans="1:24" ht="12.75" customHeight="1">
      <c r="A71" s="2" t="s">
        <v>415</v>
      </c>
      <c r="B71" s="35"/>
      <c r="C71" s="178">
        <v>0</v>
      </c>
      <c r="D71" s="80">
        <f t="shared" si="22"/>
        <v>0</v>
      </c>
      <c r="E71" s="178">
        <v>0</v>
      </c>
      <c r="F71" s="80">
        <f t="shared" si="23"/>
        <v>0</v>
      </c>
      <c r="G71" s="178">
        <v>0</v>
      </c>
      <c r="H71" s="80">
        <f t="shared" si="24"/>
        <v>0</v>
      </c>
      <c r="I71" s="178">
        <v>0</v>
      </c>
      <c r="J71" s="80">
        <f t="shared" si="25"/>
        <v>0</v>
      </c>
      <c r="K71" s="178">
        <v>0</v>
      </c>
      <c r="L71" s="80">
        <f t="shared" si="26"/>
        <v>0</v>
      </c>
      <c r="M71" s="178">
        <v>0</v>
      </c>
      <c r="N71" s="80">
        <f t="shared" si="27"/>
        <v>0</v>
      </c>
      <c r="O71" s="178">
        <v>0</v>
      </c>
      <c r="P71" s="80">
        <f t="shared" si="28"/>
        <v>0</v>
      </c>
      <c r="Q71" s="178">
        <v>0</v>
      </c>
      <c r="R71" s="80">
        <f t="shared" si="29"/>
        <v>0</v>
      </c>
      <c r="S71" s="178">
        <v>0</v>
      </c>
      <c r="T71" s="80">
        <f t="shared" si="30"/>
        <v>0</v>
      </c>
      <c r="U71" s="178">
        <v>0</v>
      </c>
      <c r="V71" s="80">
        <f t="shared" si="31"/>
        <v>0</v>
      </c>
      <c r="X71" s="192"/>
    </row>
    <row r="72" spans="1:24" ht="12.75" customHeight="1">
      <c r="A72" s="2" t="s">
        <v>416</v>
      </c>
      <c r="B72" s="35"/>
      <c r="C72" s="178">
        <v>0</v>
      </c>
      <c r="D72" s="80">
        <f t="shared" si="22"/>
        <v>0</v>
      </c>
      <c r="E72" s="178">
        <v>0</v>
      </c>
      <c r="F72" s="80">
        <f t="shared" si="23"/>
        <v>0</v>
      </c>
      <c r="G72" s="178">
        <v>0</v>
      </c>
      <c r="H72" s="80">
        <f t="shared" si="24"/>
        <v>0</v>
      </c>
      <c r="I72" s="178">
        <v>0</v>
      </c>
      <c r="J72" s="80">
        <f t="shared" si="25"/>
        <v>0</v>
      </c>
      <c r="K72" s="178">
        <v>0</v>
      </c>
      <c r="L72" s="80">
        <f t="shared" si="26"/>
        <v>0</v>
      </c>
      <c r="M72" s="178">
        <v>0</v>
      </c>
      <c r="N72" s="80">
        <f t="shared" si="27"/>
        <v>0</v>
      </c>
      <c r="O72" s="178">
        <v>0</v>
      </c>
      <c r="P72" s="80">
        <f t="shared" si="28"/>
        <v>0</v>
      </c>
      <c r="Q72" s="178">
        <v>0</v>
      </c>
      <c r="R72" s="80">
        <f t="shared" si="29"/>
        <v>0</v>
      </c>
      <c r="S72" s="178">
        <v>0</v>
      </c>
      <c r="T72" s="80">
        <f t="shared" si="30"/>
        <v>0</v>
      </c>
      <c r="U72" s="178">
        <v>0</v>
      </c>
      <c r="V72" s="80">
        <f t="shared" si="31"/>
        <v>0</v>
      </c>
      <c r="X72" s="192"/>
    </row>
    <row r="73" spans="1:24" ht="12.75" customHeight="1">
      <c r="A73" s="2" t="s">
        <v>417</v>
      </c>
      <c r="B73" s="35"/>
      <c r="C73" s="178">
        <v>0</v>
      </c>
      <c r="D73" s="80">
        <f t="shared" si="22"/>
        <v>0</v>
      </c>
      <c r="E73" s="178">
        <v>0</v>
      </c>
      <c r="F73" s="80">
        <f t="shared" si="23"/>
        <v>0</v>
      </c>
      <c r="G73" s="178">
        <v>0</v>
      </c>
      <c r="H73" s="80">
        <f t="shared" si="24"/>
        <v>0</v>
      </c>
      <c r="I73" s="178">
        <v>0</v>
      </c>
      <c r="J73" s="80">
        <f t="shared" si="25"/>
        <v>0</v>
      </c>
      <c r="K73" s="178">
        <v>0</v>
      </c>
      <c r="L73" s="80">
        <f t="shared" si="26"/>
        <v>0</v>
      </c>
      <c r="M73" s="178">
        <v>0</v>
      </c>
      <c r="N73" s="80">
        <f t="shared" si="27"/>
        <v>0</v>
      </c>
      <c r="O73" s="178">
        <v>0</v>
      </c>
      <c r="P73" s="80">
        <f t="shared" si="28"/>
        <v>0</v>
      </c>
      <c r="Q73" s="178">
        <v>0</v>
      </c>
      <c r="R73" s="80">
        <f t="shared" si="29"/>
        <v>0</v>
      </c>
      <c r="S73" s="178">
        <v>0</v>
      </c>
      <c r="T73" s="80">
        <f t="shared" si="30"/>
        <v>0</v>
      </c>
      <c r="U73" s="178">
        <v>0</v>
      </c>
      <c r="V73" s="80">
        <f t="shared" si="31"/>
        <v>0</v>
      </c>
      <c r="X73" s="192"/>
    </row>
    <row r="74" spans="1:24" ht="12.75" customHeight="1">
      <c r="A74" s="2" t="s">
        <v>418</v>
      </c>
      <c r="B74" s="35"/>
      <c r="C74" s="178">
        <v>0</v>
      </c>
      <c r="D74" s="80">
        <f t="shared" si="22"/>
        <v>0</v>
      </c>
      <c r="E74" s="178">
        <v>0</v>
      </c>
      <c r="F74" s="80">
        <f t="shared" si="23"/>
        <v>0</v>
      </c>
      <c r="G74" s="178">
        <v>0</v>
      </c>
      <c r="H74" s="80">
        <f t="shared" si="24"/>
        <v>0</v>
      </c>
      <c r="I74" s="178">
        <v>0</v>
      </c>
      <c r="J74" s="80">
        <f t="shared" si="25"/>
        <v>0</v>
      </c>
      <c r="K74" s="178">
        <v>0</v>
      </c>
      <c r="L74" s="80">
        <f t="shared" si="26"/>
        <v>0</v>
      </c>
      <c r="M74" s="178">
        <v>0</v>
      </c>
      <c r="N74" s="80">
        <f t="shared" si="27"/>
        <v>0</v>
      </c>
      <c r="O74" s="178">
        <v>0</v>
      </c>
      <c r="P74" s="80">
        <f t="shared" si="28"/>
        <v>0</v>
      </c>
      <c r="Q74" s="178">
        <v>0</v>
      </c>
      <c r="R74" s="80">
        <f t="shared" si="29"/>
        <v>0</v>
      </c>
      <c r="S74" s="178">
        <v>0</v>
      </c>
      <c r="T74" s="80">
        <f t="shared" si="30"/>
        <v>0</v>
      </c>
      <c r="U74" s="178">
        <v>0</v>
      </c>
      <c r="V74" s="80">
        <f t="shared" si="31"/>
        <v>0</v>
      </c>
      <c r="X74" s="192"/>
    </row>
    <row r="75" spans="1:24" ht="12.75" customHeight="1">
      <c r="A75" s="2" t="s">
        <v>419</v>
      </c>
      <c r="B75" s="35"/>
      <c r="C75" s="178">
        <v>0</v>
      </c>
      <c r="D75" s="80">
        <f t="shared" si="22"/>
        <v>0</v>
      </c>
      <c r="E75" s="178">
        <v>0</v>
      </c>
      <c r="F75" s="80">
        <f t="shared" si="23"/>
        <v>0</v>
      </c>
      <c r="G75" s="178">
        <v>0</v>
      </c>
      <c r="H75" s="80">
        <f t="shared" si="24"/>
        <v>0</v>
      </c>
      <c r="I75" s="178">
        <v>0</v>
      </c>
      <c r="J75" s="80">
        <f t="shared" si="25"/>
        <v>0</v>
      </c>
      <c r="K75" s="178">
        <v>0</v>
      </c>
      <c r="L75" s="80">
        <f t="shared" si="26"/>
        <v>0</v>
      </c>
      <c r="M75" s="178">
        <v>0</v>
      </c>
      <c r="N75" s="80">
        <f t="shared" si="27"/>
        <v>0</v>
      </c>
      <c r="O75" s="178">
        <v>0</v>
      </c>
      <c r="P75" s="80">
        <f t="shared" si="28"/>
        <v>0</v>
      </c>
      <c r="Q75" s="178">
        <v>0</v>
      </c>
      <c r="R75" s="80">
        <f t="shared" si="29"/>
        <v>0</v>
      </c>
      <c r="S75" s="178">
        <v>0</v>
      </c>
      <c r="T75" s="80">
        <f t="shared" si="30"/>
        <v>0</v>
      </c>
      <c r="U75" s="178">
        <v>0</v>
      </c>
      <c r="V75" s="80">
        <f t="shared" si="31"/>
        <v>0</v>
      </c>
      <c r="X75" s="192"/>
    </row>
    <row r="76" spans="1:24" ht="12.75" customHeight="1">
      <c r="A76" s="2" t="s">
        <v>420</v>
      </c>
      <c r="B76" s="35"/>
      <c r="C76" s="178">
        <v>0</v>
      </c>
      <c r="D76" s="80">
        <f t="shared" si="22"/>
        <v>0</v>
      </c>
      <c r="E76" s="178">
        <v>0</v>
      </c>
      <c r="F76" s="80">
        <f t="shared" si="23"/>
        <v>0</v>
      </c>
      <c r="G76" s="178">
        <v>0</v>
      </c>
      <c r="H76" s="80">
        <f t="shared" si="24"/>
        <v>0</v>
      </c>
      <c r="I76" s="178">
        <v>0</v>
      </c>
      <c r="J76" s="80">
        <f t="shared" si="25"/>
        <v>0</v>
      </c>
      <c r="K76" s="178">
        <v>0</v>
      </c>
      <c r="L76" s="80">
        <f t="shared" si="26"/>
        <v>0</v>
      </c>
      <c r="M76" s="178">
        <v>0</v>
      </c>
      <c r="N76" s="80">
        <f t="shared" si="27"/>
        <v>0</v>
      </c>
      <c r="O76" s="178">
        <v>0</v>
      </c>
      <c r="P76" s="80">
        <f t="shared" si="28"/>
        <v>0</v>
      </c>
      <c r="Q76" s="178">
        <v>0</v>
      </c>
      <c r="R76" s="80">
        <f t="shared" si="29"/>
        <v>0</v>
      </c>
      <c r="S76" s="178">
        <v>0</v>
      </c>
      <c r="T76" s="80">
        <f t="shared" si="30"/>
        <v>0</v>
      </c>
      <c r="U76" s="178">
        <v>0</v>
      </c>
      <c r="V76" s="80">
        <f t="shared" si="31"/>
        <v>0</v>
      </c>
      <c r="X76" s="192"/>
    </row>
    <row r="77" spans="1:24" ht="12.75" customHeight="1">
      <c r="A77" s="2" t="s">
        <v>421</v>
      </c>
      <c r="B77" s="35"/>
      <c r="C77" s="178">
        <v>0</v>
      </c>
      <c r="D77" s="80">
        <f t="shared" si="22"/>
        <v>0</v>
      </c>
      <c r="E77" s="178">
        <v>0</v>
      </c>
      <c r="F77" s="80">
        <f t="shared" si="23"/>
        <v>0</v>
      </c>
      <c r="G77" s="178">
        <v>0</v>
      </c>
      <c r="H77" s="80">
        <f t="shared" si="24"/>
        <v>0</v>
      </c>
      <c r="I77" s="178">
        <v>0</v>
      </c>
      <c r="J77" s="80">
        <f t="shared" si="25"/>
        <v>0</v>
      </c>
      <c r="K77" s="178">
        <v>0</v>
      </c>
      <c r="L77" s="80">
        <f t="shared" si="26"/>
        <v>0</v>
      </c>
      <c r="M77" s="178">
        <v>0</v>
      </c>
      <c r="N77" s="80">
        <f t="shared" si="27"/>
        <v>0</v>
      </c>
      <c r="O77" s="178">
        <v>0</v>
      </c>
      <c r="P77" s="80">
        <f t="shared" si="28"/>
        <v>0</v>
      </c>
      <c r="Q77" s="178">
        <v>0</v>
      </c>
      <c r="R77" s="80">
        <f t="shared" si="29"/>
        <v>0</v>
      </c>
      <c r="S77" s="178">
        <v>0</v>
      </c>
      <c r="T77" s="80">
        <f t="shared" si="30"/>
        <v>0</v>
      </c>
      <c r="U77" s="178">
        <v>0</v>
      </c>
      <c r="V77" s="80">
        <f t="shared" si="31"/>
        <v>0</v>
      </c>
      <c r="X77" s="192"/>
    </row>
    <row r="78" spans="1:24" ht="12.75" customHeight="1">
      <c r="A78" s="2" t="s">
        <v>422</v>
      </c>
      <c r="B78" s="35"/>
      <c r="C78" s="178">
        <v>0</v>
      </c>
      <c r="D78" s="80">
        <f t="shared" si="22"/>
        <v>0</v>
      </c>
      <c r="E78" s="178">
        <v>0</v>
      </c>
      <c r="F78" s="80">
        <f t="shared" si="23"/>
        <v>0</v>
      </c>
      <c r="G78" s="178">
        <v>0</v>
      </c>
      <c r="H78" s="80">
        <f t="shared" si="24"/>
        <v>0</v>
      </c>
      <c r="I78" s="178">
        <v>0</v>
      </c>
      <c r="J78" s="80">
        <f t="shared" si="25"/>
        <v>0</v>
      </c>
      <c r="K78" s="178">
        <v>0</v>
      </c>
      <c r="L78" s="80">
        <f t="shared" si="26"/>
        <v>0</v>
      </c>
      <c r="M78" s="178">
        <v>0</v>
      </c>
      <c r="N78" s="80">
        <f t="shared" si="27"/>
        <v>0</v>
      </c>
      <c r="O78" s="178">
        <v>0</v>
      </c>
      <c r="P78" s="80">
        <f t="shared" si="28"/>
        <v>0</v>
      </c>
      <c r="Q78" s="178">
        <v>0</v>
      </c>
      <c r="R78" s="80">
        <f t="shared" si="29"/>
        <v>0</v>
      </c>
      <c r="S78" s="178">
        <v>0</v>
      </c>
      <c r="T78" s="80">
        <f t="shared" si="30"/>
        <v>0</v>
      </c>
      <c r="U78" s="178">
        <v>0</v>
      </c>
      <c r="V78" s="80">
        <f t="shared" si="31"/>
        <v>0</v>
      </c>
      <c r="X78" s="192"/>
    </row>
    <row r="79" spans="1:24" ht="12.75" customHeight="1">
      <c r="A79" s="2" t="s">
        <v>423</v>
      </c>
      <c r="B79" s="35"/>
      <c r="C79" s="178">
        <v>0</v>
      </c>
      <c r="D79" s="80">
        <f t="shared" si="22"/>
        <v>0</v>
      </c>
      <c r="E79" s="178">
        <v>0</v>
      </c>
      <c r="F79" s="80">
        <f t="shared" si="23"/>
        <v>0</v>
      </c>
      <c r="G79" s="178">
        <v>0</v>
      </c>
      <c r="H79" s="80">
        <f t="shared" si="24"/>
        <v>0</v>
      </c>
      <c r="I79" s="178">
        <v>0</v>
      </c>
      <c r="J79" s="80">
        <f t="shared" si="25"/>
        <v>0</v>
      </c>
      <c r="K79" s="178">
        <v>0</v>
      </c>
      <c r="L79" s="80">
        <f t="shared" si="26"/>
        <v>0</v>
      </c>
      <c r="M79" s="178">
        <v>0</v>
      </c>
      <c r="N79" s="80">
        <f t="shared" si="27"/>
        <v>0</v>
      </c>
      <c r="O79" s="178">
        <v>0</v>
      </c>
      <c r="P79" s="80">
        <f t="shared" si="28"/>
        <v>0</v>
      </c>
      <c r="Q79" s="178">
        <v>0</v>
      </c>
      <c r="R79" s="80">
        <f t="shared" si="29"/>
        <v>0</v>
      </c>
      <c r="S79" s="178">
        <v>0</v>
      </c>
      <c r="T79" s="80">
        <f t="shared" si="30"/>
        <v>0</v>
      </c>
      <c r="U79" s="178">
        <v>0</v>
      </c>
      <c r="V79" s="80">
        <f t="shared" si="31"/>
        <v>0</v>
      </c>
      <c r="X79" s="192"/>
    </row>
    <row r="80" spans="1:24" ht="12.75" customHeight="1">
      <c r="A80" s="2" t="s">
        <v>424</v>
      </c>
      <c r="B80" s="35"/>
      <c r="C80" s="178">
        <v>0</v>
      </c>
      <c r="D80" s="80">
        <f t="shared" si="22"/>
        <v>0</v>
      </c>
      <c r="E80" s="178">
        <v>0</v>
      </c>
      <c r="F80" s="80">
        <f t="shared" si="23"/>
        <v>0</v>
      </c>
      <c r="G80" s="178">
        <v>0</v>
      </c>
      <c r="H80" s="80">
        <f t="shared" si="24"/>
        <v>0</v>
      </c>
      <c r="I80" s="178">
        <v>0</v>
      </c>
      <c r="J80" s="80">
        <f t="shared" si="25"/>
        <v>0</v>
      </c>
      <c r="K80" s="178">
        <v>0</v>
      </c>
      <c r="L80" s="80">
        <f t="shared" si="26"/>
        <v>0</v>
      </c>
      <c r="M80" s="178">
        <v>0</v>
      </c>
      <c r="N80" s="80">
        <f t="shared" si="27"/>
        <v>0</v>
      </c>
      <c r="O80" s="178">
        <v>0</v>
      </c>
      <c r="P80" s="80">
        <f t="shared" si="28"/>
        <v>0</v>
      </c>
      <c r="Q80" s="178">
        <v>0</v>
      </c>
      <c r="R80" s="80">
        <f t="shared" si="29"/>
        <v>0</v>
      </c>
      <c r="S80" s="178">
        <v>0</v>
      </c>
      <c r="T80" s="80">
        <f t="shared" si="30"/>
        <v>0</v>
      </c>
      <c r="U80" s="178">
        <v>0</v>
      </c>
      <c r="V80" s="80">
        <f t="shared" si="31"/>
        <v>0</v>
      </c>
      <c r="X80" s="192"/>
    </row>
    <row r="81" spans="1:24" ht="12.75" customHeight="1">
      <c r="A81" s="2" t="s">
        <v>425</v>
      </c>
      <c r="B81" s="35"/>
      <c r="C81" s="178">
        <v>0</v>
      </c>
      <c r="D81" s="80">
        <f t="shared" si="22"/>
        <v>0</v>
      </c>
      <c r="E81" s="178">
        <v>0</v>
      </c>
      <c r="F81" s="80">
        <f t="shared" si="23"/>
        <v>0</v>
      </c>
      <c r="G81" s="178">
        <v>0</v>
      </c>
      <c r="H81" s="80">
        <f t="shared" si="24"/>
        <v>0</v>
      </c>
      <c r="I81" s="178">
        <v>0</v>
      </c>
      <c r="J81" s="80">
        <f t="shared" si="25"/>
        <v>0</v>
      </c>
      <c r="K81" s="178">
        <v>0</v>
      </c>
      <c r="L81" s="80">
        <f t="shared" si="26"/>
        <v>0</v>
      </c>
      <c r="M81" s="178">
        <v>0</v>
      </c>
      <c r="N81" s="80">
        <f t="shared" si="27"/>
        <v>0</v>
      </c>
      <c r="O81" s="178">
        <v>0</v>
      </c>
      <c r="P81" s="80">
        <f t="shared" si="28"/>
        <v>0</v>
      </c>
      <c r="Q81" s="178">
        <v>0</v>
      </c>
      <c r="R81" s="80">
        <f t="shared" si="29"/>
        <v>0</v>
      </c>
      <c r="S81" s="178">
        <v>0</v>
      </c>
      <c r="T81" s="80">
        <f t="shared" si="30"/>
        <v>0</v>
      </c>
      <c r="U81" s="178">
        <v>0</v>
      </c>
      <c r="V81" s="80">
        <f t="shared" si="31"/>
        <v>0</v>
      </c>
      <c r="X81" s="192"/>
    </row>
    <row r="82" spans="1:24" ht="12.75" customHeight="1">
      <c r="A82" s="2" t="s">
        <v>426</v>
      </c>
      <c r="B82" s="35"/>
      <c r="C82" s="178">
        <v>0</v>
      </c>
      <c r="D82" s="80">
        <f t="shared" si="22"/>
        <v>0</v>
      </c>
      <c r="E82" s="178">
        <v>0</v>
      </c>
      <c r="F82" s="80">
        <f t="shared" si="23"/>
        <v>0</v>
      </c>
      <c r="G82" s="178">
        <v>0</v>
      </c>
      <c r="H82" s="80">
        <f t="shared" si="24"/>
        <v>0</v>
      </c>
      <c r="I82" s="178">
        <v>0</v>
      </c>
      <c r="J82" s="80">
        <f t="shared" si="25"/>
        <v>0</v>
      </c>
      <c r="K82" s="178">
        <v>0</v>
      </c>
      <c r="L82" s="80">
        <f t="shared" si="26"/>
        <v>0</v>
      </c>
      <c r="M82" s="178">
        <v>0</v>
      </c>
      <c r="N82" s="80">
        <f t="shared" si="27"/>
        <v>0</v>
      </c>
      <c r="O82" s="178">
        <v>0</v>
      </c>
      <c r="P82" s="80">
        <f t="shared" si="28"/>
        <v>0</v>
      </c>
      <c r="Q82" s="178">
        <v>0</v>
      </c>
      <c r="R82" s="80">
        <f t="shared" si="29"/>
        <v>0</v>
      </c>
      <c r="S82" s="178">
        <v>0</v>
      </c>
      <c r="T82" s="80">
        <f t="shared" si="30"/>
        <v>0</v>
      </c>
      <c r="U82" s="178">
        <v>0</v>
      </c>
      <c r="V82" s="80">
        <f t="shared" si="31"/>
        <v>0</v>
      </c>
      <c r="X82" s="192"/>
    </row>
    <row r="83" spans="1:24" ht="12.75" customHeight="1">
      <c r="A83" s="2" t="s">
        <v>427</v>
      </c>
      <c r="B83" s="35"/>
      <c r="C83" s="178">
        <v>0</v>
      </c>
      <c r="D83" s="80">
        <f t="shared" si="22"/>
        <v>0</v>
      </c>
      <c r="E83" s="178">
        <v>0</v>
      </c>
      <c r="F83" s="80">
        <f t="shared" si="23"/>
        <v>0</v>
      </c>
      <c r="G83" s="178">
        <v>0</v>
      </c>
      <c r="H83" s="80">
        <f t="shared" si="24"/>
        <v>0</v>
      </c>
      <c r="I83" s="178">
        <v>0</v>
      </c>
      <c r="J83" s="80">
        <f t="shared" si="25"/>
        <v>0</v>
      </c>
      <c r="K83" s="178">
        <v>0</v>
      </c>
      <c r="L83" s="80">
        <f t="shared" si="26"/>
        <v>0</v>
      </c>
      <c r="M83" s="178">
        <v>0</v>
      </c>
      <c r="N83" s="80">
        <f t="shared" si="27"/>
        <v>0</v>
      </c>
      <c r="O83" s="178">
        <v>0</v>
      </c>
      <c r="P83" s="80">
        <f t="shared" si="28"/>
        <v>0</v>
      </c>
      <c r="Q83" s="178">
        <v>0</v>
      </c>
      <c r="R83" s="80">
        <f t="shared" si="29"/>
        <v>0</v>
      </c>
      <c r="S83" s="178">
        <v>0</v>
      </c>
      <c r="T83" s="80">
        <f t="shared" si="30"/>
        <v>0</v>
      </c>
      <c r="U83" s="178">
        <v>0</v>
      </c>
      <c r="V83" s="80">
        <f t="shared" si="31"/>
        <v>0</v>
      </c>
      <c r="X83" s="192"/>
    </row>
    <row r="84" spans="1:24" ht="12.75" customHeight="1">
      <c r="A84" s="2" t="s">
        <v>428</v>
      </c>
      <c r="B84" s="35"/>
      <c r="C84" s="178">
        <v>0</v>
      </c>
      <c r="D84" s="80">
        <f t="shared" ref="D84:D105" si="32">IFERROR(C84/C$28,0)</f>
        <v>0</v>
      </c>
      <c r="E84" s="178">
        <v>0</v>
      </c>
      <c r="F84" s="80">
        <f t="shared" si="23"/>
        <v>0</v>
      </c>
      <c r="G84" s="178">
        <v>0</v>
      </c>
      <c r="H84" s="80">
        <f t="shared" si="24"/>
        <v>0</v>
      </c>
      <c r="I84" s="178">
        <v>0</v>
      </c>
      <c r="J84" s="80">
        <f t="shared" si="25"/>
        <v>0</v>
      </c>
      <c r="K84" s="178">
        <v>0</v>
      </c>
      <c r="L84" s="80">
        <f t="shared" si="26"/>
        <v>0</v>
      </c>
      <c r="M84" s="178">
        <v>0</v>
      </c>
      <c r="N84" s="80">
        <f t="shared" si="27"/>
        <v>0</v>
      </c>
      <c r="O84" s="178">
        <v>0</v>
      </c>
      <c r="P84" s="80">
        <f t="shared" si="28"/>
        <v>0</v>
      </c>
      <c r="Q84" s="178">
        <v>0</v>
      </c>
      <c r="R84" s="80">
        <f t="shared" si="29"/>
        <v>0</v>
      </c>
      <c r="S84" s="178">
        <v>0</v>
      </c>
      <c r="T84" s="80">
        <f t="shared" si="30"/>
        <v>0</v>
      </c>
      <c r="U84" s="178">
        <v>0</v>
      </c>
      <c r="V84" s="80">
        <f t="shared" si="31"/>
        <v>0</v>
      </c>
      <c r="X84" s="192"/>
    </row>
    <row r="85" spans="1:24" ht="12.75" customHeight="1">
      <c r="A85" s="2" t="s">
        <v>429</v>
      </c>
      <c r="B85" s="35"/>
      <c r="C85" s="178">
        <v>0</v>
      </c>
      <c r="D85" s="80">
        <f t="shared" si="32"/>
        <v>0</v>
      </c>
      <c r="E85" s="178">
        <v>0</v>
      </c>
      <c r="F85" s="80">
        <f t="shared" si="23"/>
        <v>0</v>
      </c>
      <c r="G85" s="178">
        <v>0</v>
      </c>
      <c r="H85" s="80">
        <f t="shared" si="24"/>
        <v>0</v>
      </c>
      <c r="I85" s="178">
        <v>0</v>
      </c>
      <c r="J85" s="80">
        <f t="shared" si="25"/>
        <v>0</v>
      </c>
      <c r="K85" s="178">
        <v>0</v>
      </c>
      <c r="L85" s="80">
        <f t="shared" si="26"/>
        <v>0</v>
      </c>
      <c r="M85" s="178">
        <v>0</v>
      </c>
      <c r="N85" s="80">
        <f t="shared" si="27"/>
        <v>0</v>
      </c>
      <c r="O85" s="178">
        <v>0</v>
      </c>
      <c r="P85" s="80">
        <f t="shared" si="28"/>
        <v>0</v>
      </c>
      <c r="Q85" s="178">
        <v>0</v>
      </c>
      <c r="R85" s="80">
        <f t="shared" si="29"/>
        <v>0</v>
      </c>
      <c r="S85" s="178">
        <v>0</v>
      </c>
      <c r="T85" s="80">
        <f t="shared" si="30"/>
        <v>0</v>
      </c>
      <c r="U85" s="178">
        <v>0</v>
      </c>
      <c r="V85" s="80">
        <f t="shared" si="31"/>
        <v>0</v>
      </c>
      <c r="X85" s="192"/>
    </row>
    <row r="86" spans="1:24" ht="12.75" customHeight="1">
      <c r="A86" s="2" t="s">
        <v>430</v>
      </c>
      <c r="B86" s="35"/>
      <c r="C86" s="178">
        <v>0</v>
      </c>
      <c r="D86" s="80">
        <f t="shared" si="32"/>
        <v>0</v>
      </c>
      <c r="E86" s="178">
        <v>0</v>
      </c>
      <c r="F86" s="80">
        <f t="shared" si="23"/>
        <v>0</v>
      </c>
      <c r="G86" s="178">
        <v>0</v>
      </c>
      <c r="H86" s="80">
        <f t="shared" si="24"/>
        <v>0</v>
      </c>
      <c r="I86" s="178">
        <v>0</v>
      </c>
      <c r="J86" s="80">
        <f t="shared" si="25"/>
        <v>0</v>
      </c>
      <c r="K86" s="178">
        <v>0</v>
      </c>
      <c r="L86" s="80">
        <f t="shared" si="26"/>
        <v>0</v>
      </c>
      <c r="M86" s="178">
        <v>0</v>
      </c>
      <c r="N86" s="80">
        <f t="shared" si="27"/>
        <v>0</v>
      </c>
      <c r="O86" s="178">
        <v>0</v>
      </c>
      <c r="P86" s="80">
        <f t="shared" si="28"/>
        <v>0</v>
      </c>
      <c r="Q86" s="178">
        <v>0</v>
      </c>
      <c r="R86" s="80">
        <f t="shared" si="29"/>
        <v>0</v>
      </c>
      <c r="S86" s="178">
        <v>0</v>
      </c>
      <c r="T86" s="80">
        <f t="shared" si="30"/>
        <v>0</v>
      </c>
      <c r="U86" s="178">
        <v>0</v>
      </c>
      <c r="V86" s="80">
        <f t="shared" si="31"/>
        <v>0</v>
      </c>
      <c r="X86" s="192"/>
    </row>
    <row r="87" spans="1:24" ht="12.75" customHeight="1">
      <c r="A87" s="2" t="s">
        <v>431</v>
      </c>
      <c r="B87" s="35"/>
      <c r="C87" s="178">
        <v>0</v>
      </c>
      <c r="D87" s="80">
        <f t="shared" si="32"/>
        <v>0</v>
      </c>
      <c r="E87" s="178">
        <v>0</v>
      </c>
      <c r="F87" s="80">
        <f t="shared" si="23"/>
        <v>0</v>
      </c>
      <c r="G87" s="178">
        <v>0</v>
      </c>
      <c r="H87" s="80">
        <f t="shared" si="24"/>
        <v>0</v>
      </c>
      <c r="I87" s="178">
        <v>0</v>
      </c>
      <c r="J87" s="80">
        <f t="shared" si="25"/>
        <v>0</v>
      </c>
      <c r="K87" s="178">
        <v>0</v>
      </c>
      <c r="L87" s="80">
        <f t="shared" si="26"/>
        <v>0</v>
      </c>
      <c r="M87" s="178">
        <v>0</v>
      </c>
      <c r="N87" s="80">
        <f t="shared" si="27"/>
        <v>0</v>
      </c>
      <c r="O87" s="178">
        <v>0</v>
      </c>
      <c r="P87" s="80">
        <f t="shared" si="28"/>
        <v>0</v>
      </c>
      <c r="Q87" s="178">
        <v>0</v>
      </c>
      <c r="R87" s="80">
        <f t="shared" si="29"/>
        <v>0</v>
      </c>
      <c r="S87" s="178">
        <v>0</v>
      </c>
      <c r="T87" s="80">
        <f t="shared" si="30"/>
        <v>0</v>
      </c>
      <c r="U87" s="178">
        <v>0</v>
      </c>
      <c r="V87" s="80">
        <f t="shared" si="31"/>
        <v>0</v>
      </c>
      <c r="X87" s="192"/>
    </row>
    <row r="88" spans="1:24" ht="12.75" customHeight="1">
      <c r="A88" s="2" t="s">
        <v>432</v>
      </c>
      <c r="B88" s="35"/>
      <c r="C88" s="178">
        <v>0</v>
      </c>
      <c r="D88" s="80">
        <f t="shared" si="32"/>
        <v>0</v>
      </c>
      <c r="E88" s="178">
        <v>0</v>
      </c>
      <c r="F88" s="80">
        <f t="shared" si="23"/>
        <v>0</v>
      </c>
      <c r="G88" s="178">
        <v>0</v>
      </c>
      <c r="H88" s="80">
        <f t="shared" si="24"/>
        <v>0</v>
      </c>
      <c r="I88" s="178">
        <v>0</v>
      </c>
      <c r="J88" s="80">
        <f t="shared" si="25"/>
        <v>0</v>
      </c>
      <c r="K88" s="178">
        <v>0</v>
      </c>
      <c r="L88" s="80">
        <f t="shared" si="26"/>
        <v>0</v>
      </c>
      <c r="M88" s="178">
        <v>0</v>
      </c>
      <c r="N88" s="80">
        <f t="shared" si="27"/>
        <v>0</v>
      </c>
      <c r="O88" s="178">
        <v>0</v>
      </c>
      <c r="P88" s="80">
        <f t="shared" si="28"/>
        <v>0</v>
      </c>
      <c r="Q88" s="178">
        <v>0</v>
      </c>
      <c r="R88" s="80">
        <f t="shared" si="29"/>
        <v>0</v>
      </c>
      <c r="S88" s="178">
        <v>0</v>
      </c>
      <c r="T88" s="80">
        <f t="shared" si="30"/>
        <v>0</v>
      </c>
      <c r="U88" s="178">
        <v>0</v>
      </c>
      <c r="V88" s="80">
        <f t="shared" si="31"/>
        <v>0</v>
      </c>
      <c r="X88" s="192"/>
    </row>
    <row r="89" spans="1:24" ht="12.75" customHeight="1">
      <c r="A89" s="2" t="s">
        <v>433</v>
      </c>
      <c r="B89" s="35"/>
      <c r="C89" s="178">
        <v>0</v>
      </c>
      <c r="D89" s="80">
        <f t="shared" si="32"/>
        <v>0</v>
      </c>
      <c r="E89" s="178">
        <v>0</v>
      </c>
      <c r="F89" s="80">
        <f t="shared" si="23"/>
        <v>0</v>
      </c>
      <c r="G89" s="178">
        <v>0</v>
      </c>
      <c r="H89" s="80">
        <f t="shared" si="24"/>
        <v>0</v>
      </c>
      <c r="I89" s="178">
        <v>0</v>
      </c>
      <c r="J89" s="80">
        <f t="shared" si="25"/>
        <v>0</v>
      </c>
      <c r="K89" s="178">
        <v>0</v>
      </c>
      <c r="L89" s="80">
        <f t="shared" si="26"/>
        <v>0</v>
      </c>
      <c r="M89" s="178">
        <v>0</v>
      </c>
      <c r="N89" s="80">
        <f t="shared" si="27"/>
        <v>0</v>
      </c>
      <c r="O89" s="178">
        <v>0</v>
      </c>
      <c r="P89" s="80">
        <f t="shared" si="28"/>
        <v>0</v>
      </c>
      <c r="Q89" s="178">
        <v>0</v>
      </c>
      <c r="R89" s="80">
        <f t="shared" si="29"/>
        <v>0</v>
      </c>
      <c r="S89" s="178">
        <v>0</v>
      </c>
      <c r="T89" s="80">
        <f t="shared" si="30"/>
        <v>0</v>
      </c>
      <c r="U89" s="178">
        <v>0</v>
      </c>
      <c r="V89" s="80">
        <f t="shared" si="31"/>
        <v>0</v>
      </c>
      <c r="X89" s="192"/>
    </row>
    <row r="90" spans="1:24" ht="12.75" customHeight="1">
      <c r="A90" s="2" t="s">
        <v>434</v>
      </c>
      <c r="B90" s="35"/>
      <c r="C90" s="178">
        <v>0</v>
      </c>
      <c r="D90" s="80">
        <f t="shared" si="32"/>
        <v>0</v>
      </c>
      <c r="E90" s="178">
        <v>0</v>
      </c>
      <c r="F90" s="80">
        <f t="shared" si="23"/>
        <v>0</v>
      </c>
      <c r="G90" s="178">
        <v>0</v>
      </c>
      <c r="H90" s="80">
        <f t="shared" si="24"/>
        <v>0</v>
      </c>
      <c r="I90" s="178">
        <v>0</v>
      </c>
      <c r="J90" s="80">
        <f t="shared" si="25"/>
        <v>0</v>
      </c>
      <c r="K90" s="178">
        <v>0</v>
      </c>
      <c r="L90" s="80">
        <f t="shared" si="26"/>
        <v>0</v>
      </c>
      <c r="M90" s="178">
        <v>0</v>
      </c>
      <c r="N90" s="80">
        <f t="shared" si="27"/>
        <v>0</v>
      </c>
      <c r="O90" s="178">
        <v>0</v>
      </c>
      <c r="P90" s="80">
        <f t="shared" si="28"/>
        <v>0</v>
      </c>
      <c r="Q90" s="178">
        <v>0</v>
      </c>
      <c r="R90" s="80">
        <f t="shared" si="29"/>
        <v>0</v>
      </c>
      <c r="S90" s="178">
        <v>0</v>
      </c>
      <c r="T90" s="80">
        <f t="shared" si="30"/>
        <v>0</v>
      </c>
      <c r="U90" s="178">
        <v>0</v>
      </c>
      <c r="V90" s="80">
        <f t="shared" si="31"/>
        <v>0</v>
      </c>
      <c r="X90" s="192"/>
    </row>
    <row r="91" spans="1:24" ht="12.75" customHeight="1">
      <c r="A91" s="2" t="s">
        <v>435</v>
      </c>
      <c r="C91" s="178">
        <v>0</v>
      </c>
      <c r="D91" s="80">
        <f t="shared" si="32"/>
        <v>0</v>
      </c>
      <c r="E91" s="178">
        <v>0</v>
      </c>
      <c r="F91" s="80">
        <f t="shared" si="23"/>
        <v>0</v>
      </c>
      <c r="G91" s="178">
        <v>0</v>
      </c>
      <c r="H91" s="80">
        <f t="shared" si="24"/>
        <v>0</v>
      </c>
      <c r="I91" s="178">
        <v>0</v>
      </c>
      <c r="J91" s="80">
        <f t="shared" si="25"/>
        <v>0</v>
      </c>
      <c r="K91" s="178">
        <v>0</v>
      </c>
      <c r="L91" s="80">
        <f t="shared" si="26"/>
        <v>0</v>
      </c>
      <c r="M91" s="178">
        <v>0</v>
      </c>
      <c r="N91" s="80">
        <f t="shared" si="27"/>
        <v>0</v>
      </c>
      <c r="O91" s="178">
        <v>0</v>
      </c>
      <c r="P91" s="80">
        <f t="shared" si="28"/>
        <v>0</v>
      </c>
      <c r="Q91" s="178">
        <v>0</v>
      </c>
      <c r="R91" s="80">
        <f t="shared" si="29"/>
        <v>0</v>
      </c>
      <c r="S91" s="178">
        <v>0</v>
      </c>
      <c r="T91" s="80">
        <f t="shared" si="30"/>
        <v>0</v>
      </c>
      <c r="U91" s="178">
        <v>0</v>
      </c>
      <c r="V91" s="80">
        <f t="shared" si="31"/>
        <v>0</v>
      </c>
      <c r="X91" s="192"/>
    </row>
    <row r="92" spans="1:24" ht="12.75" customHeight="1">
      <c r="A92" s="2" t="s">
        <v>436</v>
      </c>
      <c r="B92" s="35"/>
      <c r="C92" s="178">
        <v>0</v>
      </c>
      <c r="D92" s="80">
        <f t="shared" si="32"/>
        <v>0</v>
      </c>
      <c r="E92" s="178">
        <v>0</v>
      </c>
      <c r="F92" s="80">
        <f t="shared" si="23"/>
        <v>0</v>
      </c>
      <c r="G92" s="178">
        <v>0</v>
      </c>
      <c r="H92" s="80">
        <f t="shared" si="24"/>
        <v>0</v>
      </c>
      <c r="I92" s="178">
        <v>0</v>
      </c>
      <c r="J92" s="80">
        <f t="shared" si="25"/>
        <v>0</v>
      </c>
      <c r="K92" s="178">
        <v>0</v>
      </c>
      <c r="L92" s="80">
        <f t="shared" si="26"/>
        <v>0</v>
      </c>
      <c r="M92" s="178">
        <v>0</v>
      </c>
      <c r="N92" s="80">
        <f t="shared" si="27"/>
        <v>0</v>
      </c>
      <c r="O92" s="178">
        <v>0</v>
      </c>
      <c r="P92" s="80">
        <f t="shared" si="28"/>
        <v>0</v>
      </c>
      <c r="Q92" s="178">
        <v>0</v>
      </c>
      <c r="R92" s="80">
        <f t="shared" si="29"/>
        <v>0</v>
      </c>
      <c r="S92" s="178">
        <v>0</v>
      </c>
      <c r="T92" s="80">
        <f t="shared" si="30"/>
        <v>0</v>
      </c>
      <c r="U92" s="178">
        <v>0</v>
      </c>
      <c r="V92" s="80">
        <f t="shared" si="31"/>
        <v>0</v>
      </c>
      <c r="X92" s="192"/>
    </row>
    <row r="93" spans="1:24" ht="12.75" customHeight="1">
      <c r="A93" s="2" t="s">
        <v>437</v>
      </c>
      <c r="B93" s="35"/>
      <c r="C93" s="178">
        <v>0</v>
      </c>
      <c r="D93" s="80">
        <f t="shared" si="32"/>
        <v>0</v>
      </c>
      <c r="E93" s="178">
        <v>0</v>
      </c>
      <c r="F93" s="80">
        <f t="shared" si="23"/>
        <v>0</v>
      </c>
      <c r="G93" s="178">
        <v>0</v>
      </c>
      <c r="H93" s="80">
        <f t="shared" si="24"/>
        <v>0</v>
      </c>
      <c r="I93" s="178">
        <v>0</v>
      </c>
      <c r="J93" s="80">
        <f t="shared" si="25"/>
        <v>0</v>
      </c>
      <c r="K93" s="178">
        <v>0</v>
      </c>
      <c r="L93" s="80">
        <f t="shared" si="26"/>
        <v>0</v>
      </c>
      <c r="M93" s="178">
        <v>0</v>
      </c>
      <c r="N93" s="80">
        <f t="shared" si="27"/>
        <v>0</v>
      </c>
      <c r="O93" s="178">
        <v>0</v>
      </c>
      <c r="P93" s="80">
        <f t="shared" si="28"/>
        <v>0</v>
      </c>
      <c r="Q93" s="178">
        <v>0</v>
      </c>
      <c r="R93" s="80">
        <f t="shared" si="29"/>
        <v>0</v>
      </c>
      <c r="S93" s="178">
        <v>0</v>
      </c>
      <c r="T93" s="80">
        <f t="shared" si="30"/>
        <v>0</v>
      </c>
      <c r="U93" s="178">
        <v>0</v>
      </c>
      <c r="V93" s="80">
        <f t="shared" si="31"/>
        <v>0</v>
      </c>
      <c r="X93" s="192"/>
    </row>
    <row r="94" spans="1:24" ht="12.75" customHeight="1">
      <c r="A94" s="2" t="s">
        <v>438</v>
      </c>
      <c r="B94" s="35"/>
      <c r="C94" s="178">
        <v>0</v>
      </c>
      <c r="D94" s="80">
        <f t="shared" si="32"/>
        <v>0</v>
      </c>
      <c r="E94" s="178">
        <v>0</v>
      </c>
      <c r="F94" s="80">
        <f t="shared" si="23"/>
        <v>0</v>
      </c>
      <c r="G94" s="178">
        <v>0</v>
      </c>
      <c r="H94" s="80">
        <f t="shared" si="24"/>
        <v>0</v>
      </c>
      <c r="I94" s="178">
        <v>0</v>
      </c>
      <c r="J94" s="80">
        <f t="shared" si="25"/>
        <v>0</v>
      </c>
      <c r="K94" s="178">
        <v>0</v>
      </c>
      <c r="L94" s="80">
        <f t="shared" si="26"/>
        <v>0</v>
      </c>
      <c r="M94" s="178">
        <v>0</v>
      </c>
      <c r="N94" s="80">
        <f t="shared" si="27"/>
        <v>0</v>
      </c>
      <c r="O94" s="178">
        <v>0</v>
      </c>
      <c r="P94" s="80">
        <f t="shared" si="28"/>
        <v>0</v>
      </c>
      <c r="Q94" s="178">
        <v>0</v>
      </c>
      <c r="R94" s="80">
        <f t="shared" si="29"/>
        <v>0</v>
      </c>
      <c r="S94" s="178">
        <v>0</v>
      </c>
      <c r="T94" s="80">
        <f t="shared" si="30"/>
        <v>0</v>
      </c>
      <c r="U94" s="178">
        <v>0</v>
      </c>
      <c r="V94" s="80">
        <f t="shared" si="31"/>
        <v>0</v>
      </c>
      <c r="X94" s="192"/>
    </row>
    <row r="95" spans="1:24" ht="12.75" customHeight="1">
      <c r="A95" s="2" t="s">
        <v>439</v>
      </c>
      <c r="B95" s="35"/>
      <c r="C95" s="178">
        <v>0</v>
      </c>
      <c r="D95" s="80">
        <f t="shared" si="32"/>
        <v>0</v>
      </c>
      <c r="E95" s="178">
        <v>0</v>
      </c>
      <c r="F95" s="80">
        <f t="shared" si="23"/>
        <v>0</v>
      </c>
      <c r="G95" s="178">
        <v>0</v>
      </c>
      <c r="H95" s="80">
        <f t="shared" si="24"/>
        <v>0</v>
      </c>
      <c r="I95" s="178">
        <v>0</v>
      </c>
      <c r="J95" s="80">
        <f t="shared" si="25"/>
        <v>0</v>
      </c>
      <c r="K95" s="178">
        <v>0</v>
      </c>
      <c r="L95" s="80">
        <f t="shared" si="26"/>
        <v>0</v>
      </c>
      <c r="M95" s="178">
        <v>0</v>
      </c>
      <c r="N95" s="80">
        <f t="shared" si="27"/>
        <v>0</v>
      </c>
      <c r="O95" s="178">
        <v>0</v>
      </c>
      <c r="P95" s="80">
        <f t="shared" si="28"/>
        <v>0</v>
      </c>
      <c r="Q95" s="178">
        <v>0</v>
      </c>
      <c r="R95" s="80">
        <f t="shared" si="29"/>
        <v>0</v>
      </c>
      <c r="S95" s="178">
        <v>0</v>
      </c>
      <c r="T95" s="80">
        <f t="shared" si="30"/>
        <v>0</v>
      </c>
      <c r="U95" s="178">
        <v>0</v>
      </c>
      <c r="V95" s="80">
        <f t="shared" si="31"/>
        <v>0</v>
      </c>
      <c r="X95" s="192"/>
    </row>
    <row r="96" spans="1:24" ht="12.75" customHeight="1">
      <c r="A96" s="2" t="s">
        <v>440</v>
      </c>
      <c r="B96" s="35"/>
      <c r="C96" s="178">
        <v>0</v>
      </c>
      <c r="D96" s="80">
        <f t="shared" si="32"/>
        <v>0</v>
      </c>
      <c r="E96" s="178">
        <v>0</v>
      </c>
      <c r="F96" s="80">
        <f t="shared" si="23"/>
        <v>0</v>
      </c>
      <c r="G96" s="178">
        <v>0</v>
      </c>
      <c r="H96" s="80">
        <f t="shared" si="24"/>
        <v>0</v>
      </c>
      <c r="I96" s="178">
        <v>0</v>
      </c>
      <c r="J96" s="80">
        <f t="shared" si="25"/>
        <v>0</v>
      </c>
      <c r="K96" s="178">
        <v>0</v>
      </c>
      <c r="L96" s="80">
        <f t="shared" si="26"/>
        <v>0</v>
      </c>
      <c r="M96" s="178">
        <v>0</v>
      </c>
      <c r="N96" s="80">
        <f t="shared" si="27"/>
        <v>0</v>
      </c>
      <c r="O96" s="178">
        <v>0</v>
      </c>
      <c r="P96" s="80">
        <f t="shared" si="28"/>
        <v>0</v>
      </c>
      <c r="Q96" s="178">
        <v>0</v>
      </c>
      <c r="R96" s="80">
        <f t="shared" si="29"/>
        <v>0</v>
      </c>
      <c r="S96" s="178">
        <v>0</v>
      </c>
      <c r="T96" s="80">
        <f t="shared" si="30"/>
        <v>0</v>
      </c>
      <c r="U96" s="178">
        <v>0</v>
      </c>
      <c r="V96" s="80">
        <f t="shared" si="31"/>
        <v>0</v>
      </c>
      <c r="X96" s="192"/>
    </row>
    <row r="97" spans="1:24" ht="12.75" customHeight="1">
      <c r="A97" s="2" t="s">
        <v>441</v>
      </c>
      <c r="B97" s="35"/>
      <c r="C97" s="178">
        <v>0</v>
      </c>
      <c r="D97" s="80">
        <f t="shared" si="32"/>
        <v>0</v>
      </c>
      <c r="E97" s="178">
        <v>0</v>
      </c>
      <c r="F97" s="80">
        <f t="shared" si="23"/>
        <v>0</v>
      </c>
      <c r="G97" s="178">
        <v>0</v>
      </c>
      <c r="H97" s="80">
        <f t="shared" si="24"/>
        <v>0</v>
      </c>
      <c r="I97" s="178">
        <v>0</v>
      </c>
      <c r="J97" s="80">
        <f t="shared" si="25"/>
        <v>0</v>
      </c>
      <c r="K97" s="178">
        <v>0</v>
      </c>
      <c r="L97" s="80">
        <f t="shared" si="26"/>
        <v>0</v>
      </c>
      <c r="M97" s="178">
        <v>0</v>
      </c>
      <c r="N97" s="80">
        <f t="shared" si="27"/>
        <v>0</v>
      </c>
      <c r="O97" s="178">
        <v>0</v>
      </c>
      <c r="P97" s="80">
        <f t="shared" si="28"/>
        <v>0</v>
      </c>
      <c r="Q97" s="178">
        <v>0</v>
      </c>
      <c r="R97" s="80">
        <f t="shared" si="29"/>
        <v>0</v>
      </c>
      <c r="S97" s="178">
        <v>0</v>
      </c>
      <c r="T97" s="80">
        <f t="shared" si="30"/>
        <v>0</v>
      </c>
      <c r="U97" s="178">
        <v>0</v>
      </c>
      <c r="V97" s="80">
        <f t="shared" si="31"/>
        <v>0</v>
      </c>
      <c r="X97" s="192"/>
    </row>
    <row r="98" spans="1:24" ht="12.75" customHeight="1">
      <c r="A98" s="117" t="s">
        <v>444</v>
      </c>
      <c r="B98" s="35"/>
      <c r="C98" s="178">
        <v>0</v>
      </c>
      <c r="D98" s="80">
        <f t="shared" si="32"/>
        <v>0</v>
      </c>
      <c r="E98" s="178">
        <v>0</v>
      </c>
      <c r="F98" s="80">
        <f t="shared" si="23"/>
        <v>0</v>
      </c>
      <c r="G98" s="178">
        <v>0</v>
      </c>
      <c r="H98" s="80">
        <f t="shared" si="24"/>
        <v>0</v>
      </c>
      <c r="I98" s="178">
        <v>0</v>
      </c>
      <c r="J98" s="80">
        <f t="shared" si="25"/>
        <v>0</v>
      </c>
      <c r="K98" s="178">
        <v>0</v>
      </c>
      <c r="L98" s="80">
        <f t="shared" si="26"/>
        <v>0</v>
      </c>
      <c r="M98" s="178">
        <v>0</v>
      </c>
      <c r="N98" s="80">
        <f t="shared" si="27"/>
        <v>0</v>
      </c>
      <c r="O98" s="178">
        <v>0</v>
      </c>
      <c r="P98" s="80">
        <f t="shared" si="28"/>
        <v>0</v>
      </c>
      <c r="Q98" s="178">
        <v>0</v>
      </c>
      <c r="R98" s="80">
        <f t="shared" si="29"/>
        <v>0</v>
      </c>
      <c r="S98" s="178">
        <v>0</v>
      </c>
      <c r="T98" s="80">
        <f t="shared" si="30"/>
        <v>0</v>
      </c>
      <c r="U98" s="178">
        <v>0</v>
      </c>
      <c r="V98" s="80">
        <f t="shared" si="31"/>
        <v>0</v>
      </c>
      <c r="X98" s="192"/>
    </row>
    <row r="99" spans="1:24" ht="12.75" customHeight="1">
      <c r="A99" s="117" t="s">
        <v>444</v>
      </c>
      <c r="B99" s="35"/>
      <c r="C99" s="178">
        <v>0</v>
      </c>
      <c r="D99" s="80">
        <f t="shared" si="32"/>
        <v>0</v>
      </c>
      <c r="E99" s="178">
        <v>0</v>
      </c>
      <c r="F99" s="80">
        <f t="shared" si="23"/>
        <v>0</v>
      </c>
      <c r="G99" s="178">
        <v>0</v>
      </c>
      <c r="H99" s="80">
        <f t="shared" si="24"/>
        <v>0</v>
      </c>
      <c r="I99" s="178">
        <v>0</v>
      </c>
      <c r="J99" s="80">
        <f t="shared" si="25"/>
        <v>0</v>
      </c>
      <c r="K99" s="178">
        <v>0</v>
      </c>
      <c r="L99" s="80">
        <f t="shared" si="26"/>
        <v>0</v>
      </c>
      <c r="M99" s="178">
        <v>0</v>
      </c>
      <c r="N99" s="80">
        <f t="shared" si="27"/>
        <v>0</v>
      </c>
      <c r="O99" s="178">
        <v>0</v>
      </c>
      <c r="P99" s="80">
        <f t="shared" si="28"/>
        <v>0</v>
      </c>
      <c r="Q99" s="178">
        <v>0</v>
      </c>
      <c r="R99" s="80">
        <f t="shared" si="29"/>
        <v>0</v>
      </c>
      <c r="S99" s="178">
        <v>0</v>
      </c>
      <c r="T99" s="80">
        <f t="shared" si="30"/>
        <v>0</v>
      </c>
      <c r="U99" s="178">
        <v>0</v>
      </c>
      <c r="V99" s="80">
        <f t="shared" si="31"/>
        <v>0</v>
      </c>
      <c r="X99" s="192"/>
    </row>
    <row r="100" spans="1:24" ht="12.75" customHeight="1">
      <c r="A100" s="117" t="s">
        <v>444</v>
      </c>
      <c r="B100" s="35"/>
      <c r="C100" s="178">
        <v>0</v>
      </c>
      <c r="D100" s="80">
        <f t="shared" si="32"/>
        <v>0</v>
      </c>
      <c r="E100" s="178">
        <v>0</v>
      </c>
      <c r="F100" s="80">
        <f t="shared" si="23"/>
        <v>0</v>
      </c>
      <c r="G100" s="178">
        <v>0</v>
      </c>
      <c r="H100" s="80">
        <f t="shared" si="24"/>
        <v>0</v>
      </c>
      <c r="I100" s="178">
        <v>0</v>
      </c>
      <c r="J100" s="80">
        <f t="shared" si="25"/>
        <v>0</v>
      </c>
      <c r="K100" s="178">
        <v>0</v>
      </c>
      <c r="L100" s="80">
        <f t="shared" si="26"/>
        <v>0</v>
      </c>
      <c r="M100" s="178">
        <v>0</v>
      </c>
      <c r="N100" s="80">
        <f t="shared" si="27"/>
        <v>0</v>
      </c>
      <c r="O100" s="178">
        <v>0</v>
      </c>
      <c r="P100" s="80">
        <f t="shared" si="28"/>
        <v>0</v>
      </c>
      <c r="Q100" s="178">
        <v>0</v>
      </c>
      <c r="R100" s="80">
        <f t="shared" si="29"/>
        <v>0</v>
      </c>
      <c r="S100" s="178">
        <v>0</v>
      </c>
      <c r="T100" s="80">
        <f t="shared" si="30"/>
        <v>0</v>
      </c>
      <c r="U100" s="178">
        <v>0</v>
      </c>
      <c r="V100" s="80">
        <f t="shared" si="31"/>
        <v>0</v>
      </c>
      <c r="X100" s="192"/>
    </row>
    <row r="101" spans="1:24" ht="12.75" customHeight="1">
      <c r="A101" s="2" t="s">
        <v>445</v>
      </c>
      <c r="B101" s="35"/>
      <c r="C101" s="178"/>
      <c r="D101" s="80">
        <f t="shared" si="32"/>
        <v>0</v>
      </c>
      <c r="E101" s="178"/>
      <c r="F101" s="80">
        <f t="shared" si="23"/>
        <v>0</v>
      </c>
      <c r="G101" s="178"/>
      <c r="H101" s="80">
        <f t="shared" si="24"/>
        <v>0</v>
      </c>
      <c r="I101" s="178">
        <v>0</v>
      </c>
      <c r="J101" s="80">
        <f t="shared" si="25"/>
        <v>0</v>
      </c>
      <c r="K101" s="178">
        <v>0</v>
      </c>
      <c r="L101" s="80">
        <f t="shared" si="26"/>
        <v>0</v>
      </c>
      <c r="M101" s="178">
        <v>0</v>
      </c>
      <c r="N101" s="80">
        <f t="shared" si="27"/>
        <v>0</v>
      </c>
      <c r="O101" s="178">
        <v>0</v>
      </c>
      <c r="P101" s="80">
        <f t="shared" si="28"/>
        <v>0</v>
      </c>
      <c r="Q101" s="178">
        <v>0</v>
      </c>
      <c r="R101" s="80">
        <f t="shared" si="29"/>
        <v>0</v>
      </c>
      <c r="S101" s="178">
        <v>0</v>
      </c>
      <c r="T101" s="80">
        <f t="shared" si="30"/>
        <v>0</v>
      </c>
      <c r="U101" s="178">
        <v>0</v>
      </c>
      <c r="V101" s="80">
        <f t="shared" si="31"/>
        <v>0</v>
      </c>
      <c r="X101" s="192"/>
    </row>
    <row r="102" spans="1:24" ht="12.75" customHeight="1">
      <c r="A102" s="117" t="s">
        <v>446</v>
      </c>
      <c r="B102" s="35"/>
      <c r="C102" s="178">
        <v>0</v>
      </c>
      <c r="D102" s="80">
        <f t="shared" si="32"/>
        <v>0</v>
      </c>
      <c r="E102" s="178">
        <v>0</v>
      </c>
      <c r="F102" s="80">
        <f t="shared" si="23"/>
        <v>0</v>
      </c>
      <c r="G102" s="178">
        <v>0</v>
      </c>
      <c r="H102" s="80">
        <f t="shared" si="24"/>
        <v>0</v>
      </c>
      <c r="I102" s="178">
        <v>0</v>
      </c>
      <c r="J102" s="80">
        <f t="shared" si="25"/>
        <v>0</v>
      </c>
      <c r="K102" s="178">
        <v>0</v>
      </c>
      <c r="L102" s="80">
        <f t="shared" si="26"/>
        <v>0</v>
      </c>
      <c r="M102" s="178">
        <v>0</v>
      </c>
      <c r="N102" s="80">
        <f t="shared" si="27"/>
        <v>0</v>
      </c>
      <c r="O102" s="178">
        <v>0</v>
      </c>
      <c r="P102" s="80">
        <f t="shared" si="28"/>
        <v>0</v>
      </c>
      <c r="Q102" s="178">
        <v>0</v>
      </c>
      <c r="R102" s="80">
        <f t="shared" si="29"/>
        <v>0</v>
      </c>
      <c r="S102" s="178">
        <v>0</v>
      </c>
      <c r="T102" s="80">
        <f t="shared" si="30"/>
        <v>0</v>
      </c>
      <c r="U102" s="178">
        <v>0</v>
      </c>
      <c r="V102" s="80">
        <f t="shared" si="31"/>
        <v>0</v>
      </c>
      <c r="X102" s="192"/>
    </row>
    <row r="103" spans="1:24" ht="12.75" customHeight="1">
      <c r="A103" s="117" t="s">
        <v>446</v>
      </c>
      <c r="B103" s="35"/>
      <c r="C103" s="178">
        <v>0</v>
      </c>
      <c r="D103" s="80">
        <f t="shared" si="32"/>
        <v>0</v>
      </c>
      <c r="E103" s="178">
        <v>0</v>
      </c>
      <c r="F103" s="80">
        <f t="shared" si="23"/>
        <v>0</v>
      </c>
      <c r="G103" s="178">
        <v>0</v>
      </c>
      <c r="H103" s="80">
        <f t="shared" si="24"/>
        <v>0</v>
      </c>
      <c r="I103" s="178">
        <v>0</v>
      </c>
      <c r="J103" s="80">
        <f t="shared" si="25"/>
        <v>0</v>
      </c>
      <c r="K103" s="178">
        <v>0</v>
      </c>
      <c r="L103" s="80">
        <f t="shared" si="26"/>
        <v>0</v>
      </c>
      <c r="M103" s="178">
        <v>0</v>
      </c>
      <c r="N103" s="80">
        <f t="shared" si="27"/>
        <v>0</v>
      </c>
      <c r="O103" s="178">
        <v>0</v>
      </c>
      <c r="P103" s="80">
        <f t="shared" si="28"/>
        <v>0</v>
      </c>
      <c r="Q103" s="178">
        <v>0</v>
      </c>
      <c r="R103" s="80">
        <f t="shared" si="29"/>
        <v>0</v>
      </c>
      <c r="S103" s="178">
        <v>0</v>
      </c>
      <c r="T103" s="80">
        <f t="shared" si="30"/>
        <v>0</v>
      </c>
      <c r="U103" s="178">
        <v>0</v>
      </c>
      <c r="V103" s="80">
        <f t="shared" si="31"/>
        <v>0</v>
      </c>
      <c r="X103" s="192"/>
    </row>
    <row r="104" spans="1:24" ht="12.75" customHeight="1">
      <c r="A104" s="117" t="s">
        <v>446</v>
      </c>
      <c r="B104" s="1"/>
      <c r="C104" s="178">
        <v>0</v>
      </c>
      <c r="D104" s="80">
        <f t="shared" si="32"/>
        <v>0</v>
      </c>
      <c r="E104" s="178">
        <v>0</v>
      </c>
      <c r="F104" s="80">
        <f t="shared" si="23"/>
        <v>0</v>
      </c>
      <c r="G104" s="178">
        <v>0</v>
      </c>
      <c r="H104" s="80">
        <f t="shared" si="24"/>
        <v>0</v>
      </c>
      <c r="I104" s="178">
        <v>0</v>
      </c>
      <c r="J104" s="80">
        <f t="shared" si="25"/>
        <v>0</v>
      </c>
      <c r="K104" s="178">
        <v>0</v>
      </c>
      <c r="L104" s="80">
        <f t="shared" si="26"/>
        <v>0</v>
      </c>
      <c r="M104" s="178">
        <v>0</v>
      </c>
      <c r="N104" s="80">
        <f t="shared" si="27"/>
        <v>0</v>
      </c>
      <c r="O104" s="178">
        <v>0</v>
      </c>
      <c r="P104" s="80">
        <f t="shared" si="28"/>
        <v>0</v>
      </c>
      <c r="Q104" s="178">
        <v>0</v>
      </c>
      <c r="R104" s="80">
        <f t="shared" si="29"/>
        <v>0</v>
      </c>
      <c r="S104" s="178">
        <v>0</v>
      </c>
      <c r="T104" s="80">
        <f t="shared" si="30"/>
        <v>0</v>
      </c>
      <c r="U104" s="178">
        <v>0</v>
      </c>
      <c r="V104" s="80">
        <f t="shared" si="31"/>
        <v>0</v>
      </c>
      <c r="X104" s="192"/>
    </row>
    <row r="105" spans="1:24" ht="12.75" customHeight="1">
      <c r="A105" s="1" t="s">
        <v>447</v>
      </c>
      <c r="B105" s="53"/>
      <c r="C105" s="82">
        <f>SUM(C52:C104)</f>
        <v>0</v>
      </c>
      <c r="D105" s="83">
        <f t="shared" si="32"/>
        <v>0</v>
      </c>
      <c r="E105" s="82">
        <f>SUM(E52:E104)</f>
        <v>0</v>
      </c>
      <c r="F105" s="83">
        <f t="shared" si="23"/>
        <v>0</v>
      </c>
      <c r="G105" s="82">
        <f>SUM(G52:G104)</f>
        <v>0</v>
      </c>
      <c r="H105" s="83">
        <f t="shared" si="24"/>
        <v>0</v>
      </c>
      <c r="I105" s="82">
        <f>SUM(I52:I104)</f>
        <v>0</v>
      </c>
      <c r="J105" s="83">
        <f t="shared" si="25"/>
        <v>0</v>
      </c>
      <c r="K105" s="82">
        <f>SUM(K52:K104)</f>
        <v>0</v>
      </c>
      <c r="L105" s="83">
        <f t="shared" si="26"/>
        <v>0</v>
      </c>
      <c r="M105" s="82">
        <f>SUM(M52:M104)</f>
        <v>0</v>
      </c>
      <c r="N105" s="83">
        <f t="shared" si="27"/>
        <v>0</v>
      </c>
      <c r="O105" s="82">
        <f>SUM(O52:O104)</f>
        <v>0</v>
      </c>
      <c r="P105" s="83">
        <f t="shared" si="28"/>
        <v>0</v>
      </c>
      <c r="Q105" s="82">
        <f>SUM(Q52:Q104)</f>
        <v>0</v>
      </c>
      <c r="R105" s="83">
        <f t="shared" si="29"/>
        <v>0</v>
      </c>
      <c r="S105" s="82">
        <f>SUM(S52:S104)</f>
        <v>0</v>
      </c>
      <c r="T105" s="83">
        <f t="shared" si="30"/>
        <v>0</v>
      </c>
      <c r="U105" s="82">
        <f>SUM(U52:U104)</f>
        <v>0</v>
      </c>
      <c r="V105" s="83">
        <f t="shared" si="31"/>
        <v>0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448</v>
      </c>
      <c r="B107" s="53"/>
      <c r="C107" s="82">
        <f>C28-C33-C46-C105</f>
        <v>147000</v>
      </c>
      <c r="D107" s="83">
        <f>IFERROR(C107/C$28,0)</f>
        <v>1</v>
      </c>
      <c r="E107" s="82">
        <f>E28-E33-E46-E105</f>
        <v>149940</v>
      </c>
      <c r="F107" s="83">
        <f>IFERROR(E107/E$28,0)</f>
        <v>1</v>
      </c>
      <c r="G107" s="82">
        <f>G28-G33-G46-G105</f>
        <v>152938.79999999999</v>
      </c>
      <c r="H107" s="83">
        <f>IFERROR(G107/G$28,0)</f>
        <v>1</v>
      </c>
      <c r="I107" s="82">
        <f>I28-I33-I46-I105</f>
        <v>155997.576</v>
      </c>
      <c r="J107" s="83">
        <f>IFERROR(I107/I$28,0)</f>
        <v>1</v>
      </c>
      <c r="K107" s="82">
        <f>K28-K33-K46-K105</f>
        <v>159117.52752</v>
      </c>
      <c r="L107" s="83">
        <f>IFERROR(K107/K$28,0)</f>
        <v>1</v>
      </c>
      <c r="M107" s="82">
        <f>M28-M33-M46-M105</f>
        <v>162299.87807040001</v>
      </c>
      <c r="N107" s="83">
        <f>IFERROR(M107/M$28,0)</f>
        <v>1</v>
      </c>
      <c r="O107" s="82">
        <f>O28-O33-O46-O105</f>
        <v>165545.87563180801</v>
      </c>
      <c r="P107" s="83">
        <f>IFERROR(O107/O$28,0)</f>
        <v>1</v>
      </c>
      <c r="Q107" s="82">
        <f>Q28-Q33-Q46-Q105</f>
        <v>168856.79314444418</v>
      </c>
      <c r="R107" s="83">
        <f>IFERROR(Q107/Q$28,0)</f>
        <v>1</v>
      </c>
      <c r="S107" s="82">
        <f>S28-S33-S46-S105</f>
        <v>172233.92900733306</v>
      </c>
      <c r="T107" s="83">
        <f>IFERROR(S107/S$28,0)</f>
        <v>1</v>
      </c>
      <c r="U107" s="82">
        <f>U28-U33-U46-U105</f>
        <v>175678.60758747972</v>
      </c>
      <c r="V107" s="83">
        <f>IFERROR(U107/U$28,0)</f>
        <v>1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449</v>
      </c>
      <c r="B110" s="40"/>
      <c r="C110" s="86" t="str">
        <f>C50</f>
        <v>FY 2018-19</v>
      </c>
      <c r="D110" s="86" t="s">
        <v>366</v>
      </c>
      <c r="E110" s="86" t="str">
        <f>E50</f>
        <v>FY 2019-20</v>
      </c>
      <c r="F110" s="86" t="s">
        <v>366</v>
      </c>
      <c r="G110" s="86" t="str">
        <f>G50</f>
        <v>FY 2020-21</v>
      </c>
      <c r="H110" s="86" t="s">
        <v>366</v>
      </c>
      <c r="I110" s="86" t="str">
        <f>I50</f>
        <v>FY 2021-22</v>
      </c>
      <c r="J110" s="86" t="s">
        <v>366</v>
      </c>
      <c r="K110" s="86" t="str">
        <f>K50</f>
        <v>FY 2022-23</v>
      </c>
      <c r="L110" s="86" t="s">
        <v>366</v>
      </c>
      <c r="M110" s="86" t="str">
        <f>M50</f>
        <v>FY 2023-24</v>
      </c>
      <c r="N110" s="86" t="s">
        <v>366</v>
      </c>
      <c r="O110" s="86" t="str">
        <f>O50</f>
        <v>FY 2024-25</v>
      </c>
      <c r="P110" s="86" t="s">
        <v>366</v>
      </c>
      <c r="Q110" s="86" t="str">
        <f>Q50</f>
        <v>FY 2025-26</v>
      </c>
      <c r="R110" s="86" t="s">
        <v>366</v>
      </c>
      <c r="S110" s="86" t="str">
        <f>S50</f>
        <v>FY 2026-27</v>
      </c>
      <c r="T110" s="86" t="s">
        <v>366</v>
      </c>
      <c r="U110" s="86" t="str">
        <f>U50</f>
        <v>FY 2027-28</v>
      </c>
      <c r="V110" s="86" t="s">
        <v>366</v>
      </c>
    </row>
    <row r="111" spans="1:24" ht="12.75" customHeight="1">
      <c r="A111" s="2" t="s">
        <v>403</v>
      </c>
      <c r="B111" s="35"/>
      <c r="C111" s="79">
        <f>C59</f>
        <v>0</v>
      </c>
      <c r="D111" s="80">
        <f t="shared" ref="D111:D116" si="33">IFERROR(C111/C$28,0)</f>
        <v>0</v>
      </c>
      <c r="E111" s="79">
        <f>E59</f>
        <v>0</v>
      </c>
      <c r="F111" s="80">
        <f t="shared" ref="F111:F116" si="34">IFERROR(E111/E$28,0)</f>
        <v>0</v>
      </c>
      <c r="G111" s="79">
        <f>G59</f>
        <v>0</v>
      </c>
      <c r="H111" s="80">
        <f t="shared" ref="H111:H116" si="35">IFERROR(G111/G$28,0)</f>
        <v>0</v>
      </c>
      <c r="I111" s="79">
        <f>I59</f>
        <v>0</v>
      </c>
      <c r="J111" s="80">
        <f t="shared" ref="J111:J116" si="36">IFERROR(I111/I$28,0)</f>
        <v>0</v>
      </c>
      <c r="K111" s="79">
        <f>K59</f>
        <v>0</v>
      </c>
      <c r="L111" s="80">
        <f t="shared" ref="L111:L116" si="37">IFERROR(K111/K$28,0)</f>
        <v>0</v>
      </c>
      <c r="M111" s="79">
        <f>M59</f>
        <v>0</v>
      </c>
      <c r="N111" s="80">
        <f t="shared" ref="N111:N116" si="38">IFERROR(M111/M$28,0)</f>
        <v>0</v>
      </c>
      <c r="O111" s="79">
        <f>O59</f>
        <v>0</v>
      </c>
      <c r="P111" s="80">
        <f t="shared" ref="P111:P116" si="39">IFERROR(O111/O$28,0)</f>
        <v>0</v>
      </c>
      <c r="Q111" s="79">
        <f>Q59</f>
        <v>0</v>
      </c>
      <c r="R111" s="80">
        <f t="shared" ref="R111:R116" si="40">IFERROR(Q111/Q$28,0)</f>
        <v>0</v>
      </c>
      <c r="S111" s="79">
        <f>S59</f>
        <v>0</v>
      </c>
      <c r="T111" s="80">
        <f t="shared" ref="T111:T116" si="41">IFERROR(S111/S$28,0)</f>
        <v>0</v>
      </c>
      <c r="U111" s="79">
        <f>U59</f>
        <v>0</v>
      </c>
      <c r="V111" s="80">
        <f t="shared" ref="V111:V116" si="42">IFERROR(U111/U$28,0)</f>
        <v>0</v>
      </c>
    </row>
    <row r="112" spans="1:24" ht="12.75" customHeight="1">
      <c r="A112" s="2" t="s">
        <v>450</v>
      </c>
      <c r="B112" s="35"/>
      <c r="C112" s="79">
        <f>C62</f>
        <v>0</v>
      </c>
      <c r="D112" s="80">
        <f t="shared" si="33"/>
        <v>0</v>
      </c>
      <c r="E112" s="79">
        <f>E62</f>
        <v>0</v>
      </c>
      <c r="F112" s="80">
        <f t="shared" si="34"/>
        <v>0</v>
      </c>
      <c r="G112" s="79">
        <f>G62</f>
        <v>0</v>
      </c>
      <c r="H112" s="80">
        <f t="shared" si="35"/>
        <v>0</v>
      </c>
      <c r="I112" s="79">
        <f>I62</f>
        <v>0</v>
      </c>
      <c r="J112" s="80">
        <f t="shared" si="36"/>
        <v>0</v>
      </c>
      <c r="K112" s="79">
        <f>K62</f>
        <v>0</v>
      </c>
      <c r="L112" s="80">
        <f t="shared" si="37"/>
        <v>0</v>
      </c>
      <c r="M112" s="79">
        <f>M62</f>
        <v>0</v>
      </c>
      <c r="N112" s="80">
        <f t="shared" si="38"/>
        <v>0</v>
      </c>
      <c r="O112" s="79">
        <f>O62</f>
        <v>0</v>
      </c>
      <c r="P112" s="80">
        <f t="shared" si="39"/>
        <v>0</v>
      </c>
      <c r="Q112" s="79">
        <f>Q62</f>
        <v>0</v>
      </c>
      <c r="R112" s="80">
        <f t="shared" si="40"/>
        <v>0</v>
      </c>
      <c r="S112" s="79">
        <f>S62</f>
        <v>0</v>
      </c>
      <c r="T112" s="80">
        <f t="shared" si="41"/>
        <v>0</v>
      </c>
      <c r="U112" s="79">
        <f>U62</f>
        <v>0</v>
      </c>
      <c r="V112" s="80">
        <f t="shared" si="42"/>
        <v>0</v>
      </c>
    </row>
    <row r="113" spans="1:22" ht="12.75" customHeight="1">
      <c r="A113" s="117" t="s">
        <v>446</v>
      </c>
      <c r="B113" s="41"/>
      <c r="C113" s="111">
        <v>0</v>
      </c>
      <c r="D113" s="80">
        <f t="shared" si="33"/>
        <v>0</v>
      </c>
      <c r="E113" s="111">
        <v>0</v>
      </c>
      <c r="F113" s="80">
        <f t="shared" si="34"/>
        <v>0</v>
      </c>
      <c r="G113" s="111">
        <v>0</v>
      </c>
      <c r="H113" s="80">
        <f t="shared" si="35"/>
        <v>0</v>
      </c>
      <c r="I113" s="111">
        <v>0</v>
      </c>
      <c r="J113" s="80">
        <f t="shared" si="36"/>
        <v>0</v>
      </c>
      <c r="K113" s="111">
        <v>0</v>
      </c>
      <c r="L113" s="80">
        <f t="shared" si="37"/>
        <v>0</v>
      </c>
      <c r="M113" s="111">
        <v>0</v>
      </c>
      <c r="N113" s="80">
        <f t="shared" si="38"/>
        <v>0</v>
      </c>
      <c r="O113" s="111">
        <v>0</v>
      </c>
      <c r="P113" s="80">
        <f t="shared" si="39"/>
        <v>0</v>
      </c>
      <c r="Q113" s="111">
        <v>0</v>
      </c>
      <c r="R113" s="80">
        <f t="shared" si="40"/>
        <v>0</v>
      </c>
      <c r="S113" s="111">
        <v>0</v>
      </c>
      <c r="T113" s="80">
        <f t="shared" si="41"/>
        <v>0</v>
      </c>
      <c r="U113" s="111">
        <v>0</v>
      </c>
      <c r="V113" s="80">
        <f t="shared" si="42"/>
        <v>0</v>
      </c>
    </row>
    <row r="114" spans="1:22" ht="12.75" customHeight="1">
      <c r="A114" s="117" t="s">
        <v>446</v>
      </c>
      <c r="B114" s="41"/>
      <c r="C114" s="111">
        <v>0</v>
      </c>
      <c r="D114" s="80">
        <f t="shared" si="33"/>
        <v>0</v>
      </c>
      <c r="E114" s="111">
        <v>0</v>
      </c>
      <c r="F114" s="80">
        <f t="shared" si="34"/>
        <v>0</v>
      </c>
      <c r="G114" s="111">
        <v>0</v>
      </c>
      <c r="H114" s="80">
        <f t="shared" si="35"/>
        <v>0</v>
      </c>
      <c r="I114" s="111">
        <v>0</v>
      </c>
      <c r="J114" s="80">
        <f t="shared" si="36"/>
        <v>0</v>
      </c>
      <c r="K114" s="111">
        <v>0</v>
      </c>
      <c r="L114" s="80">
        <f t="shared" si="37"/>
        <v>0</v>
      </c>
      <c r="M114" s="111">
        <v>0</v>
      </c>
      <c r="N114" s="80">
        <f t="shared" si="38"/>
        <v>0</v>
      </c>
      <c r="O114" s="111">
        <v>0</v>
      </c>
      <c r="P114" s="80">
        <f t="shared" si="39"/>
        <v>0</v>
      </c>
      <c r="Q114" s="111">
        <v>0</v>
      </c>
      <c r="R114" s="80">
        <f t="shared" si="40"/>
        <v>0</v>
      </c>
      <c r="S114" s="111">
        <v>0</v>
      </c>
      <c r="T114" s="80">
        <f t="shared" si="41"/>
        <v>0</v>
      </c>
      <c r="U114" s="111">
        <v>0</v>
      </c>
      <c r="V114" s="80">
        <f t="shared" si="42"/>
        <v>0</v>
      </c>
    </row>
    <row r="115" spans="1:22" ht="12.75" customHeight="1">
      <c r="A115" s="117" t="s">
        <v>446</v>
      </c>
      <c r="B115" s="41"/>
      <c r="C115" s="112">
        <v>0</v>
      </c>
      <c r="D115" s="80">
        <f t="shared" si="33"/>
        <v>0</v>
      </c>
      <c r="E115" s="112">
        <v>0</v>
      </c>
      <c r="F115" s="80">
        <f t="shared" si="34"/>
        <v>0</v>
      </c>
      <c r="G115" s="112">
        <v>0</v>
      </c>
      <c r="H115" s="80">
        <f t="shared" si="35"/>
        <v>0</v>
      </c>
      <c r="I115" s="112">
        <v>0</v>
      </c>
      <c r="J115" s="80">
        <f t="shared" si="36"/>
        <v>0</v>
      </c>
      <c r="K115" s="112">
        <v>0</v>
      </c>
      <c r="L115" s="80">
        <f t="shared" si="37"/>
        <v>0</v>
      </c>
      <c r="M115" s="112">
        <v>0</v>
      </c>
      <c r="N115" s="80">
        <f t="shared" si="38"/>
        <v>0</v>
      </c>
      <c r="O115" s="112">
        <v>0</v>
      </c>
      <c r="P115" s="80">
        <f t="shared" si="39"/>
        <v>0</v>
      </c>
      <c r="Q115" s="112">
        <v>0</v>
      </c>
      <c r="R115" s="80">
        <f t="shared" si="40"/>
        <v>0</v>
      </c>
      <c r="S115" s="112">
        <v>0</v>
      </c>
      <c r="T115" s="80">
        <f t="shared" si="41"/>
        <v>0</v>
      </c>
      <c r="U115" s="112">
        <v>0</v>
      </c>
      <c r="V115" s="80">
        <f t="shared" si="42"/>
        <v>0</v>
      </c>
    </row>
    <row r="116" spans="1:22" ht="12.75" customHeight="1">
      <c r="A116" s="40" t="s">
        <v>451</v>
      </c>
      <c r="B116" s="42"/>
      <c r="C116" s="85">
        <f>SUM(C111:C115)</f>
        <v>0</v>
      </c>
      <c r="D116" s="83">
        <f t="shared" si="33"/>
        <v>0</v>
      </c>
      <c r="E116" s="85">
        <f>SUM(E111:E115)</f>
        <v>0</v>
      </c>
      <c r="F116" s="83">
        <f t="shared" si="34"/>
        <v>0</v>
      </c>
      <c r="G116" s="85">
        <f>SUM(G111:G115)</f>
        <v>0</v>
      </c>
      <c r="H116" s="83">
        <f t="shared" si="35"/>
        <v>0</v>
      </c>
      <c r="I116" s="85">
        <f>SUM(I111:I115)</f>
        <v>0</v>
      </c>
      <c r="J116" s="83">
        <f t="shared" si="36"/>
        <v>0</v>
      </c>
      <c r="K116" s="85">
        <f>SUM(K111:K115)</f>
        <v>0</v>
      </c>
      <c r="L116" s="83">
        <f t="shared" si="37"/>
        <v>0</v>
      </c>
      <c r="M116" s="85">
        <f>SUM(M111:M115)</f>
        <v>0</v>
      </c>
      <c r="N116" s="83">
        <f t="shared" si="38"/>
        <v>0</v>
      </c>
      <c r="O116" s="85">
        <f>SUM(O111:O115)</f>
        <v>0</v>
      </c>
      <c r="P116" s="83">
        <f t="shared" si="39"/>
        <v>0</v>
      </c>
      <c r="Q116" s="85">
        <f>SUM(Q111:Q115)</f>
        <v>0</v>
      </c>
      <c r="R116" s="83">
        <f t="shared" si="40"/>
        <v>0</v>
      </c>
      <c r="S116" s="85">
        <f>SUM(S111:S115)</f>
        <v>0</v>
      </c>
      <c r="T116" s="83">
        <f t="shared" si="41"/>
        <v>0</v>
      </c>
      <c r="U116" s="85">
        <f>SUM(U111:U115)</f>
        <v>0</v>
      </c>
      <c r="V116" s="83">
        <f t="shared" si="42"/>
        <v>0</v>
      </c>
    </row>
    <row r="118" spans="1:22" ht="12.75" customHeight="1">
      <c r="A118" s="43" t="s">
        <v>452</v>
      </c>
      <c r="B118" s="43"/>
    </row>
    <row r="119" spans="1:22" ht="12.75" customHeight="1">
      <c r="A119" s="47" t="s">
        <v>453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7" tint="0.59999389629810485"/>
  </sheetPr>
  <dimension ref="A1:X119"/>
  <sheetViews>
    <sheetView topLeftCell="A9" zoomScale="70" zoomScaleNormal="70" workbookViewId="0" xr3:uid="{94BC7849-1D55-59FD-A4A3-F33B65D9F6CB}">
      <selection activeCell="W59" sqref="W59"/>
    </sheetView>
  </sheetViews>
  <sheetFormatPr defaultColWidth="9.140625" defaultRowHeight="12.75" customHeight="1"/>
  <cols>
    <col min="1" max="1" width="9.5703125" style="2" customWidth="1"/>
    <col min="2" max="2" width="39.7109375" style="2" customWidth="1"/>
    <col min="3" max="3" width="12.7109375" style="2" customWidth="1"/>
    <col min="4" max="4" width="8.7109375" style="2" customWidth="1"/>
    <col min="5" max="5" width="14" style="2" customWidth="1"/>
    <col min="6" max="6" width="8.7109375" style="2" customWidth="1"/>
    <col min="7" max="7" width="12.710937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4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4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4.855468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355</v>
      </c>
      <c r="G2" s="33" t="s">
        <v>327</v>
      </c>
      <c r="H2" s="34"/>
      <c r="I2" s="34"/>
      <c r="V2" s="32"/>
    </row>
    <row r="3" spans="1:22" ht="12.75" customHeight="1">
      <c r="A3" s="1" t="s">
        <v>357</v>
      </c>
      <c r="D3" s="118" t="s">
        <v>358</v>
      </c>
      <c r="G3" s="115" t="str">
        <f>+G2</f>
        <v>Panda Express (Mango)</v>
      </c>
      <c r="H3" s="116"/>
      <c r="I3" s="116"/>
      <c r="V3" s="32"/>
    </row>
    <row r="4" spans="1:22" ht="12.75" customHeight="1">
      <c r="A4" s="1" t="s">
        <v>359</v>
      </c>
      <c r="B4" s="109" t="s">
        <v>221</v>
      </c>
      <c r="D4" s="118" t="s">
        <v>360</v>
      </c>
      <c r="G4" s="115" t="s">
        <v>65</v>
      </c>
      <c r="H4" s="116"/>
      <c r="I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361</v>
      </c>
      <c r="B7" s="1"/>
    </row>
    <row r="8" spans="1:22" ht="12.75" customHeight="1">
      <c r="A8" s="2" t="s">
        <v>362</v>
      </c>
      <c r="C8" s="109">
        <v>285</v>
      </c>
      <c r="E8" s="109">
        <f>+C8</f>
        <v>285</v>
      </c>
      <c r="G8" s="109">
        <f>+E8</f>
        <v>285</v>
      </c>
      <c r="I8" s="109">
        <f>+G8</f>
        <v>285</v>
      </c>
      <c r="K8" s="109">
        <f>+I8</f>
        <v>285</v>
      </c>
      <c r="M8" s="109">
        <f>+K8</f>
        <v>285</v>
      </c>
      <c r="O8" s="109">
        <f>+M8</f>
        <v>285</v>
      </c>
      <c r="Q8" s="109">
        <f>+O8</f>
        <v>285</v>
      </c>
      <c r="S8" s="109">
        <f>+Q8</f>
        <v>285</v>
      </c>
      <c r="U8" s="109">
        <f>+S8</f>
        <v>285</v>
      </c>
    </row>
    <row r="10" spans="1:22" ht="12.75" customHeight="1">
      <c r="A10" s="2" t="s">
        <v>462</v>
      </c>
      <c r="C10" s="201">
        <f>+C14/C8/C12</f>
        <v>687.19999999999993</v>
      </c>
      <c r="D10" s="202"/>
      <c r="E10" s="201">
        <f>+E14/E8/E12</f>
        <v>813.76702328809745</v>
      </c>
      <c r="F10" s="202"/>
      <c r="G10" s="201">
        <f>+G14/G8/G12</f>
        <v>842.86803966437833</v>
      </c>
      <c r="H10" s="202"/>
      <c r="I10" s="201">
        <f>+I14/I8/I12</f>
        <v>873.02423853951518</v>
      </c>
      <c r="J10" s="202"/>
      <c r="K10" s="201">
        <f>+K14/K8/K12</f>
        <v>896.78793474915358</v>
      </c>
      <c r="L10" s="202"/>
      <c r="M10" s="201">
        <f>+M14/M8/M12</f>
        <v>919.96700999811355</v>
      </c>
      <c r="N10" s="202"/>
      <c r="O10" s="201">
        <f>+O14/O8/O12</f>
        <v>943.76053427276372</v>
      </c>
      <c r="P10" s="202"/>
      <c r="Q10" s="201">
        <f>+Q14/Q8/Q12</f>
        <v>968.18505689974279</v>
      </c>
      <c r="R10" s="202"/>
      <c r="S10" s="201">
        <f>+S14/S8/S12</f>
        <v>994.57839954129167</v>
      </c>
      <c r="T10" s="202"/>
      <c r="U10" s="201">
        <f>+U14/U8/U12</f>
        <v>1021.335851794911</v>
      </c>
      <c r="V10" s="202"/>
    </row>
    <row r="12" spans="1:22" ht="12.75" customHeight="1">
      <c r="A12" s="2" t="s">
        <v>463</v>
      </c>
      <c r="C12" s="110">
        <v>7.29</v>
      </c>
      <c r="E12" s="110">
        <v>7.33</v>
      </c>
      <c r="G12" s="110">
        <v>7.36</v>
      </c>
      <c r="I12" s="110">
        <v>7.39</v>
      </c>
      <c r="K12" s="110">
        <v>7.41</v>
      </c>
      <c r="M12" s="110">
        <v>7.44</v>
      </c>
      <c r="O12" s="110">
        <v>7.47</v>
      </c>
      <c r="Q12" s="110">
        <v>7.5</v>
      </c>
      <c r="S12" s="110">
        <v>7.52</v>
      </c>
      <c r="U12" s="110">
        <v>7.55</v>
      </c>
    </row>
    <row r="14" spans="1:22" ht="12.75" customHeight="1">
      <c r="A14" s="2" t="s">
        <v>464</v>
      </c>
      <c r="C14" s="198">
        <v>1427761.0799999998</v>
      </c>
      <c r="D14" s="12"/>
      <c r="E14" s="198">
        <v>1700000</v>
      </c>
      <c r="F14" s="12"/>
      <c r="G14" s="198">
        <f>+E14*1.04</f>
        <v>1768000</v>
      </c>
      <c r="H14" s="12"/>
      <c r="I14" s="198">
        <f>+G14*1.04</f>
        <v>1838720</v>
      </c>
      <c r="J14" s="12"/>
      <c r="K14" s="198">
        <f>+I14*1.03</f>
        <v>1893881.6</v>
      </c>
      <c r="L14" s="12"/>
      <c r="M14" s="198">
        <f>+K14*1.03</f>
        <v>1950698.0480000002</v>
      </c>
      <c r="N14" s="12"/>
      <c r="O14" s="198">
        <f>+M14*1.03</f>
        <v>2009218.9894400002</v>
      </c>
      <c r="P14" s="12"/>
      <c r="Q14" s="198">
        <f>+O14*1.03</f>
        <v>2069495.5591232001</v>
      </c>
      <c r="R14" s="12"/>
      <c r="S14" s="198">
        <f>+Q14*1.03</f>
        <v>2131580.425896896</v>
      </c>
      <c r="T14" s="12"/>
      <c r="U14" s="198">
        <f>+S14*1.031</f>
        <v>2197659.4190996997</v>
      </c>
      <c r="V14" s="12"/>
    </row>
    <row r="15" spans="1:22" ht="12.75" customHeight="1">
      <c r="A15" s="39">
        <v>0.05</v>
      </c>
    </row>
    <row r="16" spans="1:22" ht="12.75" customHeight="1">
      <c r="B16" s="35"/>
      <c r="C16" s="86" t="str">
        <f>C6</f>
        <v>FY 2018-19</v>
      </c>
      <c r="D16" s="86" t="s">
        <v>366</v>
      </c>
      <c r="E16" s="86" t="str">
        <f>E6</f>
        <v>FY 2019-20</v>
      </c>
      <c r="F16" s="86" t="s">
        <v>366</v>
      </c>
      <c r="G16" s="86" t="str">
        <f>G6</f>
        <v>FY 2020-21</v>
      </c>
      <c r="H16" s="86" t="s">
        <v>366</v>
      </c>
      <c r="I16" s="86" t="str">
        <f>I6</f>
        <v>FY 2021-22</v>
      </c>
      <c r="J16" s="86" t="s">
        <v>366</v>
      </c>
      <c r="K16" s="86" t="str">
        <f>K6</f>
        <v>FY 2022-23</v>
      </c>
      <c r="L16" s="86" t="s">
        <v>366</v>
      </c>
      <c r="M16" s="86" t="str">
        <f>M6</f>
        <v>FY 2023-24</v>
      </c>
      <c r="N16" s="86" t="s">
        <v>366</v>
      </c>
      <c r="O16" s="86" t="str">
        <f>O6</f>
        <v>FY 2024-25</v>
      </c>
      <c r="P16" s="86" t="s">
        <v>366</v>
      </c>
      <c r="Q16" s="86" t="str">
        <f>Q6</f>
        <v>FY 2025-26</v>
      </c>
      <c r="R16" s="86" t="s">
        <v>366</v>
      </c>
      <c r="S16" s="86" t="str">
        <f>S6</f>
        <v>FY 2026-27</v>
      </c>
      <c r="T16" s="86" t="s">
        <v>366</v>
      </c>
      <c r="U16" s="86" t="str">
        <f>U6</f>
        <v>FY 2027-28</v>
      </c>
      <c r="V16" s="86" t="s">
        <v>366</v>
      </c>
    </row>
    <row r="17" spans="1:24" ht="12.75" customHeight="1">
      <c r="A17" s="1" t="s">
        <v>367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368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369</v>
      </c>
      <c r="B19" s="35"/>
      <c r="C19" s="196">
        <f>+C14-C20-C21</f>
        <v>1225304.5588559997</v>
      </c>
      <c r="D19" s="80">
        <f>IFERROR(C19/C$28,0)</f>
        <v>0.85820000000000007</v>
      </c>
      <c r="E19" s="196">
        <f>+E14-E20-E21</f>
        <v>1402500</v>
      </c>
      <c r="F19" s="80">
        <f>IFERROR(E19/E$28,0)</f>
        <v>0.82499999999999996</v>
      </c>
      <c r="G19" s="196">
        <f>+G14-G20-G21</f>
        <v>1464040</v>
      </c>
      <c r="H19" s="80">
        <f>IFERROR(G19/G$28,0)</f>
        <v>0.82807692307692304</v>
      </c>
      <c r="I19" s="196">
        <f>+I14-I20-I21</f>
        <v>1522634.24</v>
      </c>
      <c r="J19" s="80">
        <f>IFERROR(I19/I$28,0)</f>
        <v>0.828094674556213</v>
      </c>
      <c r="K19" s="196">
        <f>+K14-K20-K21</f>
        <v>1567355.3920000002</v>
      </c>
      <c r="L19" s="80">
        <f>IFERROR(K19/K$28,0)</f>
        <v>0.82758890101683225</v>
      </c>
      <c r="M19" s="196">
        <f>+M14-M20-M21</f>
        <v>1617262.5395200001</v>
      </c>
      <c r="N19" s="80">
        <f>IFERROR(M19/M$28,0)</f>
        <v>0.82906862042443585</v>
      </c>
      <c r="O19" s="196">
        <f>+O14-O20-O21</f>
        <v>1668724.6311808003</v>
      </c>
      <c r="P19" s="80">
        <f>IFERROR(O19/O$28,0)</f>
        <v>0.83053397362419867</v>
      </c>
      <c r="Q19" s="196">
        <f>+Q14-Q20-Q21</f>
        <v>1721789.469900928</v>
      </c>
      <c r="R19" s="80">
        <f>IFERROR(Q19/Q$28,0)</f>
        <v>0.8319851000938665</v>
      </c>
      <c r="S19" s="196">
        <f>+S14-S20-S21</f>
        <v>1765848.4136488694</v>
      </c>
      <c r="T19" s="80">
        <f>IFERROR(S19/S$28,0)</f>
        <v>0.8284221379570329</v>
      </c>
      <c r="U19" s="196">
        <f>+U14-U20-U21</f>
        <v>1824026.581989591</v>
      </c>
      <c r="V19" s="80">
        <f>IFERROR(U19/U$28,0)</f>
        <v>0.82998601427368912</v>
      </c>
    </row>
    <row r="20" spans="1:24" ht="12.75" customHeight="1">
      <c r="A20" s="2" t="s">
        <v>370</v>
      </c>
      <c r="B20" s="35"/>
      <c r="C20" s="111">
        <f>+C14*12.38%</f>
        <v>176756.821704</v>
      </c>
      <c r="D20" s="80">
        <f>IFERROR(C20/C$28,0)</f>
        <v>0.12380000000000004</v>
      </c>
      <c r="E20" s="111">
        <f>+E14*16%</f>
        <v>272000</v>
      </c>
      <c r="F20" s="80">
        <f>IFERROR(E20/E$28,0)</f>
        <v>0.16</v>
      </c>
      <c r="G20" s="111">
        <f t="shared" ref="G20:U20" si="0">E20*1.02</f>
        <v>277440</v>
      </c>
      <c r="H20" s="80">
        <f>IFERROR(G20/G$28,0)</f>
        <v>0.15692307692307692</v>
      </c>
      <c r="I20" s="111">
        <f t="shared" si="0"/>
        <v>282988.79999999999</v>
      </c>
      <c r="J20" s="80">
        <f>IFERROR(I20/I$28,0)</f>
        <v>0.15390532544378699</v>
      </c>
      <c r="K20" s="111">
        <f t="shared" si="0"/>
        <v>288648.576</v>
      </c>
      <c r="L20" s="80">
        <f>IFERROR(K20/K$28,0)</f>
        <v>0.15241109898316765</v>
      </c>
      <c r="M20" s="111">
        <f t="shared" si="0"/>
        <v>294421.54752000002</v>
      </c>
      <c r="N20" s="80">
        <f>IFERROR(M20/M$28,0)</f>
        <v>0.15093137957556413</v>
      </c>
      <c r="O20" s="111">
        <f t="shared" si="0"/>
        <v>300309.97847040003</v>
      </c>
      <c r="P20" s="80">
        <f>IFERROR(O20/O$28,0)</f>
        <v>0.14946602637580136</v>
      </c>
      <c r="Q20" s="111">
        <f t="shared" si="0"/>
        <v>306316.17803980806</v>
      </c>
      <c r="R20" s="80">
        <f>IFERROR(Q20/Q$28,0)</f>
        <v>0.1480148999061334</v>
      </c>
      <c r="S20" s="111">
        <f t="shared" si="0"/>
        <v>312442.50160060421</v>
      </c>
      <c r="T20" s="80">
        <f>IFERROR(S20/S$28,0)</f>
        <v>0.14657786204296708</v>
      </c>
      <c r="U20" s="111">
        <f t="shared" si="0"/>
        <v>318691.35163261631</v>
      </c>
      <c r="V20" s="80">
        <f>IFERROR(U20/U$28,0)</f>
        <v>0.14501398572631075</v>
      </c>
    </row>
    <row r="21" spans="1:24" ht="12.75" customHeight="1">
      <c r="A21" s="186" t="s">
        <v>371</v>
      </c>
      <c r="B21" s="195"/>
      <c r="C21" s="111">
        <f>+C14*0.018</f>
        <v>25699.699439999997</v>
      </c>
      <c r="D21" s="80">
        <f>IFERROR(C21/C$28,0)</f>
        <v>1.8000000000000002E-2</v>
      </c>
      <c r="E21" s="111">
        <f>+E14*0.015</f>
        <v>25500</v>
      </c>
      <c r="F21" s="80">
        <f>IFERROR(E21/E$28,0)</f>
        <v>1.4999999999999999E-2</v>
      </c>
      <c r="G21" s="111">
        <f>+G14*0.015</f>
        <v>26520</v>
      </c>
      <c r="H21" s="80">
        <f>IFERROR(G21/G$28,0)</f>
        <v>1.4999999999999999E-2</v>
      </c>
      <c r="I21" s="111">
        <f>+I14*0.018</f>
        <v>33096.959999999999</v>
      </c>
      <c r="J21" s="80">
        <f>IFERROR(I21/I$28,0)</f>
        <v>1.7999999999999999E-2</v>
      </c>
      <c r="K21" s="111">
        <f>+K14*0.02</f>
        <v>37877.632000000005</v>
      </c>
      <c r="L21" s="80">
        <f>IFERROR(K21/K$28,0)</f>
        <v>0.02</v>
      </c>
      <c r="M21" s="111">
        <f>+M14*0.02</f>
        <v>39013.960960000004</v>
      </c>
      <c r="N21" s="80">
        <f>IFERROR(M21/M$28,0)</f>
        <v>0.02</v>
      </c>
      <c r="O21" s="111">
        <f>+O14*0.02</f>
        <v>40184.379788800004</v>
      </c>
      <c r="P21" s="80">
        <f>IFERROR(O21/O$28,0)</f>
        <v>0.02</v>
      </c>
      <c r="Q21" s="111">
        <f>+Q14*0.02</f>
        <v>41389.911182464006</v>
      </c>
      <c r="R21" s="80">
        <f>IFERROR(Q21/Q$28,0)</f>
        <v>0.02</v>
      </c>
      <c r="S21" s="111">
        <f>+S14*0.025</f>
        <v>53289.510647422401</v>
      </c>
      <c r="T21" s="80">
        <f>IFERROR(S21/S$28,0)</f>
        <v>2.5000000000000001E-2</v>
      </c>
      <c r="U21" s="111">
        <f>+U14*0.025</f>
        <v>54941.485477492497</v>
      </c>
      <c r="V21" s="80">
        <f>IFERROR(U21/U$28,0)</f>
        <v>2.4999999999999998E-2</v>
      </c>
    </row>
    <row r="22" spans="1:24" ht="12.75" customHeight="1">
      <c r="A22" s="2" t="s">
        <v>372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373</v>
      </c>
      <c r="B23" s="123"/>
      <c r="C23" s="79"/>
      <c r="D23" s="80">
        <f t="shared" ref="D23:D28" si="1">IFERROR(C23/C$28,0)</f>
        <v>0</v>
      </c>
      <c r="E23" s="79"/>
      <c r="F23" s="80">
        <f t="shared" ref="F23:F28" si="2">IFERROR(E23/E$28,0)</f>
        <v>0</v>
      </c>
      <c r="G23" s="79"/>
      <c r="H23" s="80">
        <f t="shared" ref="H23:H28" si="3">IFERROR(G23/G$28,0)</f>
        <v>0</v>
      </c>
      <c r="I23" s="79"/>
      <c r="J23" s="80">
        <f t="shared" ref="J23:J28" si="4">IFERROR(I23/I$28,0)</f>
        <v>0</v>
      </c>
      <c r="K23" s="79"/>
      <c r="L23" s="80">
        <f t="shared" ref="L23:L28" si="5">IFERROR(K23/K$28,0)</f>
        <v>0</v>
      </c>
      <c r="M23" s="79"/>
      <c r="N23" s="80">
        <f t="shared" ref="N23:N28" si="6">IFERROR(M23/M$28,0)</f>
        <v>0</v>
      </c>
      <c r="O23" s="79"/>
      <c r="P23" s="80">
        <f t="shared" ref="P23:P28" si="7">IFERROR(O23/O$28,0)</f>
        <v>0</v>
      </c>
      <c r="Q23" s="79"/>
      <c r="R23" s="80">
        <f t="shared" ref="R23:R28" si="8">IFERROR(Q23/Q$28,0)</f>
        <v>0</v>
      </c>
      <c r="S23" s="79"/>
      <c r="T23" s="80">
        <f t="shared" ref="T23:T28" si="9">IFERROR(S23/S$28,0)</f>
        <v>0</v>
      </c>
      <c r="U23" s="79"/>
      <c r="V23" s="80">
        <f t="shared" ref="V23:V28" si="10">IFERROR(U23/U$28,0)</f>
        <v>0</v>
      </c>
    </row>
    <row r="24" spans="1:24" ht="12.75" customHeight="1">
      <c r="A24" s="122" t="s">
        <v>374</v>
      </c>
      <c r="B24" s="123"/>
      <c r="C24" s="79"/>
      <c r="D24" s="80">
        <f t="shared" si="1"/>
        <v>0</v>
      </c>
      <c r="E24" s="79"/>
      <c r="F24" s="80">
        <f t="shared" si="2"/>
        <v>0</v>
      </c>
      <c r="G24" s="79"/>
      <c r="H24" s="80">
        <f t="shared" si="3"/>
        <v>0</v>
      </c>
      <c r="I24" s="79"/>
      <c r="J24" s="80">
        <f t="shared" si="4"/>
        <v>0</v>
      </c>
      <c r="K24" s="79"/>
      <c r="L24" s="80">
        <f t="shared" si="5"/>
        <v>0</v>
      </c>
      <c r="M24" s="79"/>
      <c r="N24" s="80">
        <f t="shared" si="6"/>
        <v>0</v>
      </c>
      <c r="O24" s="79"/>
      <c r="P24" s="80">
        <f t="shared" si="7"/>
        <v>0</v>
      </c>
      <c r="Q24" s="79"/>
      <c r="R24" s="80">
        <f t="shared" si="8"/>
        <v>0</v>
      </c>
      <c r="S24" s="79"/>
      <c r="T24" s="80">
        <f t="shared" si="9"/>
        <v>0</v>
      </c>
      <c r="U24" s="79"/>
      <c r="V24" s="80">
        <f t="shared" si="10"/>
        <v>0</v>
      </c>
      <c r="X24" s="79"/>
    </row>
    <row r="25" spans="1:24" ht="12.75" customHeight="1">
      <c r="A25" s="2" t="s">
        <v>375</v>
      </c>
      <c r="B25" s="35"/>
      <c r="C25" s="111"/>
      <c r="D25" s="80">
        <f t="shared" si="1"/>
        <v>0</v>
      </c>
      <c r="E25" s="111"/>
      <c r="F25" s="80">
        <f t="shared" si="2"/>
        <v>0</v>
      </c>
      <c r="G25" s="111"/>
      <c r="H25" s="80">
        <f t="shared" si="3"/>
        <v>0</v>
      </c>
      <c r="I25" s="111"/>
      <c r="J25" s="80">
        <f t="shared" si="4"/>
        <v>0</v>
      </c>
      <c r="K25" s="111"/>
      <c r="L25" s="80">
        <f t="shared" si="5"/>
        <v>0</v>
      </c>
      <c r="M25" s="111"/>
      <c r="N25" s="80">
        <f t="shared" si="6"/>
        <v>0</v>
      </c>
      <c r="O25" s="111"/>
      <c r="P25" s="80">
        <f t="shared" si="7"/>
        <v>0</v>
      </c>
      <c r="Q25" s="111"/>
      <c r="R25" s="80">
        <f t="shared" si="8"/>
        <v>0</v>
      </c>
      <c r="S25" s="111"/>
      <c r="T25" s="80">
        <f t="shared" si="9"/>
        <v>0</v>
      </c>
      <c r="U25" s="111"/>
      <c r="V25" s="80">
        <f t="shared" si="10"/>
        <v>0</v>
      </c>
      <c r="X25" s="79"/>
    </row>
    <row r="26" spans="1:24" ht="12.75" customHeight="1">
      <c r="A26" s="122" t="s">
        <v>376</v>
      </c>
      <c r="B26" s="35"/>
      <c r="C26" s="79"/>
      <c r="D26" s="80">
        <f t="shared" si="1"/>
        <v>0</v>
      </c>
      <c r="E26" s="79"/>
      <c r="F26" s="80">
        <f t="shared" si="2"/>
        <v>0</v>
      </c>
      <c r="G26" s="79"/>
      <c r="H26" s="80">
        <f t="shared" si="3"/>
        <v>0</v>
      </c>
      <c r="I26" s="79"/>
      <c r="J26" s="80">
        <f t="shared" si="4"/>
        <v>0</v>
      </c>
      <c r="K26" s="79"/>
      <c r="L26" s="80">
        <f t="shared" si="5"/>
        <v>0</v>
      </c>
      <c r="M26" s="79"/>
      <c r="N26" s="80">
        <f t="shared" si="6"/>
        <v>0</v>
      </c>
      <c r="O26" s="79"/>
      <c r="P26" s="80">
        <f t="shared" si="7"/>
        <v>0</v>
      </c>
      <c r="Q26" s="79"/>
      <c r="R26" s="80">
        <f t="shared" si="8"/>
        <v>0</v>
      </c>
      <c r="S26" s="79"/>
      <c r="T26" s="80">
        <f t="shared" si="9"/>
        <v>0</v>
      </c>
      <c r="U26" s="79"/>
      <c r="V26" s="80">
        <f t="shared" si="10"/>
        <v>0</v>
      </c>
    </row>
    <row r="27" spans="1:24" ht="12.75" customHeight="1">
      <c r="A27" s="2" t="s">
        <v>377</v>
      </c>
      <c r="B27" s="35"/>
      <c r="C27" s="112"/>
      <c r="D27" s="80">
        <f t="shared" si="1"/>
        <v>0</v>
      </c>
      <c r="E27" s="112"/>
      <c r="F27" s="80">
        <f t="shared" si="2"/>
        <v>0</v>
      </c>
      <c r="G27" s="112"/>
      <c r="H27" s="80">
        <f t="shared" si="3"/>
        <v>0</v>
      </c>
      <c r="I27" s="112"/>
      <c r="J27" s="80">
        <f t="shared" si="4"/>
        <v>0</v>
      </c>
      <c r="K27" s="112"/>
      <c r="L27" s="80">
        <f t="shared" si="5"/>
        <v>0</v>
      </c>
      <c r="M27" s="112"/>
      <c r="N27" s="80">
        <f t="shared" si="6"/>
        <v>0</v>
      </c>
      <c r="O27" s="112"/>
      <c r="P27" s="80">
        <f t="shared" si="7"/>
        <v>0</v>
      </c>
      <c r="Q27" s="112"/>
      <c r="R27" s="80">
        <f t="shared" si="8"/>
        <v>0</v>
      </c>
      <c r="S27" s="112"/>
      <c r="T27" s="80">
        <f t="shared" si="9"/>
        <v>0</v>
      </c>
      <c r="U27" s="112"/>
      <c r="V27" s="80">
        <f t="shared" si="10"/>
        <v>0</v>
      </c>
    </row>
    <row r="28" spans="1:24" ht="12.75" customHeight="1">
      <c r="A28" s="1" t="s">
        <v>378</v>
      </c>
      <c r="B28" s="53"/>
      <c r="C28" s="82">
        <f>SUM(C19:C27)</f>
        <v>1427761.0799999996</v>
      </c>
      <c r="D28" s="83">
        <f t="shared" si="1"/>
        <v>1</v>
      </c>
      <c r="E28" s="82">
        <f>SUM(E19:E27)</f>
        <v>1700000</v>
      </c>
      <c r="F28" s="83">
        <f t="shared" si="2"/>
        <v>1</v>
      </c>
      <c r="G28" s="82">
        <f>SUM(G19:G27)</f>
        <v>1768000</v>
      </c>
      <c r="H28" s="83">
        <f t="shared" si="3"/>
        <v>1</v>
      </c>
      <c r="I28" s="82">
        <f>SUM(I19:I27)</f>
        <v>1838720</v>
      </c>
      <c r="J28" s="83">
        <f t="shared" si="4"/>
        <v>1</v>
      </c>
      <c r="K28" s="82">
        <f>SUM(K19:K27)</f>
        <v>1893881.6000000003</v>
      </c>
      <c r="L28" s="83">
        <f t="shared" si="5"/>
        <v>1</v>
      </c>
      <c r="M28" s="82">
        <f>SUM(M19:M27)</f>
        <v>1950698.0480000002</v>
      </c>
      <c r="N28" s="83">
        <f t="shared" si="6"/>
        <v>1</v>
      </c>
      <c r="O28" s="82">
        <f>SUM(O19:O27)</f>
        <v>2009218.9894400002</v>
      </c>
      <c r="P28" s="83">
        <f t="shared" si="7"/>
        <v>1</v>
      </c>
      <c r="Q28" s="82">
        <f>SUM(Q19:Q27)</f>
        <v>2069495.5591232001</v>
      </c>
      <c r="R28" s="83">
        <f t="shared" si="8"/>
        <v>1</v>
      </c>
      <c r="S28" s="82">
        <f>SUM(S19:S27)</f>
        <v>2131580.425896896</v>
      </c>
      <c r="T28" s="83">
        <f t="shared" si="9"/>
        <v>1</v>
      </c>
      <c r="U28" s="82">
        <f>SUM(U19:U27)</f>
        <v>2197659.4190997002</v>
      </c>
      <c r="V28" s="83">
        <f t="shared" si="10"/>
        <v>1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379</v>
      </c>
      <c r="B30" s="53"/>
      <c r="C30" s="197">
        <v>0.33</v>
      </c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380</v>
      </c>
      <c r="B31" s="35"/>
      <c r="C31" s="178">
        <f>$C$30*C14</f>
        <v>471161.15639999998</v>
      </c>
      <c r="D31" s="80">
        <f>IFERROR(C31/C$28,0)</f>
        <v>0.33000000000000007</v>
      </c>
      <c r="E31" s="178">
        <f>$C$30*E14</f>
        <v>561000</v>
      </c>
      <c r="F31" s="80">
        <f>IFERROR(E31/E$28,0)</f>
        <v>0.33</v>
      </c>
      <c r="G31" s="178">
        <f>$C$30*G14</f>
        <v>583440</v>
      </c>
      <c r="H31" s="80">
        <f>IFERROR(G31/G$28,0)</f>
        <v>0.33</v>
      </c>
      <c r="I31" s="178">
        <f>$C$30*I14</f>
        <v>606777.59999999998</v>
      </c>
      <c r="J31" s="80">
        <f>IFERROR(I31/I$28,0)</f>
        <v>0.32999999999999996</v>
      </c>
      <c r="K31" s="178">
        <f>$C$30*K14</f>
        <v>624980.92800000007</v>
      </c>
      <c r="L31" s="80">
        <f>IFERROR(K31/K$28,0)</f>
        <v>0.32999999999999996</v>
      </c>
      <c r="M31" s="178">
        <f>$C$30*M14</f>
        <v>643730.35584000009</v>
      </c>
      <c r="N31" s="80">
        <f>IFERROR(M31/M$28,0)</f>
        <v>0.33</v>
      </c>
      <c r="O31" s="178">
        <f>$C$30*O14</f>
        <v>663042.26651520003</v>
      </c>
      <c r="P31" s="80">
        <f>IFERROR(O31/O$28,0)</f>
        <v>0.33</v>
      </c>
      <c r="Q31" s="178">
        <f>$C$30*Q14</f>
        <v>682933.53451065603</v>
      </c>
      <c r="R31" s="80">
        <f>IFERROR(Q31/Q$28,0)</f>
        <v>0.33</v>
      </c>
      <c r="S31" s="178">
        <f>$C$30*S14</f>
        <v>703421.54054597567</v>
      </c>
      <c r="T31" s="80">
        <f>IFERROR(S31/S$28,0)</f>
        <v>0.33</v>
      </c>
      <c r="U31" s="178">
        <f>($C$30*U14)-60000</f>
        <v>665227.60830290092</v>
      </c>
      <c r="V31" s="80">
        <f>IFERROR(U31/U$28,0)</f>
        <v>0.30269822635912352</v>
      </c>
    </row>
    <row r="32" spans="1:24" ht="12.75" customHeight="1">
      <c r="A32" s="8" t="s">
        <v>381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382</v>
      </c>
      <c r="B33" s="53"/>
      <c r="C33" s="82">
        <f>SUM(C31:C32)</f>
        <v>471161.15639999998</v>
      </c>
      <c r="D33" s="83">
        <f>IFERROR(C33/C$28,0)</f>
        <v>0.33000000000000007</v>
      </c>
      <c r="E33" s="82">
        <f>SUM(E31:E32)</f>
        <v>561000</v>
      </c>
      <c r="F33" s="83">
        <f>IFERROR(E33/E$28,0)</f>
        <v>0.33</v>
      </c>
      <c r="G33" s="82">
        <f>SUM(G31:G32)</f>
        <v>583440</v>
      </c>
      <c r="H33" s="83">
        <f>IFERROR(G33/G$28,0)</f>
        <v>0.33</v>
      </c>
      <c r="I33" s="82">
        <f>SUM(I31:I32)</f>
        <v>606777.59999999998</v>
      </c>
      <c r="J33" s="83">
        <f>IFERROR(I33/I$28,0)</f>
        <v>0.32999999999999996</v>
      </c>
      <c r="K33" s="82">
        <f>SUM(K31:K32)</f>
        <v>624980.92800000007</v>
      </c>
      <c r="L33" s="83">
        <f>IFERROR(K33/K$28,0)</f>
        <v>0.32999999999999996</v>
      </c>
      <c r="M33" s="82">
        <f>SUM(M31:M32)</f>
        <v>643730.35584000009</v>
      </c>
      <c r="N33" s="83">
        <f>IFERROR(M33/M$28,0)</f>
        <v>0.33</v>
      </c>
      <c r="O33" s="82">
        <f>SUM(O31:O32)</f>
        <v>663042.26651520003</v>
      </c>
      <c r="P33" s="83">
        <f>IFERROR(O33/O$28,0)</f>
        <v>0.33</v>
      </c>
      <c r="Q33" s="82">
        <f>SUM(Q31:Q32)</f>
        <v>682933.53451065603</v>
      </c>
      <c r="R33" s="83">
        <f>IFERROR(Q33/Q$28,0)</f>
        <v>0.33</v>
      </c>
      <c r="S33" s="82">
        <f>SUM(S31:S32)</f>
        <v>703421.54054597567</v>
      </c>
      <c r="T33" s="83">
        <f>IFERROR(S33/S$28,0)</f>
        <v>0.33</v>
      </c>
      <c r="U33" s="82">
        <f>SUM(U31:U32)</f>
        <v>665227.60830290092</v>
      </c>
      <c r="V33" s="83">
        <f>IFERROR(U33/U$28,0)</f>
        <v>0.30269822635912352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383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384</v>
      </c>
      <c r="B36" s="35"/>
      <c r="C36" s="178">
        <v>55789</v>
      </c>
      <c r="D36" s="80">
        <f t="shared" ref="D36:D46" si="11">IFERROR(C36/C$28,0)</f>
        <v>3.9074464755685885E-2</v>
      </c>
      <c r="E36" s="178">
        <f>+C36*1.025</f>
        <v>57183.724999999999</v>
      </c>
      <c r="F36" s="80">
        <f t="shared" ref="F36:F46" si="12">IFERROR(E36/E$28,0)</f>
        <v>3.3637485294117649E-2</v>
      </c>
      <c r="G36" s="178">
        <f>+E36*1.025</f>
        <v>58613.318124999991</v>
      </c>
      <c r="H36" s="80">
        <f t="shared" ref="H36:H46" si="13">IFERROR(G36/G$28,0)</f>
        <v>3.3152329256221712E-2</v>
      </c>
      <c r="I36" s="178">
        <f>+G36*1.025</f>
        <v>60078.651078124982</v>
      </c>
      <c r="J36" s="80">
        <f t="shared" ref="J36:J46" si="14">IFERROR(I36/I$28,0)</f>
        <v>3.2674170661180051E-2</v>
      </c>
      <c r="K36" s="178">
        <f>+I36*1.025</f>
        <v>61580.617355078102</v>
      </c>
      <c r="L36" s="80">
        <f t="shared" ref="L36:L46" si="15">IFERROR(K36/K$28,0)</f>
        <v>3.2515558182242277E-2</v>
      </c>
      <c r="M36" s="178">
        <f>+K36*1.025</f>
        <v>63120.132788955052</v>
      </c>
      <c r="N36" s="80">
        <f t="shared" ref="N36:N46" si="16">IFERROR(M36/M$28,0)</f>
        <v>3.2357715666794497E-2</v>
      </c>
      <c r="O36" s="178">
        <f>+M36*1.025</f>
        <v>64698.136108678926</v>
      </c>
      <c r="P36" s="80">
        <f t="shared" ref="P36:P46" si="17">IFERROR(O36/O$28,0)</f>
        <v>3.2200639377149863E-2</v>
      </c>
      <c r="Q36" s="178">
        <f>+O36*1.025</f>
        <v>66315.589511395898</v>
      </c>
      <c r="R36" s="80">
        <f t="shared" ref="R36:R46" si="18">IFERROR(Q36/Q$28,0)</f>
        <v>3.2044325593765639E-2</v>
      </c>
      <c r="S36" s="178">
        <f>+Q36*1.02</f>
        <v>67641.901301623817</v>
      </c>
      <c r="T36" s="80">
        <f t="shared" ref="T36:T46" si="19">IFERROR(S36/S$28,0)</f>
        <v>3.1733215636544618E-2</v>
      </c>
      <c r="U36" s="178">
        <f>+S36*1.025</f>
        <v>69332.948834164403</v>
      </c>
      <c r="V36" s="80">
        <f t="shared" ref="V36:V46" si="20">IFERROR(U36/U$28,0)</f>
        <v>3.1548541248747064E-2</v>
      </c>
    </row>
    <row r="37" spans="1:22" ht="12.75" customHeight="1">
      <c r="A37" s="2" t="s">
        <v>385</v>
      </c>
      <c r="B37" s="35"/>
      <c r="C37" s="178">
        <v>188361</v>
      </c>
      <c r="D37" s="80">
        <f t="shared" si="11"/>
        <v>0.13192753510272184</v>
      </c>
      <c r="E37" s="178">
        <f>+C37*1.1</f>
        <v>207197.1</v>
      </c>
      <c r="F37" s="80">
        <f t="shared" si="12"/>
        <v>0.12188064705882354</v>
      </c>
      <c r="G37" s="178">
        <f>+E37*1.035</f>
        <v>214448.99849999999</v>
      </c>
      <c r="H37" s="80">
        <f t="shared" si="13"/>
        <v>0.12129468240950225</v>
      </c>
      <c r="I37" s="178">
        <f>+G37*1.032</f>
        <v>221311.36645199999</v>
      </c>
      <c r="J37" s="80">
        <f t="shared" si="14"/>
        <v>0.12036164639096762</v>
      </c>
      <c r="K37" s="178">
        <f>+I37*1.02</f>
        <v>225737.59378103999</v>
      </c>
      <c r="L37" s="80">
        <f t="shared" si="15"/>
        <v>0.11919308671726889</v>
      </c>
      <c r="M37" s="178">
        <f>+K37*1.025</f>
        <v>231381.03362556596</v>
      </c>
      <c r="N37" s="80">
        <f t="shared" si="16"/>
        <v>0.11861447950019477</v>
      </c>
      <c r="O37" s="178">
        <f>+M37*1.025</f>
        <v>237165.5594662051</v>
      </c>
      <c r="P37" s="80">
        <f t="shared" si="17"/>
        <v>0.11803868105601906</v>
      </c>
      <c r="Q37" s="178">
        <f>+O37*1.025</f>
        <v>243094.6984528602</v>
      </c>
      <c r="R37" s="80">
        <f t="shared" si="18"/>
        <v>0.11746567774992187</v>
      </c>
      <c r="S37" s="178">
        <f>+Q37*1.02</f>
        <v>247956.59242191742</v>
      </c>
      <c r="T37" s="80">
        <f t="shared" si="19"/>
        <v>0.11632523427662167</v>
      </c>
      <c r="U37" s="178">
        <f>+S37*1.025</f>
        <v>254155.50723246534</v>
      </c>
      <c r="V37" s="80">
        <f t="shared" si="20"/>
        <v>0.11564826880071502</v>
      </c>
    </row>
    <row r="38" spans="1:22" ht="12.75" customHeight="1">
      <c r="A38" s="2" t="s">
        <v>386</v>
      </c>
      <c r="B38" s="35"/>
      <c r="C38" s="178">
        <v>20275</v>
      </c>
      <c r="D38" s="80">
        <f t="shared" si="11"/>
        <v>1.4200555179722371E-2</v>
      </c>
      <c r="E38" s="178">
        <f>+C38*1.11</f>
        <v>22505.250000000004</v>
      </c>
      <c r="F38" s="80">
        <f t="shared" si="12"/>
        <v>1.3238382352941178E-2</v>
      </c>
      <c r="G38" s="178">
        <f>+E38*1.035</f>
        <v>23292.933750000004</v>
      </c>
      <c r="H38" s="80">
        <f t="shared" si="13"/>
        <v>1.3174736283936653E-2</v>
      </c>
      <c r="I38" s="178">
        <f>+G38*1.032</f>
        <v>24038.307630000003</v>
      </c>
      <c r="J38" s="80">
        <f t="shared" si="14"/>
        <v>1.3073392158675602E-2</v>
      </c>
      <c r="K38" s="178">
        <f>+I38*1.02</f>
        <v>24519.073782600004</v>
      </c>
      <c r="L38" s="80">
        <f t="shared" si="15"/>
        <v>1.294646602121273E-2</v>
      </c>
      <c r="M38" s="178">
        <f>+K38*1.025</f>
        <v>25132.050627165001</v>
      </c>
      <c r="N38" s="80">
        <f t="shared" si="16"/>
        <v>1.2883619098779659E-2</v>
      </c>
      <c r="O38" s="178">
        <f>+M38*1.025</f>
        <v>25760.351892844123</v>
      </c>
      <c r="P38" s="80">
        <f t="shared" si="17"/>
        <v>1.2821077258494318E-2</v>
      </c>
      <c r="Q38" s="178">
        <f>+O38*1.025</f>
        <v>26404.360690165224</v>
      </c>
      <c r="R38" s="80">
        <f t="shared" si="18"/>
        <v>1.2758839019375414E-2</v>
      </c>
      <c r="S38" s="178">
        <f>+Q38*1.02</f>
        <v>26932.447903968528</v>
      </c>
      <c r="T38" s="80">
        <f t="shared" si="19"/>
        <v>1.2634966795886332E-2</v>
      </c>
      <c r="U38" s="178">
        <f>+S38*1.025</f>
        <v>27605.759101567739</v>
      </c>
      <c r="V38" s="80">
        <f t="shared" si="20"/>
        <v>1.2561436436259444E-2</v>
      </c>
    </row>
    <row r="39" spans="1:22" ht="12.75" customHeight="1">
      <c r="A39" s="2" t="s">
        <v>387</v>
      </c>
      <c r="B39" s="35"/>
      <c r="C39" s="178">
        <v>36509</v>
      </c>
      <c r="D39" s="80">
        <f t="shared" si="11"/>
        <v>2.5570804885646562E-2</v>
      </c>
      <c r="E39" s="178">
        <f>+C39*1.11</f>
        <v>40524.990000000005</v>
      </c>
      <c r="F39" s="80">
        <f t="shared" si="12"/>
        <v>2.3838229411764708E-2</v>
      </c>
      <c r="G39" s="178">
        <f>+E39*1.035</f>
        <v>41943.364650000003</v>
      </c>
      <c r="H39" s="80">
        <f t="shared" si="13"/>
        <v>2.3723622539592763E-2</v>
      </c>
      <c r="I39" s="178">
        <f>+G39*1.032</f>
        <v>43285.552318800008</v>
      </c>
      <c r="J39" s="80">
        <f t="shared" si="14"/>
        <v>2.3541133135442052E-2</v>
      </c>
      <c r="K39" s="178">
        <f>+I39*1.02</f>
        <v>44151.263365176012</v>
      </c>
      <c r="L39" s="80">
        <f t="shared" si="15"/>
        <v>2.3312578444806688E-2</v>
      </c>
      <c r="M39" s="178">
        <f>+K39*1.025</f>
        <v>45255.044949305411</v>
      </c>
      <c r="N39" s="80">
        <f t="shared" si="16"/>
        <v>2.3199410588278502E-2</v>
      </c>
      <c r="O39" s="178">
        <f>+M39*1.025</f>
        <v>46386.421073038044</v>
      </c>
      <c r="P39" s="80">
        <f t="shared" si="17"/>
        <v>2.3086792090277149E-2</v>
      </c>
      <c r="Q39" s="178">
        <f>+O39*1.025</f>
        <v>47546.081599863988</v>
      </c>
      <c r="R39" s="80">
        <f t="shared" si="18"/>
        <v>2.2974720284013667E-2</v>
      </c>
      <c r="S39" s="178">
        <f>+Q39*1.02</f>
        <v>48497.003231861272</v>
      </c>
      <c r="T39" s="80">
        <f t="shared" si="19"/>
        <v>2.2751664747275673E-2</v>
      </c>
      <c r="U39" s="178">
        <f>+S39*1.025</f>
        <v>49709.428312657801</v>
      </c>
      <c r="V39" s="80">
        <f t="shared" si="20"/>
        <v>2.2619259326825954E-2</v>
      </c>
    </row>
    <row r="40" spans="1:22" ht="12.75" customHeight="1">
      <c r="A40" s="2" t="s">
        <v>388</v>
      </c>
      <c r="B40" s="35"/>
      <c r="C40" s="178">
        <f>C36*0.124</f>
        <v>6917.8360000000002</v>
      </c>
      <c r="D40" s="80">
        <f t="shared" si="11"/>
        <v>4.8452336297050503E-3</v>
      </c>
      <c r="E40" s="178">
        <f>E36*0.124</f>
        <v>7090.7819</v>
      </c>
      <c r="F40" s="80">
        <f t="shared" si="12"/>
        <v>4.1710481764705883E-3</v>
      </c>
      <c r="G40" s="178">
        <f>G36*0.124</f>
        <v>7268.0514474999991</v>
      </c>
      <c r="H40" s="80">
        <f t="shared" si="13"/>
        <v>4.1108888277714929E-3</v>
      </c>
      <c r="I40" s="178">
        <f>I36*0.124</f>
        <v>7449.7527336874973</v>
      </c>
      <c r="J40" s="80">
        <f t="shared" si="14"/>
        <v>4.0515971619863259E-3</v>
      </c>
      <c r="K40" s="178">
        <f>K36*0.124</f>
        <v>7635.9965520296846</v>
      </c>
      <c r="L40" s="80">
        <f t="shared" si="15"/>
        <v>4.0319292145980417E-3</v>
      </c>
      <c r="M40" s="178">
        <f>M36*0.124</f>
        <v>7826.8964658304267</v>
      </c>
      <c r="N40" s="80">
        <f t="shared" si="16"/>
        <v>4.0123567426825178E-3</v>
      </c>
      <c r="O40" s="178">
        <f>O36*0.124</f>
        <v>8022.5688774761866</v>
      </c>
      <c r="P40" s="80">
        <f t="shared" si="17"/>
        <v>3.9928792827665831E-3</v>
      </c>
      <c r="Q40" s="178">
        <f>Q36*0.124</f>
        <v>8223.1330994130913</v>
      </c>
      <c r="R40" s="80">
        <f t="shared" si="18"/>
        <v>3.9734963736269393E-3</v>
      </c>
      <c r="S40" s="178">
        <f>S36*0.124</f>
        <v>8387.5957614013532</v>
      </c>
      <c r="T40" s="80">
        <f t="shared" si="19"/>
        <v>3.9349187389315322E-3</v>
      </c>
      <c r="U40" s="178">
        <f>U36*0.124</f>
        <v>8597.2856554363862</v>
      </c>
      <c r="V40" s="80">
        <f t="shared" si="20"/>
        <v>3.9120191148446365E-3</v>
      </c>
    </row>
    <row r="41" spans="1:22" ht="12.75" customHeight="1">
      <c r="A41" s="2" t="s">
        <v>389</v>
      </c>
      <c r="B41" s="35"/>
      <c r="C41" s="178">
        <f>C37*0.124</f>
        <v>23356.763999999999</v>
      </c>
      <c r="D41" s="80">
        <f t="shared" si="11"/>
        <v>1.6359014352737507E-2</v>
      </c>
      <c r="E41" s="178">
        <f>E37*0.124</f>
        <v>25692.440399999999</v>
      </c>
      <c r="F41" s="80">
        <f t="shared" si="12"/>
        <v>1.5113200235294118E-2</v>
      </c>
      <c r="G41" s="178">
        <f>G37*0.124</f>
        <v>26591.675813999998</v>
      </c>
      <c r="H41" s="80">
        <f t="shared" si="13"/>
        <v>1.504054061877828E-2</v>
      </c>
      <c r="I41" s="178">
        <f>I37*0.124</f>
        <v>27442.609440048</v>
      </c>
      <c r="J41" s="80">
        <f t="shared" si="14"/>
        <v>1.4924844152479987E-2</v>
      </c>
      <c r="K41" s="178">
        <f>K37*0.124</f>
        <v>27991.46162884896</v>
      </c>
      <c r="L41" s="80">
        <f t="shared" si="15"/>
        <v>1.4779942752941342E-2</v>
      </c>
      <c r="M41" s="178">
        <f>M37*0.124</f>
        <v>28691.248169570179</v>
      </c>
      <c r="N41" s="80">
        <f t="shared" si="16"/>
        <v>1.470819545802415E-2</v>
      </c>
      <c r="O41" s="178">
        <f>O37*0.124</f>
        <v>29408.529373809433</v>
      </c>
      <c r="P41" s="80">
        <f t="shared" si="17"/>
        <v>1.4636796450946364E-2</v>
      </c>
      <c r="Q41" s="178">
        <f>Q37*0.124</f>
        <v>30143.742608154666</v>
      </c>
      <c r="R41" s="80">
        <f t="shared" si="18"/>
        <v>1.4565744040990312E-2</v>
      </c>
      <c r="S41" s="178">
        <f>S37*0.124</f>
        <v>30746.617460317761</v>
      </c>
      <c r="T41" s="80">
        <f t="shared" si="19"/>
        <v>1.4424329050301088E-2</v>
      </c>
      <c r="U41" s="178">
        <f>U37*0.124</f>
        <v>31515.282896825702</v>
      </c>
      <c r="V41" s="80">
        <f t="shared" si="20"/>
        <v>1.4340385331288662E-2</v>
      </c>
    </row>
    <row r="42" spans="1:22" ht="12.75" customHeight="1">
      <c r="A42" s="2" t="s">
        <v>390</v>
      </c>
      <c r="B42" s="35"/>
      <c r="C42" s="178"/>
      <c r="D42" s="80">
        <f t="shared" si="11"/>
        <v>0</v>
      </c>
      <c r="E42" s="178"/>
      <c r="F42" s="80">
        <f t="shared" si="12"/>
        <v>0</v>
      </c>
      <c r="G42" s="178"/>
      <c r="H42" s="80">
        <f t="shared" si="13"/>
        <v>0</v>
      </c>
      <c r="I42" s="178"/>
      <c r="J42" s="80">
        <f t="shared" si="14"/>
        <v>0</v>
      </c>
      <c r="K42" s="178"/>
      <c r="L42" s="80">
        <f t="shared" si="15"/>
        <v>0</v>
      </c>
      <c r="M42" s="178"/>
      <c r="N42" s="80">
        <f t="shared" si="16"/>
        <v>0</v>
      </c>
      <c r="O42" s="178"/>
      <c r="P42" s="80">
        <f t="shared" si="17"/>
        <v>0</v>
      </c>
      <c r="Q42" s="178"/>
      <c r="R42" s="80">
        <f t="shared" si="18"/>
        <v>0</v>
      </c>
      <c r="S42" s="178"/>
      <c r="T42" s="80">
        <f t="shared" si="19"/>
        <v>0</v>
      </c>
      <c r="U42" s="178"/>
      <c r="V42" s="80">
        <f t="shared" si="20"/>
        <v>0</v>
      </c>
    </row>
    <row r="43" spans="1:22" ht="12.75" customHeight="1">
      <c r="A43" s="2" t="s">
        <v>391</v>
      </c>
      <c r="B43" s="35"/>
      <c r="C43" s="178"/>
      <c r="D43" s="80">
        <f t="shared" si="11"/>
        <v>0</v>
      </c>
      <c r="E43" s="178"/>
      <c r="F43" s="80">
        <f t="shared" si="12"/>
        <v>0</v>
      </c>
      <c r="G43" s="178"/>
      <c r="H43" s="80">
        <f t="shared" si="13"/>
        <v>0</v>
      </c>
      <c r="I43" s="178"/>
      <c r="J43" s="80">
        <f t="shared" si="14"/>
        <v>0</v>
      </c>
      <c r="K43" s="178"/>
      <c r="L43" s="80">
        <f t="shared" si="15"/>
        <v>0</v>
      </c>
      <c r="M43" s="178"/>
      <c r="N43" s="80">
        <f t="shared" si="16"/>
        <v>0</v>
      </c>
      <c r="O43" s="178"/>
      <c r="P43" s="80">
        <f t="shared" si="17"/>
        <v>0</v>
      </c>
      <c r="Q43" s="178"/>
      <c r="R43" s="80">
        <f t="shared" si="18"/>
        <v>0</v>
      </c>
      <c r="S43" s="178"/>
      <c r="T43" s="80">
        <f t="shared" si="19"/>
        <v>0</v>
      </c>
      <c r="U43" s="178"/>
      <c r="V43" s="80">
        <f t="shared" si="20"/>
        <v>0</v>
      </c>
    </row>
    <row r="44" spans="1:22" ht="12.75" customHeight="1">
      <c r="A44" s="2" t="s">
        <v>392</v>
      </c>
      <c r="B44" s="35"/>
      <c r="C44" s="178"/>
      <c r="D44" s="80">
        <f t="shared" si="11"/>
        <v>0</v>
      </c>
      <c r="E44" s="178"/>
      <c r="F44" s="80">
        <f t="shared" si="12"/>
        <v>0</v>
      </c>
      <c r="G44" s="178"/>
      <c r="H44" s="80">
        <f t="shared" si="13"/>
        <v>0</v>
      </c>
      <c r="I44" s="178"/>
      <c r="J44" s="80">
        <f t="shared" si="14"/>
        <v>0</v>
      </c>
      <c r="K44" s="178"/>
      <c r="L44" s="80">
        <f t="shared" si="15"/>
        <v>0</v>
      </c>
      <c r="M44" s="178"/>
      <c r="N44" s="80">
        <f t="shared" si="16"/>
        <v>0</v>
      </c>
      <c r="O44" s="178"/>
      <c r="P44" s="80">
        <f t="shared" si="17"/>
        <v>0</v>
      </c>
      <c r="Q44" s="178"/>
      <c r="R44" s="80">
        <f t="shared" si="18"/>
        <v>0</v>
      </c>
      <c r="S44" s="178"/>
      <c r="T44" s="80">
        <f t="shared" si="19"/>
        <v>0</v>
      </c>
      <c r="U44" s="178"/>
      <c r="V44" s="80">
        <f t="shared" si="20"/>
        <v>0</v>
      </c>
    </row>
    <row r="45" spans="1:22" ht="12.75" customHeight="1">
      <c r="A45" s="2" t="s">
        <v>393</v>
      </c>
      <c r="B45" s="35"/>
      <c r="C45" s="181">
        <f>SUM(C36:C39)*0.094</f>
        <v>28287.795999999998</v>
      </c>
      <c r="D45" s="80">
        <f t="shared" si="11"/>
        <v>1.9812695832835004E-2</v>
      </c>
      <c r="E45" s="181">
        <f>SUM(E36:E39)*0.094</f>
        <v>30776.64011</v>
      </c>
      <c r="F45" s="80">
        <f t="shared" si="12"/>
        <v>1.8103905947058824E-2</v>
      </c>
      <c r="G45" s="181">
        <f>SUM(G36:G39)*0.094</f>
        <v>31800.069812350001</v>
      </c>
      <c r="H45" s="80">
        <f t="shared" si="13"/>
        <v>1.7986464825989819E-2</v>
      </c>
      <c r="I45" s="181">
        <f>SUM(I36:I39)*0.094</f>
        <v>32779.104483018949</v>
      </c>
      <c r="J45" s="80">
        <f t="shared" si="14"/>
        <v>1.7827132180548943E-2</v>
      </c>
      <c r="K45" s="181">
        <f>SUM(K36:K39)*0.094</f>
        <v>33462.923538686046</v>
      </c>
      <c r="L45" s="80">
        <f t="shared" si="15"/>
        <v>1.7668962800359875E-2</v>
      </c>
      <c r="M45" s="181">
        <f>SUM(M36:M39)*0.094</f>
        <v>34299.496627153196</v>
      </c>
      <c r="N45" s="80">
        <f t="shared" si="16"/>
        <v>1.7583191136280457E-2</v>
      </c>
      <c r="O45" s="181">
        <f>SUM(O36:O39)*0.094</f>
        <v>35156.984042832017</v>
      </c>
      <c r="P45" s="80">
        <f t="shared" si="17"/>
        <v>1.7497835839502394E-2</v>
      </c>
      <c r="Q45" s="181">
        <f>SUM(Q36:Q39)*0.094</f>
        <v>36035.908643902818</v>
      </c>
      <c r="R45" s="80">
        <f t="shared" si="18"/>
        <v>1.7412894888825199E-2</v>
      </c>
      <c r="S45" s="181">
        <f>SUM(S36:S39)*0.094</f>
        <v>36756.626816780881</v>
      </c>
      <c r="T45" s="80">
        <f t="shared" si="19"/>
        <v>1.7243837656894859E-2</v>
      </c>
      <c r="U45" s="181">
        <f>SUM(U36:U39)*0.094</f>
        <v>37675.542487200393</v>
      </c>
      <c r="V45" s="80">
        <f t="shared" si="20"/>
        <v>1.7143485546379462E-2</v>
      </c>
    </row>
    <row r="46" spans="1:22" ht="12.75" customHeight="1">
      <c r="A46" s="1" t="s">
        <v>394</v>
      </c>
      <c r="B46" s="53"/>
      <c r="C46" s="82">
        <f>SUM(C36:C45)</f>
        <v>359496.39600000001</v>
      </c>
      <c r="D46" s="83">
        <f t="shared" si="11"/>
        <v>0.25179030373905426</v>
      </c>
      <c r="E46" s="82">
        <f>SUM(E36:E45)</f>
        <v>390970.92741</v>
      </c>
      <c r="F46" s="83">
        <f t="shared" si="12"/>
        <v>0.2299828984764706</v>
      </c>
      <c r="G46" s="82">
        <f>SUM(G36:G45)</f>
        <v>403958.41209885001</v>
      </c>
      <c r="H46" s="83">
        <f t="shared" si="13"/>
        <v>0.22848326476179298</v>
      </c>
      <c r="I46" s="82">
        <f>SUM(I36:I45)</f>
        <v>416385.34413567942</v>
      </c>
      <c r="J46" s="83">
        <f t="shared" si="14"/>
        <v>0.22645391584128058</v>
      </c>
      <c r="K46" s="82">
        <f>SUM(K36:K45)</f>
        <v>425078.93000345881</v>
      </c>
      <c r="L46" s="83">
        <f t="shared" si="15"/>
        <v>0.22444852413342986</v>
      </c>
      <c r="M46" s="82">
        <f>SUM(M36:M45)</f>
        <v>435705.90325354523</v>
      </c>
      <c r="N46" s="83">
        <f t="shared" si="16"/>
        <v>0.22335896819103454</v>
      </c>
      <c r="O46" s="82">
        <f>SUM(O36:O45)</f>
        <v>446598.55083488382</v>
      </c>
      <c r="P46" s="83">
        <f t="shared" si="17"/>
        <v>0.22227470135515573</v>
      </c>
      <c r="Q46" s="82">
        <f>SUM(Q36:Q45)</f>
        <v>457763.51460575586</v>
      </c>
      <c r="R46" s="83">
        <f t="shared" si="18"/>
        <v>0.22119569795051902</v>
      </c>
      <c r="S46" s="82">
        <f>SUM(S36:S45)</f>
        <v>466918.78489787102</v>
      </c>
      <c r="T46" s="83">
        <f t="shared" si="19"/>
        <v>0.21904816690245577</v>
      </c>
      <c r="U46" s="82">
        <f>SUM(U36:U45)</f>
        <v>478591.75452031777</v>
      </c>
      <c r="V46" s="83">
        <f t="shared" si="20"/>
        <v>0.21777339580506025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366</v>
      </c>
      <c r="E50" s="86" t="str">
        <f>E6</f>
        <v>FY 2019-20</v>
      </c>
      <c r="F50" s="86" t="s">
        <v>366</v>
      </c>
      <c r="G50" s="86" t="str">
        <f>G6</f>
        <v>FY 2020-21</v>
      </c>
      <c r="H50" s="86" t="s">
        <v>366</v>
      </c>
      <c r="I50" s="86" t="str">
        <f>I6</f>
        <v>FY 2021-22</v>
      </c>
      <c r="J50" s="86" t="s">
        <v>366</v>
      </c>
      <c r="K50" s="86" t="str">
        <f>K6</f>
        <v>FY 2022-23</v>
      </c>
      <c r="L50" s="86" t="s">
        <v>366</v>
      </c>
      <c r="M50" s="86" t="str">
        <f>M6</f>
        <v>FY 2023-24</v>
      </c>
      <c r="N50" s="86" t="s">
        <v>366</v>
      </c>
      <c r="O50" s="86" t="str">
        <f>O6</f>
        <v>FY 2024-25</v>
      </c>
      <c r="P50" s="86" t="s">
        <v>366</v>
      </c>
      <c r="Q50" s="86" t="str">
        <f>Q6</f>
        <v>FY 2025-26</v>
      </c>
      <c r="R50" s="86" t="s">
        <v>366</v>
      </c>
      <c r="S50" s="86" t="str">
        <f>S6</f>
        <v>FY 2026-27</v>
      </c>
      <c r="T50" s="86" t="s">
        <v>366</v>
      </c>
      <c r="U50" s="86" t="str">
        <f>U6</f>
        <v>FY 2027-28</v>
      </c>
      <c r="V50" s="86" t="s">
        <v>366</v>
      </c>
    </row>
    <row r="51" spans="1:24" ht="12.75" customHeight="1">
      <c r="A51" s="1" t="s">
        <v>395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396</v>
      </c>
      <c r="B52" s="35"/>
      <c r="C52" s="178">
        <v>0</v>
      </c>
      <c r="D52" s="80">
        <f t="shared" ref="D52:D104" si="21">IFERROR(C52/C$28,0)</f>
        <v>0</v>
      </c>
      <c r="E52" s="178">
        <v>0</v>
      </c>
      <c r="F52" s="80">
        <f t="shared" ref="F52:F104" si="22">IFERROR(E52/E$28,0)</f>
        <v>0</v>
      </c>
      <c r="G52" s="178">
        <v>0</v>
      </c>
      <c r="H52" s="80">
        <f t="shared" ref="H52:H104" si="23">IFERROR(G52/G$28,0)</f>
        <v>0</v>
      </c>
      <c r="I52" s="178">
        <v>0</v>
      </c>
      <c r="J52" s="80">
        <f t="shared" ref="J52:J104" si="24">IFERROR(I52/I$28,0)</f>
        <v>0</v>
      </c>
      <c r="K52" s="178">
        <v>0</v>
      </c>
      <c r="L52" s="80">
        <f t="shared" ref="L52:L104" si="25">IFERROR(K52/K$28,0)</f>
        <v>0</v>
      </c>
      <c r="M52" s="178">
        <v>0</v>
      </c>
      <c r="N52" s="80">
        <f t="shared" ref="N52:N104" si="26">IFERROR(M52/M$28,0)</f>
        <v>0</v>
      </c>
      <c r="O52" s="178">
        <v>0</v>
      </c>
      <c r="P52" s="80">
        <f t="shared" ref="P52:P104" si="27">IFERROR(O52/O$28,0)</f>
        <v>0</v>
      </c>
      <c r="Q52" s="178">
        <v>0</v>
      </c>
      <c r="R52" s="80">
        <f t="shared" ref="R52:R104" si="28">IFERROR(Q52/Q$28,0)</f>
        <v>0</v>
      </c>
      <c r="S52" s="178">
        <v>0</v>
      </c>
      <c r="T52" s="80">
        <f t="shared" ref="T52:T104" si="29">IFERROR(S52/S$28,0)</f>
        <v>0</v>
      </c>
      <c r="U52" s="178">
        <v>0</v>
      </c>
      <c r="V52" s="80">
        <f t="shared" ref="V52:V105" si="30">IFERROR(U52/U$28,0)</f>
        <v>0</v>
      </c>
      <c r="X52" s="192"/>
    </row>
    <row r="53" spans="1:24" ht="12.75" customHeight="1">
      <c r="A53" s="2" t="s">
        <v>397</v>
      </c>
      <c r="B53" s="35"/>
      <c r="C53" s="178">
        <v>0</v>
      </c>
      <c r="D53" s="80">
        <f t="shared" si="21"/>
        <v>0</v>
      </c>
      <c r="E53" s="178">
        <v>0</v>
      </c>
      <c r="F53" s="80">
        <f t="shared" si="22"/>
        <v>0</v>
      </c>
      <c r="G53" s="178">
        <v>0</v>
      </c>
      <c r="H53" s="80">
        <f t="shared" si="23"/>
        <v>0</v>
      </c>
      <c r="I53" s="178">
        <v>0</v>
      </c>
      <c r="J53" s="80">
        <f t="shared" si="24"/>
        <v>0</v>
      </c>
      <c r="K53" s="178">
        <v>0</v>
      </c>
      <c r="L53" s="80">
        <f t="shared" si="25"/>
        <v>0</v>
      </c>
      <c r="M53" s="178">
        <v>0</v>
      </c>
      <c r="N53" s="80">
        <f t="shared" si="26"/>
        <v>0</v>
      </c>
      <c r="O53" s="178">
        <v>0</v>
      </c>
      <c r="P53" s="80">
        <f t="shared" si="27"/>
        <v>0</v>
      </c>
      <c r="Q53" s="178">
        <v>0</v>
      </c>
      <c r="R53" s="80">
        <f t="shared" si="28"/>
        <v>0</v>
      </c>
      <c r="S53" s="178">
        <v>0</v>
      </c>
      <c r="T53" s="80">
        <f t="shared" si="29"/>
        <v>0</v>
      </c>
      <c r="U53" s="178">
        <v>0</v>
      </c>
      <c r="V53" s="80">
        <f t="shared" si="30"/>
        <v>0</v>
      </c>
      <c r="X53" s="192"/>
    </row>
    <row r="54" spans="1:24" ht="12.75" customHeight="1">
      <c r="A54" s="2" t="s">
        <v>398</v>
      </c>
      <c r="B54" s="35"/>
      <c r="C54" s="178">
        <v>999.4327559999997</v>
      </c>
      <c r="D54" s="80">
        <f t="shared" si="21"/>
        <v>6.9999999999999999E-4</v>
      </c>
      <c r="E54" s="178">
        <v>1190</v>
      </c>
      <c r="F54" s="80">
        <f t="shared" si="22"/>
        <v>6.9999999999999999E-4</v>
      </c>
      <c r="G54" s="178">
        <v>1237.6000000000001</v>
      </c>
      <c r="H54" s="80">
        <f t="shared" si="23"/>
        <v>7.000000000000001E-4</v>
      </c>
      <c r="I54" s="178">
        <v>1287.1040000000003</v>
      </c>
      <c r="J54" s="80">
        <f t="shared" si="24"/>
        <v>7.000000000000001E-4</v>
      </c>
      <c r="K54" s="178">
        <v>1325.7171200000003</v>
      </c>
      <c r="L54" s="80">
        <f t="shared" si="25"/>
        <v>6.9999999999999999E-4</v>
      </c>
      <c r="M54" s="178">
        <v>1365.4886336000004</v>
      </c>
      <c r="N54" s="80">
        <f t="shared" si="26"/>
        <v>7.000000000000001E-4</v>
      </c>
      <c r="O54" s="178">
        <v>1406.4532926079999</v>
      </c>
      <c r="P54" s="80">
        <f t="shared" si="27"/>
        <v>6.9999999999999988E-4</v>
      </c>
      <c r="Q54" s="178">
        <v>1448.6468913862402</v>
      </c>
      <c r="R54" s="80">
        <f t="shared" si="28"/>
        <v>7.000000000000001E-4</v>
      </c>
      <c r="S54" s="178">
        <v>1492.1062981278274</v>
      </c>
      <c r="T54" s="80">
        <f t="shared" si="29"/>
        <v>7.000000000000001E-4</v>
      </c>
      <c r="U54" s="178">
        <v>1538.3615933697902</v>
      </c>
      <c r="V54" s="80">
        <f t="shared" si="30"/>
        <v>6.9999999999999999E-4</v>
      </c>
      <c r="X54" s="192"/>
    </row>
    <row r="55" spans="1:24" ht="12.75" customHeight="1">
      <c r="A55" s="2" t="s">
        <v>399</v>
      </c>
      <c r="B55" s="35"/>
      <c r="C55" s="178">
        <v>99943.275599999979</v>
      </c>
      <c r="D55" s="80">
        <f t="shared" si="21"/>
        <v>7.0000000000000007E-2</v>
      </c>
      <c r="E55" s="178">
        <v>119000.00000000001</v>
      </c>
      <c r="F55" s="80">
        <f t="shared" si="22"/>
        <v>7.0000000000000007E-2</v>
      </c>
      <c r="G55" s="178">
        <v>123760.00000000001</v>
      </c>
      <c r="H55" s="80">
        <f t="shared" si="23"/>
        <v>7.0000000000000007E-2</v>
      </c>
      <c r="I55" s="178">
        <v>128710.40000000001</v>
      </c>
      <c r="J55" s="80">
        <f t="shared" si="24"/>
        <v>7.0000000000000007E-2</v>
      </c>
      <c r="K55" s="178">
        <v>132571.71200000003</v>
      </c>
      <c r="L55" s="80">
        <f t="shared" si="25"/>
        <v>7.0000000000000007E-2</v>
      </c>
      <c r="M55" s="178">
        <v>136548.86336000002</v>
      </c>
      <c r="N55" s="80">
        <f t="shared" si="26"/>
        <v>7.0000000000000007E-2</v>
      </c>
      <c r="O55" s="178">
        <v>140645.32926080003</v>
      </c>
      <c r="P55" s="80">
        <f t="shared" si="27"/>
        <v>7.0000000000000007E-2</v>
      </c>
      <c r="Q55" s="178">
        <v>144864.68913862403</v>
      </c>
      <c r="R55" s="80">
        <f t="shared" si="28"/>
        <v>7.0000000000000007E-2</v>
      </c>
      <c r="S55" s="178">
        <v>149210.62981278275</v>
      </c>
      <c r="T55" s="80">
        <f t="shared" si="29"/>
        <v>7.0000000000000007E-2</v>
      </c>
      <c r="U55" s="178">
        <v>153836.15933697904</v>
      </c>
      <c r="V55" s="80">
        <f t="shared" si="30"/>
        <v>7.0000000000000007E-2</v>
      </c>
      <c r="X55" s="192"/>
    </row>
    <row r="56" spans="1:24" ht="12.75" customHeight="1">
      <c r="A56" s="2" t="s">
        <v>400</v>
      </c>
      <c r="B56" s="35"/>
      <c r="C56" s="178">
        <v>728.15815079999982</v>
      </c>
      <c r="D56" s="80">
        <f t="shared" si="21"/>
        <v>5.1000000000000004E-4</v>
      </c>
      <c r="E56" s="178">
        <v>867.00000000000011</v>
      </c>
      <c r="F56" s="80">
        <f t="shared" si="22"/>
        <v>5.1000000000000004E-4</v>
      </c>
      <c r="G56" s="178">
        <v>901.68000000000018</v>
      </c>
      <c r="H56" s="80">
        <f t="shared" si="23"/>
        <v>5.1000000000000015E-4</v>
      </c>
      <c r="I56" s="178">
        <v>937.74720000000013</v>
      </c>
      <c r="J56" s="80">
        <f t="shared" si="24"/>
        <v>5.1000000000000004E-4</v>
      </c>
      <c r="K56" s="178">
        <v>965.87961600000017</v>
      </c>
      <c r="L56" s="80">
        <f t="shared" si="25"/>
        <v>5.1000000000000004E-4</v>
      </c>
      <c r="M56" s="178">
        <v>994.85600448000025</v>
      </c>
      <c r="N56" s="80">
        <f t="shared" si="26"/>
        <v>5.1000000000000004E-4</v>
      </c>
      <c r="O56" s="178">
        <v>1024.7016846143999</v>
      </c>
      <c r="P56" s="80">
        <f t="shared" si="27"/>
        <v>5.0999999999999993E-4</v>
      </c>
      <c r="Q56" s="178">
        <v>1055.4427351528323</v>
      </c>
      <c r="R56" s="80">
        <f t="shared" si="28"/>
        <v>5.1000000000000015E-4</v>
      </c>
      <c r="S56" s="178">
        <v>1087.1060172074172</v>
      </c>
      <c r="T56" s="80">
        <f t="shared" si="29"/>
        <v>5.1000000000000004E-4</v>
      </c>
      <c r="U56" s="178">
        <v>1120.8063037408469</v>
      </c>
      <c r="V56" s="80">
        <f t="shared" si="30"/>
        <v>5.0999999999999993E-4</v>
      </c>
      <c r="X56" s="192"/>
    </row>
    <row r="57" spans="1:24" ht="12.75" customHeight="1">
      <c r="A57" s="2" t="s">
        <v>401</v>
      </c>
      <c r="B57" s="35"/>
      <c r="C57" s="178">
        <v>0</v>
      </c>
      <c r="D57" s="80">
        <f t="shared" si="21"/>
        <v>0</v>
      </c>
      <c r="E57" s="178">
        <v>0</v>
      </c>
      <c r="F57" s="80">
        <f t="shared" si="22"/>
        <v>0</v>
      </c>
      <c r="G57" s="178">
        <v>0</v>
      </c>
      <c r="H57" s="80">
        <f t="shared" si="23"/>
        <v>0</v>
      </c>
      <c r="I57" s="178">
        <v>0</v>
      </c>
      <c r="J57" s="80">
        <f t="shared" si="24"/>
        <v>0</v>
      </c>
      <c r="K57" s="178">
        <v>0</v>
      </c>
      <c r="L57" s="80">
        <f t="shared" si="25"/>
        <v>0</v>
      </c>
      <c r="M57" s="178">
        <v>0</v>
      </c>
      <c r="N57" s="80">
        <f t="shared" si="26"/>
        <v>0</v>
      </c>
      <c r="O57" s="178">
        <v>0</v>
      </c>
      <c r="P57" s="80">
        <f t="shared" si="27"/>
        <v>0</v>
      </c>
      <c r="Q57" s="178">
        <v>0</v>
      </c>
      <c r="R57" s="80">
        <f t="shared" si="28"/>
        <v>0</v>
      </c>
      <c r="S57" s="178">
        <v>0</v>
      </c>
      <c r="T57" s="80">
        <f t="shared" si="29"/>
        <v>0</v>
      </c>
      <c r="U57" s="178">
        <v>0</v>
      </c>
      <c r="V57" s="80">
        <f t="shared" si="30"/>
        <v>0</v>
      </c>
      <c r="X57" s="192"/>
    </row>
    <row r="58" spans="1:24" ht="12.75" customHeight="1">
      <c r="A58" s="2" t="s">
        <v>402</v>
      </c>
      <c r="B58" s="35"/>
      <c r="C58" s="178">
        <v>0</v>
      </c>
      <c r="D58" s="80">
        <f t="shared" si="21"/>
        <v>0</v>
      </c>
      <c r="E58" s="178">
        <v>0</v>
      </c>
      <c r="F58" s="80">
        <f t="shared" si="22"/>
        <v>0</v>
      </c>
      <c r="G58" s="178">
        <v>0</v>
      </c>
      <c r="H58" s="80">
        <f t="shared" si="23"/>
        <v>0</v>
      </c>
      <c r="I58" s="178">
        <v>0</v>
      </c>
      <c r="J58" s="80">
        <f t="shared" si="24"/>
        <v>0</v>
      </c>
      <c r="K58" s="178">
        <v>0</v>
      </c>
      <c r="L58" s="80">
        <f t="shared" si="25"/>
        <v>0</v>
      </c>
      <c r="M58" s="178">
        <v>0</v>
      </c>
      <c r="N58" s="80">
        <f t="shared" si="26"/>
        <v>0</v>
      </c>
      <c r="O58" s="178">
        <v>0</v>
      </c>
      <c r="P58" s="80">
        <f t="shared" si="27"/>
        <v>0</v>
      </c>
      <c r="Q58" s="178">
        <v>0</v>
      </c>
      <c r="R58" s="80">
        <f t="shared" si="28"/>
        <v>0</v>
      </c>
      <c r="S58" s="178">
        <v>0</v>
      </c>
      <c r="T58" s="80">
        <f t="shared" si="29"/>
        <v>0</v>
      </c>
      <c r="U58" s="178">
        <v>0</v>
      </c>
      <c r="V58" s="80">
        <f t="shared" si="30"/>
        <v>0</v>
      </c>
      <c r="X58" s="192"/>
    </row>
    <row r="59" spans="1:24" ht="12.75" customHeight="1">
      <c r="A59" s="2" t="s">
        <v>403</v>
      </c>
      <c r="B59" s="35"/>
      <c r="C59" s="178"/>
      <c r="D59" s="80">
        <f t="shared" si="21"/>
        <v>0</v>
      </c>
      <c r="E59" s="178"/>
      <c r="F59" s="80">
        <f t="shared" si="22"/>
        <v>0</v>
      </c>
      <c r="G59" s="178"/>
      <c r="H59" s="80">
        <f t="shared" si="23"/>
        <v>0</v>
      </c>
      <c r="I59" s="178"/>
      <c r="J59" s="80">
        <f t="shared" si="24"/>
        <v>0</v>
      </c>
      <c r="K59" s="178"/>
      <c r="L59" s="80">
        <f t="shared" si="25"/>
        <v>0</v>
      </c>
      <c r="M59" s="178"/>
      <c r="N59" s="80">
        <f t="shared" si="26"/>
        <v>0</v>
      </c>
      <c r="O59" s="178"/>
      <c r="P59" s="80">
        <f t="shared" si="27"/>
        <v>0</v>
      </c>
      <c r="Q59" s="178"/>
      <c r="R59" s="80">
        <f t="shared" si="28"/>
        <v>0</v>
      </c>
      <c r="S59" s="178"/>
      <c r="T59" s="80">
        <f t="shared" si="29"/>
        <v>0</v>
      </c>
      <c r="U59" s="178"/>
      <c r="V59" s="80">
        <f t="shared" si="30"/>
        <v>0</v>
      </c>
      <c r="X59" s="192"/>
    </row>
    <row r="60" spans="1:24" ht="12.75" customHeight="1">
      <c r="A60" s="2" t="s">
        <v>404</v>
      </c>
      <c r="B60" s="35"/>
      <c r="C60" s="178">
        <v>0</v>
      </c>
      <c r="D60" s="80">
        <f t="shared" si="21"/>
        <v>0</v>
      </c>
      <c r="E60" s="178">
        <v>0</v>
      </c>
      <c r="F60" s="80">
        <f t="shared" si="22"/>
        <v>0</v>
      </c>
      <c r="G60" s="178">
        <v>0</v>
      </c>
      <c r="H60" s="80">
        <f t="shared" si="23"/>
        <v>0</v>
      </c>
      <c r="I60" s="178">
        <v>0</v>
      </c>
      <c r="J60" s="80">
        <f t="shared" si="24"/>
        <v>0</v>
      </c>
      <c r="K60" s="178">
        <v>0</v>
      </c>
      <c r="L60" s="80">
        <f t="shared" si="25"/>
        <v>0</v>
      </c>
      <c r="M60" s="178">
        <v>0</v>
      </c>
      <c r="N60" s="80">
        <f t="shared" si="26"/>
        <v>0</v>
      </c>
      <c r="O60" s="178">
        <v>0</v>
      </c>
      <c r="P60" s="80">
        <f t="shared" si="27"/>
        <v>0</v>
      </c>
      <c r="Q60" s="178">
        <v>0</v>
      </c>
      <c r="R60" s="80">
        <f t="shared" si="28"/>
        <v>0</v>
      </c>
      <c r="S60" s="178">
        <v>0</v>
      </c>
      <c r="T60" s="80">
        <f t="shared" si="29"/>
        <v>0</v>
      </c>
      <c r="U60" s="178">
        <v>0</v>
      </c>
      <c r="V60" s="80">
        <f t="shared" si="30"/>
        <v>0</v>
      </c>
      <c r="X60" s="192"/>
    </row>
    <row r="61" spans="1:24" ht="12.75" customHeight="1">
      <c r="A61" s="2" t="s">
        <v>405</v>
      </c>
      <c r="B61" s="35"/>
      <c r="C61" s="178">
        <v>0</v>
      </c>
      <c r="D61" s="80">
        <f t="shared" si="21"/>
        <v>0</v>
      </c>
      <c r="E61" s="178">
        <v>0</v>
      </c>
      <c r="F61" s="80">
        <f t="shared" si="22"/>
        <v>0</v>
      </c>
      <c r="G61" s="178">
        <v>0</v>
      </c>
      <c r="H61" s="80">
        <f t="shared" si="23"/>
        <v>0</v>
      </c>
      <c r="I61" s="178">
        <v>0</v>
      </c>
      <c r="J61" s="80">
        <f t="shared" si="24"/>
        <v>0</v>
      </c>
      <c r="K61" s="178">
        <v>0</v>
      </c>
      <c r="L61" s="80">
        <f t="shared" si="25"/>
        <v>0</v>
      </c>
      <c r="M61" s="178">
        <v>0</v>
      </c>
      <c r="N61" s="80">
        <f t="shared" si="26"/>
        <v>0</v>
      </c>
      <c r="O61" s="178">
        <v>0</v>
      </c>
      <c r="P61" s="80">
        <f t="shared" si="27"/>
        <v>0</v>
      </c>
      <c r="Q61" s="178">
        <v>0</v>
      </c>
      <c r="R61" s="80">
        <f t="shared" si="28"/>
        <v>0</v>
      </c>
      <c r="S61" s="178">
        <v>0</v>
      </c>
      <c r="T61" s="80">
        <f t="shared" si="29"/>
        <v>0</v>
      </c>
      <c r="U61" s="178">
        <v>0</v>
      </c>
      <c r="V61" s="80">
        <f t="shared" si="30"/>
        <v>0</v>
      </c>
      <c r="X61" s="192"/>
    </row>
    <row r="62" spans="1:24" ht="12.75" customHeight="1">
      <c r="A62" s="2" t="s">
        <v>406</v>
      </c>
      <c r="B62" s="35"/>
      <c r="C62" s="178">
        <v>0</v>
      </c>
      <c r="D62" s="80">
        <f t="shared" si="21"/>
        <v>0</v>
      </c>
      <c r="E62" s="178">
        <v>0</v>
      </c>
      <c r="F62" s="80">
        <f t="shared" si="22"/>
        <v>0</v>
      </c>
      <c r="G62" s="178">
        <v>0</v>
      </c>
      <c r="H62" s="80">
        <f t="shared" si="23"/>
        <v>0</v>
      </c>
      <c r="I62" s="178">
        <v>0</v>
      </c>
      <c r="J62" s="80">
        <f t="shared" si="24"/>
        <v>0</v>
      </c>
      <c r="K62" s="178">
        <v>0</v>
      </c>
      <c r="L62" s="80">
        <f t="shared" si="25"/>
        <v>0</v>
      </c>
      <c r="M62" s="178">
        <v>0</v>
      </c>
      <c r="N62" s="80">
        <f t="shared" si="26"/>
        <v>0</v>
      </c>
      <c r="O62" s="178">
        <v>0</v>
      </c>
      <c r="P62" s="80">
        <f t="shared" si="27"/>
        <v>0</v>
      </c>
      <c r="Q62" s="178">
        <v>0</v>
      </c>
      <c r="R62" s="80">
        <f t="shared" si="28"/>
        <v>0</v>
      </c>
      <c r="S62" s="178">
        <v>0</v>
      </c>
      <c r="T62" s="80">
        <f t="shared" si="29"/>
        <v>0</v>
      </c>
      <c r="U62" s="178">
        <v>0</v>
      </c>
      <c r="V62" s="80">
        <f t="shared" si="30"/>
        <v>0</v>
      </c>
      <c r="X62" s="192"/>
    </row>
    <row r="63" spans="1:24" ht="12.75" customHeight="1">
      <c r="A63" s="2" t="s">
        <v>407</v>
      </c>
      <c r="B63" s="35"/>
      <c r="C63" s="178">
        <v>17369.684192476085</v>
      </c>
      <c r="D63" s="80">
        <f t="shared" si="21"/>
        <v>1.2165679843630484E-2</v>
      </c>
      <c r="E63" s="178">
        <v>20986.994748547553</v>
      </c>
      <c r="F63" s="80">
        <f t="shared" si="22"/>
        <v>1.2345291028557383E-2</v>
      </c>
      <c r="G63" s="178">
        <v>21595.441549313091</v>
      </c>
      <c r="H63" s="80">
        <f t="shared" si="23"/>
        <v>1.2214616260923693E-2</v>
      </c>
      <c r="I63" s="178">
        <v>22516.929522415223</v>
      </c>
      <c r="J63" s="80">
        <f t="shared" si="24"/>
        <v>1.224598064001872E-2</v>
      </c>
      <c r="K63" s="178">
        <v>23120.959165695262</v>
      </c>
      <c r="L63" s="80">
        <f t="shared" si="25"/>
        <v>1.2208238976341107E-2</v>
      </c>
      <c r="M63" s="178">
        <v>23854.736965794185</v>
      </c>
      <c r="N63" s="80">
        <f t="shared" si="26"/>
        <v>1.2228820852233807E-2</v>
      </c>
      <c r="O63" s="178">
        <v>24621.033562196986</v>
      </c>
      <c r="P63" s="80">
        <f t="shared" si="27"/>
        <v>1.2254031885822084E-2</v>
      </c>
      <c r="Q63" s="178">
        <v>25434.141442627541</v>
      </c>
      <c r="R63" s="80">
        <f t="shared" si="28"/>
        <v>1.2290019821740245E-2</v>
      </c>
      <c r="S63" s="178">
        <v>26272.00335754162</v>
      </c>
      <c r="T63" s="80">
        <f t="shared" si="29"/>
        <v>1.2325128828525088E-2</v>
      </c>
      <c r="U63" s="178">
        <v>27168.884903032147</v>
      </c>
      <c r="V63" s="80">
        <f t="shared" si="30"/>
        <v>1.236264576162681E-2</v>
      </c>
      <c r="X63" s="192"/>
    </row>
    <row r="64" spans="1:24" ht="12.75" customHeight="1">
      <c r="A64" s="2" t="s">
        <v>408</v>
      </c>
      <c r="B64" s="35"/>
      <c r="C64" s="178">
        <v>6853.2531839999974</v>
      </c>
      <c r="D64" s="80">
        <f t="shared" si="21"/>
        <v>4.7999999999999996E-3</v>
      </c>
      <c r="E64" s="178">
        <v>8159.9999999999991</v>
      </c>
      <c r="F64" s="80">
        <f t="shared" si="22"/>
        <v>4.7999999999999996E-3</v>
      </c>
      <c r="G64" s="178">
        <v>8486.4</v>
      </c>
      <c r="H64" s="80">
        <f t="shared" si="23"/>
        <v>4.7999999999999996E-3</v>
      </c>
      <c r="I64" s="178">
        <v>8825.8559999999998</v>
      </c>
      <c r="J64" s="80">
        <f t="shared" si="24"/>
        <v>4.7999999999999996E-3</v>
      </c>
      <c r="K64" s="178">
        <v>9090.6316800000022</v>
      </c>
      <c r="L64" s="80">
        <f t="shared" si="25"/>
        <v>4.8000000000000004E-3</v>
      </c>
      <c r="M64" s="178">
        <v>9363.3506304000002</v>
      </c>
      <c r="N64" s="80">
        <f t="shared" si="26"/>
        <v>4.7999999999999996E-3</v>
      </c>
      <c r="O64" s="178">
        <v>9644.2511493120001</v>
      </c>
      <c r="P64" s="80">
        <f t="shared" si="27"/>
        <v>4.7999999999999996E-3</v>
      </c>
      <c r="Q64" s="178">
        <v>9933.5786837913583</v>
      </c>
      <c r="R64" s="80">
        <f t="shared" si="28"/>
        <v>4.7999999999999987E-3</v>
      </c>
      <c r="S64" s="178">
        <v>10231.586044305101</v>
      </c>
      <c r="T64" s="80">
        <f t="shared" si="29"/>
        <v>4.7999999999999996E-3</v>
      </c>
      <c r="U64" s="178">
        <v>10548.765211678559</v>
      </c>
      <c r="V64" s="80">
        <f t="shared" si="30"/>
        <v>4.7999999999999996E-3</v>
      </c>
      <c r="X64" s="192"/>
    </row>
    <row r="65" spans="1:24" ht="12.75" customHeight="1">
      <c r="A65" s="2" t="s">
        <v>409</v>
      </c>
      <c r="B65" s="35"/>
      <c r="C65" s="178">
        <v>713.88053999999988</v>
      </c>
      <c r="D65" s="80">
        <f t="shared" si="21"/>
        <v>5.0000000000000001E-4</v>
      </c>
      <c r="E65" s="178">
        <v>850.00000000000011</v>
      </c>
      <c r="F65" s="80">
        <f t="shared" si="22"/>
        <v>5.0000000000000012E-4</v>
      </c>
      <c r="G65" s="178">
        <v>884.00000000000011</v>
      </c>
      <c r="H65" s="80">
        <f t="shared" si="23"/>
        <v>5.0000000000000001E-4</v>
      </c>
      <c r="I65" s="178">
        <v>919.36000000000013</v>
      </c>
      <c r="J65" s="80">
        <f t="shared" si="24"/>
        <v>5.0000000000000012E-4</v>
      </c>
      <c r="K65" s="178">
        <v>946.94080000000019</v>
      </c>
      <c r="L65" s="80">
        <f t="shared" si="25"/>
        <v>5.0000000000000001E-4</v>
      </c>
      <c r="M65" s="178">
        <v>975.3490240000001</v>
      </c>
      <c r="N65" s="80">
        <f t="shared" si="26"/>
        <v>5.0000000000000001E-4</v>
      </c>
      <c r="O65" s="178">
        <v>1004.60949472</v>
      </c>
      <c r="P65" s="80">
        <f t="shared" si="27"/>
        <v>5.0000000000000001E-4</v>
      </c>
      <c r="Q65" s="178">
        <v>1034.7477795616001</v>
      </c>
      <c r="R65" s="80">
        <f t="shared" si="28"/>
        <v>5.0000000000000001E-4</v>
      </c>
      <c r="S65" s="178">
        <v>1065.790212948448</v>
      </c>
      <c r="T65" s="80">
        <f t="shared" si="29"/>
        <v>5.0000000000000001E-4</v>
      </c>
      <c r="U65" s="178">
        <v>1098.8297095498499</v>
      </c>
      <c r="V65" s="80">
        <f t="shared" si="30"/>
        <v>4.999999999999999E-4</v>
      </c>
      <c r="X65" s="192"/>
    </row>
    <row r="66" spans="1:24" ht="12.75" customHeight="1">
      <c r="A66" s="2" t="s">
        <v>410</v>
      </c>
      <c r="B66" s="35"/>
      <c r="C66" s="178">
        <v>3997.7310239999988</v>
      </c>
      <c r="D66" s="80">
        <f t="shared" si="21"/>
        <v>2.8E-3</v>
      </c>
      <c r="E66" s="178">
        <v>4760</v>
      </c>
      <c r="F66" s="80">
        <f t="shared" si="22"/>
        <v>2.8E-3</v>
      </c>
      <c r="G66" s="178">
        <v>4950.4000000000005</v>
      </c>
      <c r="H66" s="80">
        <f t="shared" si="23"/>
        <v>2.8000000000000004E-3</v>
      </c>
      <c r="I66" s="178">
        <v>5148.4160000000011</v>
      </c>
      <c r="J66" s="80">
        <f t="shared" si="24"/>
        <v>2.8000000000000004E-3</v>
      </c>
      <c r="K66" s="178">
        <v>5302.868480000001</v>
      </c>
      <c r="L66" s="80">
        <f t="shared" si="25"/>
        <v>2.8E-3</v>
      </c>
      <c r="M66" s="178">
        <v>5461.9545344000016</v>
      </c>
      <c r="N66" s="80">
        <f t="shared" si="26"/>
        <v>2.8000000000000004E-3</v>
      </c>
      <c r="O66" s="178">
        <v>5625.8131704319994</v>
      </c>
      <c r="P66" s="80">
        <f t="shared" si="27"/>
        <v>2.7999999999999995E-3</v>
      </c>
      <c r="Q66" s="178">
        <v>5794.5875655449609</v>
      </c>
      <c r="R66" s="80">
        <f t="shared" si="28"/>
        <v>2.8000000000000004E-3</v>
      </c>
      <c r="S66" s="178">
        <v>5968.4251925113094</v>
      </c>
      <c r="T66" s="80">
        <f t="shared" si="29"/>
        <v>2.8000000000000004E-3</v>
      </c>
      <c r="U66" s="178">
        <v>6153.4463734791607</v>
      </c>
      <c r="V66" s="80">
        <f t="shared" si="30"/>
        <v>2.8E-3</v>
      </c>
      <c r="X66" s="192"/>
    </row>
    <row r="67" spans="1:24" ht="12.75" customHeight="1">
      <c r="A67" s="2" t="s">
        <v>411</v>
      </c>
      <c r="B67" s="35"/>
      <c r="C67" s="178">
        <v>21416.416199999992</v>
      </c>
      <c r="D67" s="80">
        <f t="shared" si="21"/>
        <v>1.4999999999999999E-2</v>
      </c>
      <c r="E67" s="178">
        <v>25500</v>
      </c>
      <c r="F67" s="80">
        <f t="shared" si="22"/>
        <v>1.4999999999999999E-2</v>
      </c>
      <c r="G67" s="178">
        <v>26520.000000000004</v>
      </c>
      <c r="H67" s="80">
        <f t="shared" si="23"/>
        <v>1.5000000000000003E-2</v>
      </c>
      <c r="I67" s="178">
        <v>27580.799999999999</v>
      </c>
      <c r="J67" s="80">
        <f t="shared" si="24"/>
        <v>1.4999999999999999E-2</v>
      </c>
      <c r="K67" s="178">
        <v>28408.224000000002</v>
      </c>
      <c r="L67" s="80">
        <f t="shared" si="25"/>
        <v>1.4999999999999998E-2</v>
      </c>
      <c r="M67" s="178">
        <v>29260.470720000005</v>
      </c>
      <c r="N67" s="80">
        <f t="shared" si="26"/>
        <v>1.5000000000000001E-2</v>
      </c>
      <c r="O67" s="178">
        <v>30138.284841599998</v>
      </c>
      <c r="P67" s="80">
        <f t="shared" si="27"/>
        <v>1.4999999999999998E-2</v>
      </c>
      <c r="Q67" s="178">
        <v>31042.433386847999</v>
      </c>
      <c r="R67" s="80">
        <f t="shared" si="28"/>
        <v>1.4999999999999998E-2</v>
      </c>
      <c r="S67" s="178">
        <v>31973.706388453444</v>
      </c>
      <c r="T67" s="80">
        <f t="shared" si="29"/>
        <v>1.5000000000000001E-2</v>
      </c>
      <c r="U67" s="178">
        <v>32964.891286495498</v>
      </c>
      <c r="V67" s="80">
        <f t="shared" si="30"/>
        <v>1.4999999999999998E-2</v>
      </c>
      <c r="X67" s="192"/>
    </row>
    <row r="68" spans="1:24" ht="12.75" customHeight="1">
      <c r="A68" s="2" t="s">
        <v>412</v>
      </c>
      <c r="B68" s="35"/>
      <c r="C68" s="178">
        <v>2427.193835999999</v>
      </c>
      <c r="D68" s="80">
        <f t="shared" si="21"/>
        <v>1.6999999999999997E-3</v>
      </c>
      <c r="E68" s="178">
        <v>2890</v>
      </c>
      <c r="F68" s="80">
        <f t="shared" si="22"/>
        <v>1.6999999999999999E-3</v>
      </c>
      <c r="G68" s="178">
        <v>3005.6000000000004</v>
      </c>
      <c r="H68" s="80">
        <f t="shared" si="23"/>
        <v>1.7000000000000001E-3</v>
      </c>
      <c r="I68" s="178">
        <v>3125.8240000000001</v>
      </c>
      <c r="J68" s="80">
        <f t="shared" si="24"/>
        <v>1.7000000000000001E-3</v>
      </c>
      <c r="K68" s="178">
        <v>3219.5987200000004</v>
      </c>
      <c r="L68" s="80">
        <f t="shared" si="25"/>
        <v>1.6999999999999999E-3</v>
      </c>
      <c r="M68" s="178">
        <v>3316.1866816000002</v>
      </c>
      <c r="N68" s="80">
        <f t="shared" si="26"/>
        <v>1.6999999999999999E-3</v>
      </c>
      <c r="O68" s="178">
        <v>3415.6722820479995</v>
      </c>
      <c r="P68" s="80">
        <f t="shared" si="27"/>
        <v>1.6999999999999997E-3</v>
      </c>
      <c r="Q68" s="178">
        <v>3518.1424505094401</v>
      </c>
      <c r="R68" s="80">
        <f t="shared" si="28"/>
        <v>1.6999999999999999E-3</v>
      </c>
      <c r="S68" s="178">
        <v>3623.6867240247234</v>
      </c>
      <c r="T68" s="80">
        <f t="shared" si="29"/>
        <v>1.7000000000000001E-3</v>
      </c>
      <c r="U68" s="178">
        <v>3736.02101246949</v>
      </c>
      <c r="V68" s="80">
        <f t="shared" si="30"/>
        <v>1.6999999999999999E-3</v>
      </c>
      <c r="X68" s="192"/>
    </row>
    <row r="69" spans="1:24" ht="12.75" customHeight="1">
      <c r="A69" s="2" t="s">
        <v>413</v>
      </c>
      <c r="B69" s="35"/>
      <c r="C69" s="178">
        <v>0</v>
      </c>
      <c r="D69" s="80">
        <f t="shared" si="21"/>
        <v>0</v>
      </c>
      <c r="E69" s="178">
        <v>0</v>
      </c>
      <c r="F69" s="80">
        <f t="shared" si="22"/>
        <v>0</v>
      </c>
      <c r="G69" s="178">
        <v>0</v>
      </c>
      <c r="H69" s="80">
        <f t="shared" si="23"/>
        <v>0</v>
      </c>
      <c r="I69" s="178">
        <v>0</v>
      </c>
      <c r="J69" s="80">
        <f t="shared" si="24"/>
        <v>0</v>
      </c>
      <c r="K69" s="178">
        <v>0</v>
      </c>
      <c r="L69" s="80">
        <f t="shared" si="25"/>
        <v>0</v>
      </c>
      <c r="M69" s="178">
        <v>0</v>
      </c>
      <c r="N69" s="80">
        <f t="shared" si="26"/>
        <v>0</v>
      </c>
      <c r="O69" s="178">
        <v>0</v>
      </c>
      <c r="P69" s="80">
        <f t="shared" si="27"/>
        <v>0</v>
      </c>
      <c r="Q69" s="178">
        <v>0</v>
      </c>
      <c r="R69" s="80">
        <f t="shared" si="28"/>
        <v>0</v>
      </c>
      <c r="S69" s="178">
        <v>0</v>
      </c>
      <c r="T69" s="80">
        <f t="shared" si="29"/>
        <v>0</v>
      </c>
      <c r="U69" s="178">
        <v>0</v>
      </c>
      <c r="V69" s="80">
        <f t="shared" si="30"/>
        <v>0</v>
      </c>
      <c r="X69" s="192"/>
    </row>
    <row r="70" spans="1:24" ht="12.75" customHeight="1">
      <c r="A70" s="2" t="s">
        <v>414</v>
      </c>
      <c r="B70" s="35"/>
      <c r="C70" s="178">
        <v>142.77610799999997</v>
      </c>
      <c r="D70" s="80">
        <f t="shared" si="21"/>
        <v>1E-4</v>
      </c>
      <c r="E70" s="178">
        <v>170.00000000000003</v>
      </c>
      <c r="F70" s="80">
        <f t="shared" si="22"/>
        <v>1.0000000000000002E-4</v>
      </c>
      <c r="G70" s="178">
        <v>176.80000000000004</v>
      </c>
      <c r="H70" s="80">
        <f t="shared" si="23"/>
        <v>1.0000000000000002E-4</v>
      </c>
      <c r="I70" s="178">
        <v>183.87200000000001</v>
      </c>
      <c r="J70" s="80">
        <f t="shared" si="24"/>
        <v>1E-4</v>
      </c>
      <c r="K70" s="178">
        <v>189.38816000000003</v>
      </c>
      <c r="L70" s="80">
        <f t="shared" si="25"/>
        <v>9.9999999999999991E-5</v>
      </c>
      <c r="M70" s="178">
        <v>195.06980480000004</v>
      </c>
      <c r="N70" s="80">
        <f t="shared" si="26"/>
        <v>1.0000000000000002E-4</v>
      </c>
      <c r="O70" s="178">
        <v>200.92189894399999</v>
      </c>
      <c r="P70" s="80">
        <f t="shared" si="27"/>
        <v>9.9999999999999991E-5</v>
      </c>
      <c r="Q70" s="178">
        <v>206.94955591232002</v>
      </c>
      <c r="R70" s="80">
        <f t="shared" si="28"/>
        <v>1E-4</v>
      </c>
      <c r="S70" s="178">
        <v>213.15804258968964</v>
      </c>
      <c r="T70" s="80">
        <f t="shared" si="29"/>
        <v>1.0000000000000002E-4</v>
      </c>
      <c r="U70" s="178">
        <v>219.76594190997</v>
      </c>
      <c r="V70" s="80">
        <f t="shared" si="30"/>
        <v>9.9999999999999991E-5</v>
      </c>
      <c r="X70" s="192"/>
    </row>
    <row r="71" spans="1:24" ht="12.75" customHeight="1">
      <c r="A71" s="2" t="s">
        <v>415</v>
      </c>
      <c r="B71" s="35"/>
      <c r="C71" s="178">
        <v>0</v>
      </c>
      <c r="D71" s="80">
        <f t="shared" si="21"/>
        <v>0</v>
      </c>
      <c r="E71" s="178">
        <v>0</v>
      </c>
      <c r="F71" s="80">
        <f t="shared" si="22"/>
        <v>0</v>
      </c>
      <c r="G71" s="178">
        <v>0</v>
      </c>
      <c r="H71" s="80">
        <f t="shared" si="23"/>
        <v>0</v>
      </c>
      <c r="I71" s="178">
        <v>0</v>
      </c>
      <c r="J71" s="80">
        <f t="shared" si="24"/>
        <v>0</v>
      </c>
      <c r="K71" s="178">
        <v>0</v>
      </c>
      <c r="L71" s="80">
        <f t="shared" si="25"/>
        <v>0</v>
      </c>
      <c r="M71" s="178">
        <v>0</v>
      </c>
      <c r="N71" s="80">
        <f t="shared" si="26"/>
        <v>0</v>
      </c>
      <c r="O71" s="178">
        <v>0</v>
      </c>
      <c r="P71" s="80">
        <f t="shared" si="27"/>
        <v>0</v>
      </c>
      <c r="Q71" s="178">
        <v>0</v>
      </c>
      <c r="R71" s="80">
        <f t="shared" si="28"/>
        <v>0</v>
      </c>
      <c r="S71" s="178">
        <v>0</v>
      </c>
      <c r="T71" s="80">
        <f t="shared" si="29"/>
        <v>0</v>
      </c>
      <c r="U71" s="178">
        <v>0</v>
      </c>
      <c r="V71" s="80">
        <f t="shared" si="30"/>
        <v>0</v>
      </c>
      <c r="X71" s="192"/>
    </row>
    <row r="72" spans="1:24" ht="12.75" customHeight="1">
      <c r="A72" s="2" t="s">
        <v>416</v>
      </c>
      <c r="B72" s="35"/>
      <c r="C72" s="178">
        <v>0</v>
      </c>
      <c r="D72" s="80">
        <f t="shared" si="21"/>
        <v>0</v>
      </c>
      <c r="E72" s="178">
        <v>0</v>
      </c>
      <c r="F72" s="80">
        <f t="shared" si="22"/>
        <v>0</v>
      </c>
      <c r="G72" s="178">
        <v>0</v>
      </c>
      <c r="H72" s="80">
        <f t="shared" si="23"/>
        <v>0</v>
      </c>
      <c r="I72" s="178">
        <v>0</v>
      </c>
      <c r="J72" s="80">
        <f t="shared" si="24"/>
        <v>0</v>
      </c>
      <c r="K72" s="178">
        <v>0</v>
      </c>
      <c r="L72" s="80">
        <f t="shared" si="25"/>
        <v>0</v>
      </c>
      <c r="M72" s="178">
        <v>0</v>
      </c>
      <c r="N72" s="80">
        <f t="shared" si="26"/>
        <v>0</v>
      </c>
      <c r="O72" s="178">
        <v>0</v>
      </c>
      <c r="P72" s="80">
        <f t="shared" si="27"/>
        <v>0</v>
      </c>
      <c r="Q72" s="178">
        <v>0</v>
      </c>
      <c r="R72" s="80">
        <f t="shared" si="28"/>
        <v>0</v>
      </c>
      <c r="S72" s="178">
        <v>0</v>
      </c>
      <c r="T72" s="80">
        <f t="shared" si="29"/>
        <v>0</v>
      </c>
      <c r="U72" s="178">
        <v>0</v>
      </c>
      <c r="V72" s="80">
        <f t="shared" si="30"/>
        <v>0</v>
      </c>
      <c r="X72" s="192"/>
    </row>
    <row r="73" spans="1:24" ht="12.75" customHeight="1">
      <c r="A73" s="2" t="s">
        <v>417</v>
      </c>
      <c r="B73" s="35"/>
      <c r="C73" s="178">
        <v>0</v>
      </c>
      <c r="D73" s="80">
        <f t="shared" si="21"/>
        <v>0</v>
      </c>
      <c r="E73" s="178">
        <v>0</v>
      </c>
      <c r="F73" s="80">
        <f t="shared" si="22"/>
        <v>0</v>
      </c>
      <c r="G73" s="178">
        <v>0</v>
      </c>
      <c r="H73" s="80">
        <f t="shared" si="23"/>
        <v>0</v>
      </c>
      <c r="I73" s="178">
        <v>0</v>
      </c>
      <c r="J73" s="80">
        <f t="shared" si="24"/>
        <v>0</v>
      </c>
      <c r="K73" s="178">
        <v>0</v>
      </c>
      <c r="L73" s="80">
        <f t="shared" si="25"/>
        <v>0</v>
      </c>
      <c r="M73" s="178">
        <v>0</v>
      </c>
      <c r="N73" s="80">
        <f t="shared" si="26"/>
        <v>0</v>
      </c>
      <c r="O73" s="178">
        <v>0</v>
      </c>
      <c r="P73" s="80">
        <f t="shared" si="27"/>
        <v>0</v>
      </c>
      <c r="Q73" s="178">
        <v>0</v>
      </c>
      <c r="R73" s="80">
        <f t="shared" si="28"/>
        <v>0</v>
      </c>
      <c r="S73" s="178">
        <v>0</v>
      </c>
      <c r="T73" s="80">
        <f t="shared" si="29"/>
        <v>0</v>
      </c>
      <c r="U73" s="178">
        <v>0</v>
      </c>
      <c r="V73" s="80">
        <f t="shared" si="30"/>
        <v>0</v>
      </c>
      <c r="X73" s="192"/>
    </row>
    <row r="74" spans="1:24" ht="12.75" customHeight="1">
      <c r="A74" s="2" t="s">
        <v>418</v>
      </c>
      <c r="B74" s="35"/>
      <c r="C74" s="178">
        <v>0</v>
      </c>
      <c r="D74" s="80">
        <f t="shared" si="21"/>
        <v>0</v>
      </c>
      <c r="E74" s="178">
        <v>0</v>
      </c>
      <c r="F74" s="80">
        <f t="shared" si="22"/>
        <v>0</v>
      </c>
      <c r="G74" s="178">
        <v>0</v>
      </c>
      <c r="H74" s="80">
        <f t="shared" si="23"/>
        <v>0</v>
      </c>
      <c r="I74" s="178">
        <v>0</v>
      </c>
      <c r="J74" s="80">
        <f t="shared" si="24"/>
        <v>0</v>
      </c>
      <c r="K74" s="178">
        <v>0</v>
      </c>
      <c r="L74" s="80">
        <f t="shared" si="25"/>
        <v>0</v>
      </c>
      <c r="M74" s="178">
        <v>0</v>
      </c>
      <c r="N74" s="80">
        <f t="shared" si="26"/>
        <v>0</v>
      </c>
      <c r="O74" s="178">
        <v>0</v>
      </c>
      <c r="P74" s="80">
        <f t="shared" si="27"/>
        <v>0</v>
      </c>
      <c r="Q74" s="178">
        <v>0</v>
      </c>
      <c r="R74" s="80">
        <f t="shared" si="28"/>
        <v>0</v>
      </c>
      <c r="S74" s="178">
        <v>0</v>
      </c>
      <c r="T74" s="80">
        <f t="shared" si="29"/>
        <v>0</v>
      </c>
      <c r="U74" s="178">
        <v>0</v>
      </c>
      <c r="V74" s="80">
        <f t="shared" si="30"/>
        <v>0</v>
      </c>
      <c r="X74" s="192"/>
    </row>
    <row r="75" spans="1:24" ht="12.75" customHeight="1">
      <c r="A75" s="2" t="s">
        <v>419</v>
      </c>
      <c r="B75" s="35"/>
      <c r="C75" s="178">
        <v>6424.9248599999983</v>
      </c>
      <c r="D75" s="80">
        <f t="shared" si="21"/>
        <v>4.4999999999999997E-3</v>
      </c>
      <c r="E75" s="178">
        <v>7650</v>
      </c>
      <c r="F75" s="80">
        <f t="shared" si="22"/>
        <v>4.4999999999999997E-3</v>
      </c>
      <c r="G75" s="178">
        <v>7956</v>
      </c>
      <c r="H75" s="80">
        <f t="shared" si="23"/>
        <v>4.4999999999999997E-3</v>
      </c>
      <c r="I75" s="178">
        <v>8274.24</v>
      </c>
      <c r="J75" s="80">
        <f t="shared" si="24"/>
        <v>4.4999999999999997E-3</v>
      </c>
      <c r="K75" s="178">
        <v>8522.467200000001</v>
      </c>
      <c r="L75" s="80">
        <f t="shared" si="25"/>
        <v>4.4999999999999997E-3</v>
      </c>
      <c r="M75" s="178">
        <v>8778.1412160000018</v>
      </c>
      <c r="N75" s="80">
        <f t="shared" si="26"/>
        <v>4.5000000000000005E-3</v>
      </c>
      <c r="O75" s="178">
        <v>9041.4854524799994</v>
      </c>
      <c r="P75" s="80">
        <f t="shared" si="27"/>
        <v>4.4999999999999997E-3</v>
      </c>
      <c r="Q75" s="178">
        <v>9312.7300160544</v>
      </c>
      <c r="R75" s="80">
        <f t="shared" si="28"/>
        <v>4.4999999999999997E-3</v>
      </c>
      <c r="S75" s="178">
        <v>9592.1119165360324</v>
      </c>
      <c r="T75" s="80">
        <f t="shared" si="29"/>
        <v>4.4999999999999997E-3</v>
      </c>
      <c r="U75" s="178">
        <v>9889.4673859486502</v>
      </c>
      <c r="V75" s="80">
        <f t="shared" si="30"/>
        <v>4.4999999999999997E-3</v>
      </c>
      <c r="X75" s="192"/>
    </row>
    <row r="76" spans="1:24" ht="12.75" customHeight="1">
      <c r="A76" s="2" t="s">
        <v>420</v>
      </c>
      <c r="B76" s="35"/>
      <c r="C76" s="178">
        <v>571.10443199999986</v>
      </c>
      <c r="D76" s="80">
        <f t="shared" si="21"/>
        <v>4.0000000000000002E-4</v>
      </c>
      <c r="E76" s="178">
        <v>680.00000000000011</v>
      </c>
      <c r="F76" s="80">
        <f t="shared" si="22"/>
        <v>4.0000000000000007E-4</v>
      </c>
      <c r="G76" s="178">
        <v>707.20000000000016</v>
      </c>
      <c r="H76" s="80">
        <f t="shared" si="23"/>
        <v>4.0000000000000007E-4</v>
      </c>
      <c r="I76" s="178">
        <v>735.48800000000006</v>
      </c>
      <c r="J76" s="80">
        <f t="shared" si="24"/>
        <v>4.0000000000000002E-4</v>
      </c>
      <c r="K76" s="178">
        <v>757.55264000000011</v>
      </c>
      <c r="L76" s="80">
        <f t="shared" si="25"/>
        <v>3.9999999999999996E-4</v>
      </c>
      <c r="M76" s="178">
        <v>780.27921920000017</v>
      </c>
      <c r="N76" s="80">
        <f t="shared" si="26"/>
        <v>4.0000000000000007E-4</v>
      </c>
      <c r="O76" s="178">
        <v>803.68759577599997</v>
      </c>
      <c r="P76" s="80">
        <f t="shared" si="27"/>
        <v>3.9999999999999996E-4</v>
      </c>
      <c r="Q76" s="178">
        <v>827.79822364928009</v>
      </c>
      <c r="R76" s="80">
        <f t="shared" si="28"/>
        <v>4.0000000000000002E-4</v>
      </c>
      <c r="S76" s="178">
        <v>852.63217035875857</v>
      </c>
      <c r="T76" s="80">
        <f t="shared" si="29"/>
        <v>4.0000000000000007E-4</v>
      </c>
      <c r="U76" s="178">
        <v>879.06376763987998</v>
      </c>
      <c r="V76" s="80">
        <f t="shared" si="30"/>
        <v>3.9999999999999996E-4</v>
      </c>
      <c r="X76" s="192"/>
    </row>
    <row r="77" spans="1:24" ht="12.75" customHeight="1">
      <c r="A77" s="2" t="s">
        <v>421</v>
      </c>
      <c r="B77" s="35"/>
      <c r="C77" s="178">
        <v>1856.0894039999996</v>
      </c>
      <c r="D77" s="80">
        <f t="shared" si="21"/>
        <v>1.3000000000000002E-3</v>
      </c>
      <c r="E77" s="178">
        <v>2210</v>
      </c>
      <c r="F77" s="80">
        <f t="shared" si="22"/>
        <v>1.2999999999999999E-3</v>
      </c>
      <c r="G77" s="178">
        <v>2298.4</v>
      </c>
      <c r="H77" s="80">
        <f t="shared" si="23"/>
        <v>1.3000000000000002E-3</v>
      </c>
      <c r="I77" s="178">
        <v>2390.3360000000002</v>
      </c>
      <c r="J77" s="80">
        <f t="shared" si="24"/>
        <v>1.3000000000000002E-3</v>
      </c>
      <c r="K77" s="178">
        <v>2462.0460800000001</v>
      </c>
      <c r="L77" s="80">
        <f t="shared" si="25"/>
        <v>1.2999999999999997E-3</v>
      </c>
      <c r="M77" s="178">
        <v>2535.9074624000004</v>
      </c>
      <c r="N77" s="80">
        <f t="shared" si="26"/>
        <v>1.3000000000000002E-3</v>
      </c>
      <c r="O77" s="178">
        <v>2611.9846862719996</v>
      </c>
      <c r="P77" s="80">
        <f t="shared" si="27"/>
        <v>1.2999999999999997E-3</v>
      </c>
      <c r="Q77" s="178">
        <v>2690.3442268601598</v>
      </c>
      <c r="R77" s="80">
        <f t="shared" si="28"/>
        <v>1.2999999999999997E-3</v>
      </c>
      <c r="S77" s="178">
        <v>2771.0545536659652</v>
      </c>
      <c r="T77" s="80">
        <f t="shared" si="29"/>
        <v>1.3000000000000002E-3</v>
      </c>
      <c r="U77" s="178">
        <v>2856.9572448296099</v>
      </c>
      <c r="V77" s="80">
        <f t="shared" si="30"/>
        <v>1.2999999999999999E-3</v>
      </c>
      <c r="X77" s="192"/>
    </row>
    <row r="78" spans="1:24" ht="12.75" customHeight="1">
      <c r="A78" s="2" t="s">
        <v>422</v>
      </c>
      <c r="B78" s="35"/>
      <c r="C78" s="178">
        <v>31410.74375999999</v>
      </c>
      <c r="D78" s="80">
        <f t="shared" si="21"/>
        <v>2.1999999999999999E-2</v>
      </c>
      <c r="E78" s="178">
        <v>37400</v>
      </c>
      <c r="F78" s="80">
        <f t="shared" si="22"/>
        <v>2.1999999999999999E-2</v>
      </c>
      <c r="G78" s="178">
        <v>38896</v>
      </c>
      <c r="H78" s="80">
        <f t="shared" si="23"/>
        <v>2.1999999999999999E-2</v>
      </c>
      <c r="I78" s="178">
        <v>40451.839999999997</v>
      </c>
      <c r="J78" s="80">
        <f t="shared" si="24"/>
        <v>2.1999999999999999E-2</v>
      </c>
      <c r="K78" s="178">
        <v>41665.395200000006</v>
      </c>
      <c r="L78" s="80">
        <f t="shared" si="25"/>
        <v>2.1999999999999999E-2</v>
      </c>
      <c r="M78" s="178">
        <v>42915.357056000008</v>
      </c>
      <c r="N78" s="80">
        <f t="shared" si="26"/>
        <v>2.2000000000000002E-2</v>
      </c>
      <c r="O78" s="178">
        <v>44202.817767679997</v>
      </c>
      <c r="P78" s="80">
        <f t="shared" si="27"/>
        <v>2.1999999999999995E-2</v>
      </c>
      <c r="Q78" s="178">
        <v>45528.902300710397</v>
      </c>
      <c r="R78" s="80">
        <f t="shared" si="28"/>
        <v>2.1999999999999999E-2</v>
      </c>
      <c r="S78" s="178">
        <v>46894.769369731715</v>
      </c>
      <c r="T78" s="80">
        <f t="shared" si="29"/>
        <v>2.2000000000000002E-2</v>
      </c>
      <c r="U78" s="178">
        <v>48348.507220193402</v>
      </c>
      <c r="V78" s="80">
        <f t="shared" si="30"/>
        <v>2.1999999999999999E-2</v>
      </c>
      <c r="X78" s="192"/>
    </row>
    <row r="79" spans="1:24" ht="12.75" customHeight="1">
      <c r="A79" s="2" t="s">
        <v>423</v>
      </c>
      <c r="B79" s="35"/>
      <c r="C79" s="178">
        <v>0</v>
      </c>
      <c r="D79" s="80">
        <f t="shared" si="21"/>
        <v>0</v>
      </c>
      <c r="E79" s="178">
        <v>0</v>
      </c>
      <c r="F79" s="80">
        <f t="shared" si="22"/>
        <v>0</v>
      </c>
      <c r="G79" s="178">
        <v>0</v>
      </c>
      <c r="H79" s="80">
        <f t="shared" si="23"/>
        <v>0</v>
      </c>
      <c r="I79" s="178">
        <v>0</v>
      </c>
      <c r="J79" s="80">
        <f t="shared" si="24"/>
        <v>0</v>
      </c>
      <c r="K79" s="178">
        <v>0</v>
      </c>
      <c r="L79" s="80">
        <f t="shared" si="25"/>
        <v>0</v>
      </c>
      <c r="M79" s="178">
        <v>0</v>
      </c>
      <c r="N79" s="80">
        <f t="shared" si="26"/>
        <v>0</v>
      </c>
      <c r="O79" s="178">
        <v>0</v>
      </c>
      <c r="P79" s="80">
        <f t="shared" si="27"/>
        <v>0</v>
      </c>
      <c r="Q79" s="178">
        <v>0</v>
      </c>
      <c r="R79" s="80">
        <f t="shared" si="28"/>
        <v>0</v>
      </c>
      <c r="S79" s="178">
        <v>0</v>
      </c>
      <c r="T79" s="80">
        <f t="shared" si="29"/>
        <v>0</v>
      </c>
      <c r="U79" s="178">
        <v>0</v>
      </c>
      <c r="V79" s="80">
        <f t="shared" si="30"/>
        <v>0</v>
      </c>
      <c r="X79" s="192"/>
    </row>
    <row r="80" spans="1:24" ht="12.75" customHeight="1">
      <c r="A80" s="2" t="s">
        <v>424</v>
      </c>
      <c r="B80" s="35"/>
      <c r="C80" s="178">
        <v>0</v>
      </c>
      <c r="D80" s="80">
        <f t="shared" si="21"/>
        <v>0</v>
      </c>
      <c r="E80" s="178">
        <v>0</v>
      </c>
      <c r="F80" s="80">
        <f t="shared" si="22"/>
        <v>0</v>
      </c>
      <c r="G80" s="178">
        <v>0</v>
      </c>
      <c r="H80" s="80">
        <f t="shared" si="23"/>
        <v>0</v>
      </c>
      <c r="I80" s="178">
        <v>0</v>
      </c>
      <c r="J80" s="80">
        <f t="shared" si="24"/>
        <v>0</v>
      </c>
      <c r="K80" s="178">
        <v>0</v>
      </c>
      <c r="L80" s="80">
        <f t="shared" si="25"/>
        <v>0</v>
      </c>
      <c r="M80" s="178">
        <v>0</v>
      </c>
      <c r="N80" s="80">
        <f t="shared" si="26"/>
        <v>0</v>
      </c>
      <c r="O80" s="178">
        <v>0</v>
      </c>
      <c r="P80" s="80">
        <f t="shared" si="27"/>
        <v>0</v>
      </c>
      <c r="Q80" s="178">
        <v>0</v>
      </c>
      <c r="R80" s="80">
        <f t="shared" si="28"/>
        <v>0</v>
      </c>
      <c r="S80" s="178">
        <v>0</v>
      </c>
      <c r="T80" s="80">
        <f t="shared" si="29"/>
        <v>0</v>
      </c>
      <c r="U80" s="178">
        <v>0</v>
      </c>
      <c r="V80" s="80">
        <f t="shared" si="30"/>
        <v>0</v>
      </c>
      <c r="X80" s="192"/>
    </row>
    <row r="81" spans="1:24" ht="12.75" customHeight="1">
      <c r="A81" s="2" t="s">
        <v>425</v>
      </c>
      <c r="B81" s="35"/>
      <c r="C81" s="178">
        <v>0</v>
      </c>
      <c r="D81" s="80">
        <f t="shared" si="21"/>
        <v>0</v>
      </c>
      <c r="E81" s="178">
        <v>0</v>
      </c>
      <c r="F81" s="80">
        <f t="shared" si="22"/>
        <v>0</v>
      </c>
      <c r="G81" s="178">
        <v>0</v>
      </c>
      <c r="H81" s="80">
        <f t="shared" si="23"/>
        <v>0</v>
      </c>
      <c r="I81" s="178">
        <v>0</v>
      </c>
      <c r="J81" s="80">
        <f t="shared" si="24"/>
        <v>0</v>
      </c>
      <c r="K81" s="178">
        <v>0</v>
      </c>
      <c r="L81" s="80">
        <f t="shared" si="25"/>
        <v>0</v>
      </c>
      <c r="M81" s="178">
        <v>0</v>
      </c>
      <c r="N81" s="80">
        <f t="shared" si="26"/>
        <v>0</v>
      </c>
      <c r="O81" s="178">
        <v>0</v>
      </c>
      <c r="P81" s="80">
        <f t="shared" si="27"/>
        <v>0</v>
      </c>
      <c r="Q81" s="178">
        <v>0</v>
      </c>
      <c r="R81" s="80">
        <f t="shared" si="28"/>
        <v>0</v>
      </c>
      <c r="S81" s="178">
        <v>0</v>
      </c>
      <c r="T81" s="80">
        <f t="shared" si="29"/>
        <v>0</v>
      </c>
      <c r="U81" s="178">
        <v>0</v>
      </c>
      <c r="V81" s="80">
        <f t="shared" si="30"/>
        <v>0</v>
      </c>
      <c r="X81" s="192"/>
    </row>
    <row r="82" spans="1:24" ht="12.75" customHeight="1">
      <c r="A82" s="2" t="s">
        <v>426</v>
      </c>
      <c r="B82" s="35"/>
      <c r="C82" s="178">
        <v>0</v>
      </c>
      <c r="D82" s="80">
        <f t="shared" si="21"/>
        <v>0</v>
      </c>
      <c r="E82" s="178">
        <v>0</v>
      </c>
      <c r="F82" s="80">
        <f t="shared" si="22"/>
        <v>0</v>
      </c>
      <c r="G82" s="178">
        <v>0</v>
      </c>
      <c r="H82" s="80">
        <f t="shared" si="23"/>
        <v>0</v>
      </c>
      <c r="I82" s="178">
        <v>0</v>
      </c>
      <c r="J82" s="80">
        <f t="shared" si="24"/>
        <v>0</v>
      </c>
      <c r="K82" s="178">
        <v>0</v>
      </c>
      <c r="L82" s="80">
        <f t="shared" si="25"/>
        <v>0</v>
      </c>
      <c r="M82" s="178">
        <v>0</v>
      </c>
      <c r="N82" s="80">
        <f t="shared" si="26"/>
        <v>0</v>
      </c>
      <c r="O82" s="178">
        <v>0</v>
      </c>
      <c r="P82" s="80">
        <f t="shared" si="27"/>
        <v>0</v>
      </c>
      <c r="Q82" s="178">
        <v>0</v>
      </c>
      <c r="R82" s="80">
        <f t="shared" si="28"/>
        <v>0</v>
      </c>
      <c r="S82" s="178">
        <v>0</v>
      </c>
      <c r="T82" s="80">
        <f t="shared" si="29"/>
        <v>0</v>
      </c>
      <c r="U82" s="178">
        <v>0</v>
      </c>
      <c r="V82" s="80">
        <f t="shared" si="30"/>
        <v>0</v>
      </c>
      <c r="X82" s="192"/>
    </row>
    <row r="83" spans="1:24" ht="12.75" customHeight="1">
      <c r="A83" s="2" t="s">
        <v>427</v>
      </c>
      <c r="B83" s="35"/>
      <c r="C83" s="178">
        <v>0</v>
      </c>
      <c r="D83" s="80">
        <f t="shared" si="21"/>
        <v>0</v>
      </c>
      <c r="E83" s="178">
        <v>0</v>
      </c>
      <c r="F83" s="80">
        <f t="shared" si="22"/>
        <v>0</v>
      </c>
      <c r="G83" s="178">
        <v>0</v>
      </c>
      <c r="H83" s="80">
        <f t="shared" si="23"/>
        <v>0</v>
      </c>
      <c r="I83" s="178">
        <v>0</v>
      </c>
      <c r="J83" s="80">
        <f t="shared" si="24"/>
        <v>0</v>
      </c>
      <c r="K83" s="178">
        <v>0</v>
      </c>
      <c r="L83" s="80">
        <f t="shared" si="25"/>
        <v>0</v>
      </c>
      <c r="M83" s="178">
        <v>0</v>
      </c>
      <c r="N83" s="80">
        <f t="shared" si="26"/>
        <v>0</v>
      </c>
      <c r="O83" s="178">
        <v>0</v>
      </c>
      <c r="P83" s="80">
        <f t="shared" si="27"/>
        <v>0</v>
      </c>
      <c r="Q83" s="178">
        <v>0</v>
      </c>
      <c r="R83" s="80">
        <f t="shared" si="28"/>
        <v>0</v>
      </c>
      <c r="S83" s="178">
        <v>0</v>
      </c>
      <c r="T83" s="80">
        <f t="shared" si="29"/>
        <v>0</v>
      </c>
      <c r="U83" s="178">
        <v>0</v>
      </c>
      <c r="V83" s="80">
        <f t="shared" si="30"/>
        <v>0</v>
      </c>
      <c r="X83" s="192"/>
    </row>
    <row r="84" spans="1:24" ht="12.75" customHeight="1">
      <c r="A84" s="2" t="s">
        <v>428</v>
      </c>
      <c r="B84" s="35"/>
      <c r="C84" s="178">
        <v>0</v>
      </c>
      <c r="D84" s="80">
        <f t="shared" si="21"/>
        <v>0</v>
      </c>
      <c r="E84" s="178">
        <v>0</v>
      </c>
      <c r="F84" s="80">
        <f t="shared" si="22"/>
        <v>0</v>
      </c>
      <c r="G84" s="178">
        <v>0</v>
      </c>
      <c r="H84" s="80">
        <f t="shared" si="23"/>
        <v>0</v>
      </c>
      <c r="I84" s="178">
        <v>0</v>
      </c>
      <c r="J84" s="80">
        <f t="shared" si="24"/>
        <v>0</v>
      </c>
      <c r="K84" s="178">
        <v>0</v>
      </c>
      <c r="L84" s="80">
        <f t="shared" si="25"/>
        <v>0</v>
      </c>
      <c r="M84" s="178">
        <v>0</v>
      </c>
      <c r="N84" s="80">
        <f t="shared" si="26"/>
        <v>0</v>
      </c>
      <c r="O84" s="178">
        <v>0</v>
      </c>
      <c r="P84" s="80">
        <f t="shared" si="27"/>
        <v>0</v>
      </c>
      <c r="Q84" s="178">
        <v>0</v>
      </c>
      <c r="R84" s="80">
        <f t="shared" si="28"/>
        <v>0</v>
      </c>
      <c r="S84" s="178">
        <v>0</v>
      </c>
      <c r="T84" s="80">
        <f t="shared" si="29"/>
        <v>0</v>
      </c>
      <c r="U84" s="178">
        <v>0</v>
      </c>
      <c r="V84" s="80">
        <f t="shared" si="30"/>
        <v>0</v>
      </c>
      <c r="X84" s="192"/>
    </row>
    <row r="85" spans="1:24" ht="12.75" customHeight="1">
      <c r="A85" s="2" t="s">
        <v>429</v>
      </c>
      <c r="B85" s="35"/>
      <c r="C85" s="178">
        <v>0</v>
      </c>
      <c r="D85" s="80">
        <f t="shared" si="21"/>
        <v>0</v>
      </c>
      <c r="E85" s="178">
        <v>0</v>
      </c>
      <c r="F85" s="80">
        <f t="shared" si="22"/>
        <v>0</v>
      </c>
      <c r="G85" s="178">
        <v>0</v>
      </c>
      <c r="H85" s="80">
        <f t="shared" si="23"/>
        <v>0</v>
      </c>
      <c r="I85" s="178">
        <v>0</v>
      </c>
      <c r="J85" s="80">
        <f t="shared" si="24"/>
        <v>0</v>
      </c>
      <c r="K85" s="178">
        <v>0</v>
      </c>
      <c r="L85" s="80">
        <f t="shared" si="25"/>
        <v>0</v>
      </c>
      <c r="M85" s="178">
        <v>0</v>
      </c>
      <c r="N85" s="80">
        <f t="shared" si="26"/>
        <v>0</v>
      </c>
      <c r="O85" s="178">
        <v>0</v>
      </c>
      <c r="P85" s="80">
        <f t="shared" si="27"/>
        <v>0</v>
      </c>
      <c r="Q85" s="178">
        <v>0</v>
      </c>
      <c r="R85" s="80">
        <f t="shared" si="28"/>
        <v>0</v>
      </c>
      <c r="S85" s="178">
        <v>0</v>
      </c>
      <c r="T85" s="80">
        <f t="shared" si="29"/>
        <v>0</v>
      </c>
      <c r="U85" s="178">
        <v>0</v>
      </c>
      <c r="V85" s="80">
        <f t="shared" si="30"/>
        <v>0</v>
      </c>
      <c r="X85" s="192"/>
    </row>
    <row r="86" spans="1:24" ht="12.75" customHeight="1">
      <c r="A86" s="2" t="s">
        <v>430</v>
      </c>
      <c r="B86" s="35"/>
      <c r="C86" s="178">
        <v>5711.0443199999991</v>
      </c>
      <c r="D86" s="80">
        <f t="shared" si="21"/>
        <v>4.0000000000000001E-3</v>
      </c>
      <c r="E86" s="178">
        <v>6800.0000000000009</v>
      </c>
      <c r="F86" s="80">
        <f t="shared" si="22"/>
        <v>4.000000000000001E-3</v>
      </c>
      <c r="G86" s="178">
        <v>7072.0000000000009</v>
      </c>
      <c r="H86" s="80">
        <f t="shared" si="23"/>
        <v>4.0000000000000001E-3</v>
      </c>
      <c r="I86" s="178">
        <v>7354.880000000001</v>
      </c>
      <c r="J86" s="80">
        <f t="shared" si="24"/>
        <v>4.000000000000001E-3</v>
      </c>
      <c r="K86" s="178">
        <v>7575.5264000000016</v>
      </c>
      <c r="L86" s="80">
        <f t="shared" si="25"/>
        <v>4.0000000000000001E-3</v>
      </c>
      <c r="M86" s="178">
        <v>7802.7921920000008</v>
      </c>
      <c r="N86" s="80">
        <f t="shared" si="26"/>
        <v>4.0000000000000001E-3</v>
      </c>
      <c r="O86" s="178">
        <v>8036.8759577600003</v>
      </c>
      <c r="P86" s="80">
        <f t="shared" si="27"/>
        <v>4.0000000000000001E-3</v>
      </c>
      <c r="Q86" s="178">
        <v>8277.9822364928004</v>
      </c>
      <c r="R86" s="80">
        <f t="shared" si="28"/>
        <v>4.0000000000000001E-3</v>
      </c>
      <c r="S86" s="178">
        <v>8526.3217035875841</v>
      </c>
      <c r="T86" s="80">
        <f t="shared" si="29"/>
        <v>4.0000000000000001E-3</v>
      </c>
      <c r="U86" s="178">
        <v>8790.6376763987992</v>
      </c>
      <c r="V86" s="80">
        <f t="shared" si="30"/>
        <v>3.9999999999999992E-3</v>
      </c>
      <c r="X86" s="192"/>
    </row>
    <row r="87" spans="1:24" ht="12.75" customHeight="1">
      <c r="A87" s="2" t="s">
        <v>431</v>
      </c>
      <c r="B87" s="35"/>
      <c r="C87" s="178">
        <v>0</v>
      </c>
      <c r="D87" s="80">
        <f t="shared" si="21"/>
        <v>0</v>
      </c>
      <c r="E87" s="178">
        <v>0</v>
      </c>
      <c r="F87" s="80">
        <f t="shared" si="22"/>
        <v>0</v>
      </c>
      <c r="G87" s="178">
        <v>0</v>
      </c>
      <c r="H87" s="80">
        <f t="shared" si="23"/>
        <v>0</v>
      </c>
      <c r="I87" s="178">
        <v>0</v>
      </c>
      <c r="J87" s="80">
        <f t="shared" si="24"/>
        <v>0</v>
      </c>
      <c r="K87" s="178">
        <v>0</v>
      </c>
      <c r="L87" s="80">
        <f t="shared" si="25"/>
        <v>0</v>
      </c>
      <c r="M87" s="178">
        <v>0</v>
      </c>
      <c r="N87" s="80">
        <f t="shared" si="26"/>
        <v>0</v>
      </c>
      <c r="O87" s="178">
        <v>0</v>
      </c>
      <c r="P87" s="80">
        <f t="shared" si="27"/>
        <v>0</v>
      </c>
      <c r="Q87" s="178">
        <v>0</v>
      </c>
      <c r="R87" s="80">
        <f t="shared" si="28"/>
        <v>0</v>
      </c>
      <c r="S87" s="178">
        <v>0</v>
      </c>
      <c r="T87" s="80">
        <f t="shared" si="29"/>
        <v>0</v>
      </c>
      <c r="U87" s="178">
        <v>0</v>
      </c>
      <c r="V87" s="80">
        <f t="shared" si="30"/>
        <v>0</v>
      </c>
      <c r="X87" s="192"/>
    </row>
    <row r="88" spans="1:24" ht="12.75" customHeight="1">
      <c r="A88" s="2" t="s">
        <v>432</v>
      </c>
      <c r="B88" s="35"/>
      <c r="C88" s="178">
        <v>7281.5815079999984</v>
      </c>
      <c r="D88" s="80">
        <f t="shared" si="21"/>
        <v>5.1000000000000004E-3</v>
      </c>
      <c r="E88" s="178">
        <v>8670</v>
      </c>
      <c r="F88" s="80">
        <f t="shared" si="22"/>
        <v>5.1000000000000004E-3</v>
      </c>
      <c r="G88" s="178">
        <v>9016.8000000000011</v>
      </c>
      <c r="H88" s="80">
        <f t="shared" si="23"/>
        <v>5.1000000000000004E-3</v>
      </c>
      <c r="I88" s="178">
        <v>9377.4720000000016</v>
      </c>
      <c r="J88" s="80">
        <f t="shared" si="24"/>
        <v>5.1000000000000012E-3</v>
      </c>
      <c r="K88" s="178">
        <v>9658.7961600000017</v>
      </c>
      <c r="L88" s="80">
        <f t="shared" si="25"/>
        <v>5.1000000000000004E-3</v>
      </c>
      <c r="M88" s="178">
        <v>9948.5600448000023</v>
      </c>
      <c r="N88" s="80">
        <f t="shared" si="26"/>
        <v>5.1000000000000004E-3</v>
      </c>
      <c r="O88" s="178">
        <v>10247.016846143999</v>
      </c>
      <c r="P88" s="80">
        <f t="shared" si="27"/>
        <v>5.0999999999999995E-3</v>
      </c>
      <c r="Q88" s="178">
        <v>10554.42735152832</v>
      </c>
      <c r="R88" s="80">
        <f t="shared" si="28"/>
        <v>5.0999999999999995E-3</v>
      </c>
      <c r="S88" s="178">
        <v>10871.060172074171</v>
      </c>
      <c r="T88" s="80">
        <f t="shared" si="29"/>
        <v>5.1000000000000004E-3</v>
      </c>
      <c r="U88" s="178">
        <v>11208.06303740847</v>
      </c>
      <c r="V88" s="80">
        <f t="shared" si="30"/>
        <v>5.0999999999999995E-3</v>
      </c>
      <c r="X88" s="192"/>
    </row>
    <row r="89" spans="1:24" ht="12.75" customHeight="1">
      <c r="A89" s="2" t="s">
        <v>433</v>
      </c>
      <c r="B89" s="35"/>
      <c r="C89" s="178">
        <v>0</v>
      </c>
      <c r="D89" s="80">
        <f t="shared" si="21"/>
        <v>0</v>
      </c>
      <c r="E89" s="178">
        <v>0</v>
      </c>
      <c r="F89" s="80">
        <f t="shared" si="22"/>
        <v>0</v>
      </c>
      <c r="G89" s="178">
        <v>0</v>
      </c>
      <c r="H89" s="80">
        <f t="shared" si="23"/>
        <v>0</v>
      </c>
      <c r="I89" s="178">
        <v>0</v>
      </c>
      <c r="J89" s="80">
        <f t="shared" si="24"/>
        <v>0</v>
      </c>
      <c r="K89" s="178">
        <v>0</v>
      </c>
      <c r="L89" s="80">
        <f t="shared" si="25"/>
        <v>0</v>
      </c>
      <c r="M89" s="178">
        <v>0</v>
      </c>
      <c r="N89" s="80">
        <f t="shared" si="26"/>
        <v>0</v>
      </c>
      <c r="O89" s="178">
        <v>0</v>
      </c>
      <c r="P89" s="80">
        <f t="shared" si="27"/>
        <v>0</v>
      </c>
      <c r="Q89" s="178">
        <v>0</v>
      </c>
      <c r="R89" s="80">
        <f t="shared" si="28"/>
        <v>0</v>
      </c>
      <c r="S89" s="178">
        <v>0</v>
      </c>
      <c r="T89" s="80">
        <f t="shared" si="29"/>
        <v>0</v>
      </c>
      <c r="U89" s="178">
        <v>0</v>
      </c>
      <c r="V89" s="80">
        <f t="shared" si="30"/>
        <v>0</v>
      </c>
      <c r="X89" s="192"/>
    </row>
    <row r="90" spans="1:24" ht="12.75" customHeight="1">
      <c r="A90" s="2" t="s">
        <v>434</v>
      </c>
      <c r="B90" s="35"/>
      <c r="C90" s="178">
        <v>285.55221599999993</v>
      </c>
      <c r="D90" s="80">
        <f t="shared" si="21"/>
        <v>2.0000000000000001E-4</v>
      </c>
      <c r="E90" s="178">
        <v>340.00000000000006</v>
      </c>
      <c r="F90" s="80">
        <f t="shared" si="22"/>
        <v>2.0000000000000004E-4</v>
      </c>
      <c r="G90" s="178">
        <v>353.60000000000008</v>
      </c>
      <c r="H90" s="80">
        <f t="shared" si="23"/>
        <v>2.0000000000000004E-4</v>
      </c>
      <c r="I90" s="178">
        <v>367.74400000000003</v>
      </c>
      <c r="J90" s="80">
        <f t="shared" si="24"/>
        <v>2.0000000000000001E-4</v>
      </c>
      <c r="K90" s="178">
        <v>378.77632000000006</v>
      </c>
      <c r="L90" s="80">
        <f t="shared" si="25"/>
        <v>1.9999999999999998E-4</v>
      </c>
      <c r="M90" s="178">
        <v>390.13960960000009</v>
      </c>
      <c r="N90" s="80">
        <f t="shared" si="26"/>
        <v>2.0000000000000004E-4</v>
      </c>
      <c r="O90" s="178">
        <v>401.84379788799998</v>
      </c>
      <c r="P90" s="80">
        <f t="shared" si="27"/>
        <v>1.9999999999999998E-4</v>
      </c>
      <c r="Q90" s="178">
        <v>413.89911182464004</v>
      </c>
      <c r="R90" s="80">
        <f t="shared" si="28"/>
        <v>2.0000000000000001E-4</v>
      </c>
      <c r="S90" s="178">
        <v>426.31608517937929</v>
      </c>
      <c r="T90" s="80">
        <f t="shared" si="29"/>
        <v>2.0000000000000004E-4</v>
      </c>
      <c r="U90" s="178">
        <v>439.53188381993999</v>
      </c>
      <c r="V90" s="80">
        <f t="shared" si="30"/>
        <v>1.9999999999999998E-4</v>
      </c>
      <c r="X90" s="192"/>
    </row>
    <row r="91" spans="1:24" ht="12.75" customHeight="1">
      <c r="A91" s="2" t="s">
        <v>435</v>
      </c>
      <c r="C91" s="178">
        <v>0</v>
      </c>
      <c r="D91" s="80">
        <f t="shared" si="21"/>
        <v>0</v>
      </c>
      <c r="E91" s="178">
        <v>0</v>
      </c>
      <c r="F91" s="80">
        <f t="shared" si="22"/>
        <v>0</v>
      </c>
      <c r="G91" s="178">
        <v>0</v>
      </c>
      <c r="H91" s="80">
        <f t="shared" si="23"/>
        <v>0</v>
      </c>
      <c r="I91" s="178">
        <v>0</v>
      </c>
      <c r="J91" s="80">
        <f t="shared" si="24"/>
        <v>0</v>
      </c>
      <c r="K91" s="178">
        <v>0</v>
      </c>
      <c r="L91" s="80">
        <f t="shared" si="25"/>
        <v>0</v>
      </c>
      <c r="M91" s="178">
        <v>0</v>
      </c>
      <c r="N91" s="80">
        <f t="shared" si="26"/>
        <v>0</v>
      </c>
      <c r="O91" s="178">
        <v>0</v>
      </c>
      <c r="P91" s="80">
        <f t="shared" si="27"/>
        <v>0</v>
      </c>
      <c r="Q91" s="178">
        <v>0</v>
      </c>
      <c r="R91" s="80">
        <f t="shared" si="28"/>
        <v>0</v>
      </c>
      <c r="S91" s="178">
        <v>0</v>
      </c>
      <c r="T91" s="80">
        <f t="shared" si="29"/>
        <v>0</v>
      </c>
      <c r="U91" s="178">
        <v>0</v>
      </c>
      <c r="V91" s="80">
        <f t="shared" si="30"/>
        <v>0</v>
      </c>
      <c r="X91" s="192"/>
    </row>
    <row r="92" spans="1:24" ht="12.75" customHeight="1">
      <c r="A92" s="2" t="s">
        <v>436</v>
      </c>
      <c r="B92" s="35"/>
      <c r="C92" s="178">
        <v>7424.3576159999984</v>
      </c>
      <c r="D92" s="80">
        <f t="shared" si="21"/>
        <v>5.2000000000000006E-3</v>
      </c>
      <c r="E92" s="178">
        <v>8840</v>
      </c>
      <c r="F92" s="80">
        <f t="shared" si="22"/>
        <v>5.1999999999999998E-3</v>
      </c>
      <c r="G92" s="178">
        <v>9193.6</v>
      </c>
      <c r="H92" s="80">
        <f t="shared" si="23"/>
        <v>5.2000000000000006E-3</v>
      </c>
      <c r="I92" s="178">
        <v>9561.344000000001</v>
      </c>
      <c r="J92" s="80">
        <f t="shared" si="24"/>
        <v>5.2000000000000006E-3</v>
      </c>
      <c r="K92" s="178">
        <v>9848.1843200000003</v>
      </c>
      <c r="L92" s="80">
        <f t="shared" si="25"/>
        <v>5.1999999999999989E-3</v>
      </c>
      <c r="M92" s="178">
        <v>10143.629849600002</v>
      </c>
      <c r="N92" s="80">
        <f t="shared" si="26"/>
        <v>5.2000000000000006E-3</v>
      </c>
      <c r="O92" s="178">
        <v>10447.938745087999</v>
      </c>
      <c r="P92" s="80">
        <f t="shared" si="27"/>
        <v>5.1999999999999989E-3</v>
      </c>
      <c r="Q92" s="178">
        <v>10761.376907440639</v>
      </c>
      <c r="R92" s="80">
        <f t="shared" si="28"/>
        <v>5.1999999999999989E-3</v>
      </c>
      <c r="S92" s="178">
        <v>11084.218214663861</v>
      </c>
      <c r="T92" s="80">
        <f t="shared" si="29"/>
        <v>5.2000000000000006E-3</v>
      </c>
      <c r="U92" s="178">
        <v>11427.828979318439</v>
      </c>
      <c r="V92" s="80">
        <f t="shared" si="30"/>
        <v>5.1999999999999998E-3</v>
      </c>
      <c r="X92" s="192"/>
    </row>
    <row r="93" spans="1:24" ht="12.75" customHeight="1">
      <c r="A93" s="2" t="s">
        <v>437</v>
      </c>
      <c r="B93" s="35"/>
      <c r="C93" s="178">
        <v>0</v>
      </c>
      <c r="D93" s="80">
        <f t="shared" si="21"/>
        <v>0</v>
      </c>
      <c r="E93" s="178">
        <v>0</v>
      </c>
      <c r="F93" s="80">
        <f t="shared" si="22"/>
        <v>0</v>
      </c>
      <c r="G93" s="178">
        <v>0</v>
      </c>
      <c r="H93" s="80">
        <f t="shared" si="23"/>
        <v>0</v>
      </c>
      <c r="I93" s="178">
        <v>0</v>
      </c>
      <c r="J93" s="80">
        <f t="shared" si="24"/>
        <v>0</v>
      </c>
      <c r="K93" s="178">
        <v>0</v>
      </c>
      <c r="L93" s="80">
        <f t="shared" si="25"/>
        <v>0</v>
      </c>
      <c r="M93" s="178">
        <v>0</v>
      </c>
      <c r="N93" s="80">
        <f t="shared" si="26"/>
        <v>0</v>
      </c>
      <c r="O93" s="178">
        <v>0</v>
      </c>
      <c r="P93" s="80">
        <f t="shared" si="27"/>
        <v>0</v>
      </c>
      <c r="Q93" s="178">
        <v>0</v>
      </c>
      <c r="R93" s="80">
        <f t="shared" si="28"/>
        <v>0</v>
      </c>
      <c r="S93" s="178">
        <v>0</v>
      </c>
      <c r="T93" s="80">
        <f t="shared" si="29"/>
        <v>0</v>
      </c>
      <c r="U93" s="178">
        <v>0</v>
      </c>
      <c r="V93" s="80">
        <f t="shared" si="30"/>
        <v>0</v>
      </c>
      <c r="X93" s="192"/>
    </row>
    <row r="94" spans="1:24" ht="12.75" customHeight="1">
      <c r="A94" s="2" t="s">
        <v>438</v>
      </c>
      <c r="B94" s="35"/>
      <c r="C94" s="178">
        <v>0</v>
      </c>
      <c r="D94" s="80">
        <f t="shared" si="21"/>
        <v>0</v>
      </c>
      <c r="E94" s="178">
        <v>0</v>
      </c>
      <c r="F94" s="80">
        <f t="shared" si="22"/>
        <v>0</v>
      </c>
      <c r="G94" s="178">
        <v>0</v>
      </c>
      <c r="H94" s="80">
        <f t="shared" si="23"/>
        <v>0</v>
      </c>
      <c r="I94" s="178">
        <v>0</v>
      </c>
      <c r="J94" s="80">
        <f t="shared" si="24"/>
        <v>0</v>
      </c>
      <c r="K94" s="178">
        <v>0</v>
      </c>
      <c r="L94" s="80">
        <f t="shared" si="25"/>
        <v>0</v>
      </c>
      <c r="M94" s="178">
        <v>0</v>
      </c>
      <c r="N94" s="80">
        <f t="shared" si="26"/>
        <v>0</v>
      </c>
      <c r="O94" s="178">
        <v>0</v>
      </c>
      <c r="P94" s="80">
        <f t="shared" si="27"/>
        <v>0</v>
      </c>
      <c r="Q94" s="178">
        <v>0</v>
      </c>
      <c r="R94" s="80">
        <f t="shared" si="28"/>
        <v>0</v>
      </c>
      <c r="S94" s="178">
        <v>0</v>
      </c>
      <c r="T94" s="80">
        <f t="shared" si="29"/>
        <v>0</v>
      </c>
      <c r="U94" s="178">
        <v>0</v>
      </c>
      <c r="V94" s="80">
        <f t="shared" si="30"/>
        <v>0</v>
      </c>
      <c r="X94" s="192"/>
    </row>
    <row r="95" spans="1:24" ht="12.75" customHeight="1">
      <c r="A95" s="2" t="s">
        <v>439</v>
      </c>
      <c r="B95" s="35"/>
      <c r="C95" s="178">
        <v>0</v>
      </c>
      <c r="D95" s="80">
        <f t="shared" si="21"/>
        <v>0</v>
      </c>
      <c r="E95" s="178">
        <v>0</v>
      </c>
      <c r="F95" s="80">
        <f t="shared" si="22"/>
        <v>0</v>
      </c>
      <c r="G95" s="178">
        <v>0</v>
      </c>
      <c r="H95" s="80">
        <f t="shared" si="23"/>
        <v>0</v>
      </c>
      <c r="I95" s="178">
        <v>0</v>
      </c>
      <c r="J95" s="80">
        <f t="shared" si="24"/>
        <v>0</v>
      </c>
      <c r="K95" s="178">
        <v>0</v>
      </c>
      <c r="L95" s="80">
        <f t="shared" si="25"/>
        <v>0</v>
      </c>
      <c r="M95" s="178">
        <v>0</v>
      </c>
      <c r="N95" s="80">
        <f t="shared" si="26"/>
        <v>0</v>
      </c>
      <c r="O95" s="178">
        <v>0</v>
      </c>
      <c r="P95" s="80">
        <f t="shared" si="27"/>
        <v>0</v>
      </c>
      <c r="Q95" s="178">
        <v>0</v>
      </c>
      <c r="R95" s="80">
        <f t="shared" si="28"/>
        <v>0</v>
      </c>
      <c r="S95" s="178">
        <v>0</v>
      </c>
      <c r="T95" s="80">
        <f t="shared" si="29"/>
        <v>0</v>
      </c>
      <c r="U95" s="178">
        <v>0</v>
      </c>
      <c r="V95" s="80">
        <f t="shared" si="30"/>
        <v>0</v>
      </c>
      <c r="X95" s="192"/>
    </row>
    <row r="96" spans="1:24" ht="12.75" customHeight="1">
      <c r="A96" s="2" t="s">
        <v>440</v>
      </c>
      <c r="B96" s="35"/>
      <c r="C96" s="178">
        <v>0</v>
      </c>
      <c r="D96" s="80">
        <f t="shared" si="21"/>
        <v>0</v>
      </c>
      <c r="E96" s="178">
        <v>0</v>
      </c>
      <c r="F96" s="80">
        <f t="shared" si="22"/>
        <v>0</v>
      </c>
      <c r="G96" s="178">
        <v>0</v>
      </c>
      <c r="H96" s="80">
        <f t="shared" si="23"/>
        <v>0</v>
      </c>
      <c r="I96" s="178">
        <v>0</v>
      </c>
      <c r="J96" s="80">
        <f t="shared" si="24"/>
        <v>0</v>
      </c>
      <c r="K96" s="178">
        <v>0</v>
      </c>
      <c r="L96" s="80">
        <f t="shared" si="25"/>
        <v>0</v>
      </c>
      <c r="M96" s="178">
        <v>0</v>
      </c>
      <c r="N96" s="80">
        <f t="shared" si="26"/>
        <v>0</v>
      </c>
      <c r="O96" s="178">
        <v>0</v>
      </c>
      <c r="P96" s="80">
        <f t="shared" si="27"/>
        <v>0</v>
      </c>
      <c r="Q96" s="178">
        <v>0</v>
      </c>
      <c r="R96" s="80">
        <f t="shared" si="28"/>
        <v>0</v>
      </c>
      <c r="S96" s="178">
        <v>0</v>
      </c>
      <c r="T96" s="80">
        <f t="shared" si="29"/>
        <v>0</v>
      </c>
      <c r="U96" s="178">
        <v>0</v>
      </c>
      <c r="V96" s="80">
        <f t="shared" si="30"/>
        <v>0</v>
      </c>
      <c r="X96" s="192"/>
    </row>
    <row r="97" spans="1:24" ht="12.75" customHeight="1">
      <c r="A97" s="2" t="s">
        <v>441</v>
      </c>
      <c r="B97" s="35"/>
      <c r="C97" s="178">
        <v>13331.376200000001</v>
      </c>
      <c r="D97" s="80">
        <f t="shared" si="21"/>
        <v>9.3372598446233059E-3</v>
      </c>
      <c r="E97" s="178">
        <v>14504.3101795</v>
      </c>
      <c r="F97" s="80">
        <f t="shared" si="22"/>
        <v>8.5319471644117652E-3</v>
      </c>
      <c r="G97" s="178">
        <v>14986.628645607499</v>
      </c>
      <c r="H97" s="80">
        <f t="shared" si="23"/>
        <v>8.4765999126739256E-3</v>
      </c>
      <c r="I97" s="178">
        <v>15448.024772316377</v>
      </c>
      <c r="J97" s="80">
        <f t="shared" si="24"/>
        <v>8.4015101659395547E-3</v>
      </c>
      <c r="K97" s="178">
        <v>15770.292688976508</v>
      </c>
      <c r="L97" s="80">
        <f t="shared" si="25"/>
        <v>8.3269686388930033E-3</v>
      </c>
      <c r="M97" s="178">
        <v>16164.55000620092</v>
      </c>
      <c r="N97" s="80">
        <f t="shared" si="26"/>
        <v>8.2865464610342998E-3</v>
      </c>
      <c r="O97" s="178">
        <v>16568.663756355942</v>
      </c>
      <c r="P97" s="80">
        <f t="shared" si="27"/>
        <v>8.2463205073399597E-3</v>
      </c>
      <c r="Q97" s="178">
        <v>16982.880350264841</v>
      </c>
      <c r="R97" s="80">
        <f t="shared" si="28"/>
        <v>8.2062898252654934E-3</v>
      </c>
      <c r="S97" s="178">
        <v>17322.537957270139</v>
      </c>
      <c r="T97" s="80">
        <f t="shared" si="29"/>
        <v>8.1266171085153435E-3</v>
      </c>
      <c r="U97" s="178">
        <v>17755.601406201888</v>
      </c>
      <c r="V97" s="80">
        <f t="shared" si="30"/>
        <v>8.079323507495852E-3</v>
      </c>
      <c r="X97" s="192"/>
    </row>
    <row r="98" spans="1:24" ht="12.75" customHeight="1">
      <c r="A98" s="117" t="s">
        <v>444</v>
      </c>
      <c r="B98" s="35"/>
      <c r="C98" s="178">
        <v>1713.3132959999994</v>
      </c>
      <c r="D98" s="80">
        <f t="shared" si="21"/>
        <v>1.1999999999999999E-3</v>
      </c>
      <c r="E98" s="178">
        <v>2039.9999999999998</v>
      </c>
      <c r="F98" s="80">
        <f t="shared" si="22"/>
        <v>1.1999999999999999E-3</v>
      </c>
      <c r="G98" s="178">
        <v>2121.6</v>
      </c>
      <c r="H98" s="80">
        <f t="shared" si="23"/>
        <v>1.1999999999999999E-3</v>
      </c>
      <c r="I98" s="178">
        <v>2206.4639999999999</v>
      </c>
      <c r="J98" s="80">
        <f t="shared" si="24"/>
        <v>1.1999999999999999E-3</v>
      </c>
      <c r="K98" s="178">
        <v>2272.6579200000006</v>
      </c>
      <c r="L98" s="80">
        <f t="shared" si="25"/>
        <v>1.2000000000000001E-3</v>
      </c>
      <c r="M98" s="178">
        <v>2340.8376576000001</v>
      </c>
      <c r="N98" s="80">
        <f t="shared" si="26"/>
        <v>1.1999999999999999E-3</v>
      </c>
      <c r="O98" s="178">
        <v>2411.062787328</v>
      </c>
      <c r="P98" s="80">
        <f t="shared" si="27"/>
        <v>1.1999999999999999E-3</v>
      </c>
      <c r="Q98" s="178">
        <v>2483.3946709478396</v>
      </c>
      <c r="R98" s="80">
        <f t="shared" si="28"/>
        <v>1.1999999999999997E-3</v>
      </c>
      <c r="S98" s="178">
        <v>2557.8965110762751</v>
      </c>
      <c r="T98" s="80">
        <f t="shared" si="29"/>
        <v>1.1999999999999999E-3</v>
      </c>
      <c r="U98" s="178">
        <v>2637.1913029196398</v>
      </c>
      <c r="V98" s="80">
        <f t="shared" si="30"/>
        <v>1.1999999999999999E-3</v>
      </c>
      <c r="X98" s="192"/>
    </row>
    <row r="99" spans="1:24" ht="12.75" customHeight="1">
      <c r="A99" s="117" t="s">
        <v>444</v>
      </c>
      <c r="B99" s="35"/>
      <c r="C99" s="178">
        <v>0</v>
      </c>
      <c r="D99" s="80">
        <f t="shared" si="21"/>
        <v>0</v>
      </c>
      <c r="E99" s="178">
        <v>0</v>
      </c>
      <c r="F99" s="80">
        <f t="shared" si="22"/>
        <v>0</v>
      </c>
      <c r="G99" s="178">
        <v>0</v>
      </c>
      <c r="H99" s="80">
        <f t="shared" si="23"/>
        <v>0</v>
      </c>
      <c r="I99" s="178">
        <v>0</v>
      </c>
      <c r="J99" s="80">
        <f t="shared" si="24"/>
        <v>0</v>
      </c>
      <c r="K99" s="178">
        <v>0</v>
      </c>
      <c r="L99" s="80">
        <f t="shared" si="25"/>
        <v>0</v>
      </c>
      <c r="M99" s="178">
        <v>0</v>
      </c>
      <c r="N99" s="80">
        <f t="shared" si="26"/>
        <v>0</v>
      </c>
      <c r="O99" s="178">
        <v>0</v>
      </c>
      <c r="P99" s="80">
        <f t="shared" si="27"/>
        <v>0</v>
      </c>
      <c r="Q99" s="178">
        <v>0</v>
      </c>
      <c r="R99" s="80">
        <f t="shared" si="28"/>
        <v>0</v>
      </c>
      <c r="S99" s="178">
        <v>0</v>
      </c>
      <c r="T99" s="80">
        <f t="shared" si="29"/>
        <v>0</v>
      </c>
      <c r="U99" s="178">
        <v>0</v>
      </c>
      <c r="V99" s="80">
        <f t="shared" si="30"/>
        <v>0</v>
      </c>
      <c r="X99" s="192"/>
    </row>
    <row r="100" spans="1:24" ht="12.75" customHeight="1">
      <c r="A100" s="117" t="s">
        <v>444</v>
      </c>
      <c r="B100" s="35"/>
      <c r="C100" s="178">
        <v>0</v>
      </c>
      <c r="D100" s="80">
        <f t="shared" si="21"/>
        <v>0</v>
      </c>
      <c r="E100" s="178">
        <v>0</v>
      </c>
      <c r="F100" s="80">
        <f t="shared" si="22"/>
        <v>0</v>
      </c>
      <c r="G100" s="178">
        <v>0</v>
      </c>
      <c r="H100" s="80">
        <f t="shared" si="23"/>
        <v>0</v>
      </c>
      <c r="I100" s="178">
        <v>0</v>
      </c>
      <c r="J100" s="80">
        <f t="shared" si="24"/>
        <v>0</v>
      </c>
      <c r="K100" s="178">
        <v>0</v>
      </c>
      <c r="L100" s="80">
        <f t="shared" si="25"/>
        <v>0</v>
      </c>
      <c r="M100" s="178">
        <v>0</v>
      </c>
      <c r="N100" s="80">
        <f t="shared" si="26"/>
        <v>0</v>
      </c>
      <c r="O100" s="178">
        <v>0</v>
      </c>
      <c r="P100" s="80">
        <f t="shared" si="27"/>
        <v>0</v>
      </c>
      <c r="Q100" s="178">
        <v>0</v>
      </c>
      <c r="R100" s="80">
        <f t="shared" si="28"/>
        <v>0</v>
      </c>
      <c r="S100" s="178">
        <v>0</v>
      </c>
      <c r="T100" s="80">
        <f t="shared" si="29"/>
        <v>0</v>
      </c>
      <c r="U100" s="178">
        <v>0</v>
      </c>
      <c r="V100" s="80">
        <f t="shared" si="30"/>
        <v>0</v>
      </c>
      <c r="X100" s="192"/>
    </row>
    <row r="101" spans="1:24" ht="12.75" customHeight="1">
      <c r="A101" s="2" t="s">
        <v>445</v>
      </c>
      <c r="B101" s="35"/>
      <c r="C101" s="178"/>
      <c r="D101" s="80">
        <f t="shared" si="21"/>
        <v>0</v>
      </c>
      <c r="E101" s="178"/>
      <c r="F101" s="80">
        <f t="shared" si="22"/>
        <v>0</v>
      </c>
      <c r="G101" s="178"/>
      <c r="H101" s="80">
        <f t="shared" si="23"/>
        <v>0</v>
      </c>
      <c r="I101" s="178">
        <v>0</v>
      </c>
      <c r="J101" s="80">
        <f t="shared" si="24"/>
        <v>0</v>
      </c>
      <c r="K101" s="178">
        <v>0</v>
      </c>
      <c r="L101" s="80">
        <f t="shared" si="25"/>
        <v>0</v>
      </c>
      <c r="M101" s="178">
        <v>0</v>
      </c>
      <c r="N101" s="80">
        <f t="shared" si="26"/>
        <v>0</v>
      </c>
      <c r="O101" s="178">
        <v>0</v>
      </c>
      <c r="P101" s="80">
        <f t="shared" si="27"/>
        <v>0</v>
      </c>
      <c r="Q101" s="178">
        <v>0</v>
      </c>
      <c r="R101" s="80">
        <f t="shared" si="28"/>
        <v>0</v>
      </c>
      <c r="S101" s="178">
        <v>0</v>
      </c>
      <c r="T101" s="80">
        <f t="shared" si="29"/>
        <v>0</v>
      </c>
      <c r="U101" s="178">
        <v>0</v>
      </c>
      <c r="V101" s="80">
        <f t="shared" si="30"/>
        <v>0</v>
      </c>
      <c r="X101" s="192"/>
    </row>
    <row r="102" spans="1:24" ht="12.75" customHeight="1">
      <c r="A102" s="117" t="s">
        <v>446</v>
      </c>
      <c r="B102" s="35"/>
      <c r="C102" s="178">
        <v>14277.610799999997</v>
      </c>
      <c r="D102" s="80">
        <f t="shared" si="21"/>
        <v>0.01</v>
      </c>
      <c r="E102" s="178">
        <v>17000</v>
      </c>
      <c r="F102" s="80">
        <f t="shared" si="22"/>
        <v>0.01</v>
      </c>
      <c r="G102" s="178">
        <v>17680.000000000004</v>
      </c>
      <c r="H102" s="80">
        <f t="shared" si="23"/>
        <v>1.0000000000000002E-2</v>
      </c>
      <c r="I102" s="178">
        <v>18387.200000000004</v>
      </c>
      <c r="J102" s="80">
        <f t="shared" si="24"/>
        <v>1.0000000000000002E-2</v>
      </c>
      <c r="K102" s="178">
        <v>18938.816000000003</v>
      </c>
      <c r="L102" s="80">
        <f t="shared" si="25"/>
        <v>0.01</v>
      </c>
      <c r="M102" s="178">
        <v>19506.980480000002</v>
      </c>
      <c r="N102" s="80">
        <f t="shared" si="26"/>
        <v>0.01</v>
      </c>
      <c r="O102" s="178">
        <v>20092.189894400002</v>
      </c>
      <c r="P102" s="80">
        <f t="shared" si="27"/>
        <v>0.01</v>
      </c>
      <c r="Q102" s="178">
        <v>20694.955591232003</v>
      </c>
      <c r="R102" s="80">
        <f t="shared" si="28"/>
        <v>0.01</v>
      </c>
      <c r="S102" s="178">
        <v>21315.804258968961</v>
      </c>
      <c r="T102" s="80">
        <f t="shared" si="29"/>
        <v>0.01</v>
      </c>
      <c r="U102" s="178">
        <v>21976.594190996999</v>
      </c>
      <c r="V102" s="80">
        <f t="shared" si="30"/>
        <v>9.9999999999999985E-3</v>
      </c>
      <c r="X102" s="192"/>
    </row>
    <row r="103" spans="1:24" ht="12.75" customHeight="1">
      <c r="A103" s="117" t="s">
        <v>446</v>
      </c>
      <c r="B103" s="35"/>
      <c r="C103" s="178">
        <v>0</v>
      </c>
      <c r="D103" s="80">
        <f t="shared" si="21"/>
        <v>0</v>
      </c>
      <c r="E103" s="178">
        <v>0</v>
      </c>
      <c r="F103" s="80">
        <f t="shared" si="22"/>
        <v>0</v>
      </c>
      <c r="G103" s="178">
        <v>0</v>
      </c>
      <c r="H103" s="80">
        <f t="shared" si="23"/>
        <v>0</v>
      </c>
      <c r="I103" s="178">
        <v>0</v>
      </c>
      <c r="J103" s="80">
        <f t="shared" si="24"/>
        <v>0</v>
      </c>
      <c r="K103" s="178">
        <v>0</v>
      </c>
      <c r="L103" s="80">
        <f t="shared" si="25"/>
        <v>0</v>
      </c>
      <c r="M103" s="178">
        <v>0</v>
      </c>
      <c r="N103" s="80">
        <f t="shared" si="26"/>
        <v>0</v>
      </c>
      <c r="O103" s="178">
        <v>0</v>
      </c>
      <c r="P103" s="80">
        <f t="shared" si="27"/>
        <v>0</v>
      </c>
      <c r="Q103" s="178">
        <v>0</v>
      </c>
      <c r="R103" s="80">
        <f t="shared" si="28"/>
        <v>0</v>
      </c>
      <c r="S103" s="178">
        <v>0</v>
      </c>
      <c r="T103" s="80">
        <f t="shared" si="29"/>
        <v>0</v>
      </c>
      <c r="U103" s="178">
        <v>0</v>
      </c>
      <c r="V103" s="80">
        <f t="shared" si="30"/>
        <v>0</v>
      </c>
      <c r="X103" s="192"/>
    </row>
    <row r="104" spans="1:24" ht="12.75" customHeight="1">
      <c r="A104" s="117" t="s">
        <v>446</v>
      </c>
      <c r="B104" s="1"/>
      <c r="C104" s="178">
        <v>0</v>
      </c>
      <c r="D104" s="80">
        <f t="shared" si="21"/>
        <v>0</v>
      </c>
      <c r="E104" s="178">
        <v>0</v>
      </c>
      <c r="F104" s="80">
        <f t="shared" si="22"/>
        <v>0</v>
      </c>
      <c r="G104" s="178">
        <v>0</v>
      </c>
      <c r="H104" s="80">
        <f t="shared" si="23"/>
        <v>0</v>
      </c>
      <c r="I104" s="178">
        <v>0</v>
      </c>
      <c r="J104" s="80">
        <f t="shared" si="24"/>
        <v>0</v>
      </c>
      <c r="K104" s="178">
        <v>0</v>
      </c>
      <c r="L104" s="80">
        <f t="shared" si="25"/>
        <v>0</v>
      </c>
      <c r="M104" s="178">
        <v>0</v>
      </c>
      <c r="N104" s="80">
        <f t="shared" si="26"/>
        <v>0</v>
      </c>
      <c r="O104" s="178">
        <v>0</v>
      </c>
      <c r="P104" s="80">
        <f t="shared" si="27"/>
        <v>0</v>
      </c>
      <c r="Q104" s="178">
        <v>0</v>
      </c>
      <c r="R104" s="80">
        <f t="shared" si="28"/>
        <v>0</v>
      </c>
      <c r="S104" s="178">
        <v>0</v>
      </c>
      <c r="T104" s="80">
        <f t="shared" si="29"/>
        <v>0</v>
      </c>
      <c r="U104" s="178">
        <v>0</v>
      </c>
      <c r="V104" s="80">
        <f t="shared" si="30"/>
        <v>0</v>
      </c>
      <c r="X104" s="192"/>
    </row>
    <row r="105" spans="1:24" ht="12.75" customHeight="1">
      <c r="A105" s="1" t="s">
        <v>447</v>
      </c>
      <c r="B105" s="53"/>
      <c r="C105" s="82">
        <f>SUM(C52:C104)</f>
        <v>244879.50000327599</v>
      </c>
      <c r="D105" s="83">
        <f t="shared" ref="D105" si="31">IFERROR(C105/C$28,0)</f>
        <v>0.17151293968825376</v>
      </c>
      <c r="E105" s="82">
        <f>SUM(E52:E104)</f>
        <v>290508.30492804758</v>
      </c>
      <c r="F105" s="83">
        <f t="shared" ref="F105" si="32">IFERROR(E105/E$28,0)</f>
        <v>0.17088723819296917</v>
      </c>
      <c r="G105" s="82">
        <f>SUM(G52:G104)</f>
        <v>301799.75019492058</v>
      </c>
      <c r="H105" s="83">
        <f t="shared" ref="H105" si="33">IFERROR(G105/G$28,0)</f>
        <v>0.1707012161735976</v>
      </c>
      <c r="I105" s="82">
        <f>SUM(I52:I104)</f>
        <v>313791.34149473161</v>
      </c>
      <c r="J105" s="83">
        <f t="shared" ref="J105" si="34">IFERROR(I105/I$28,0)</f>
        <v>0.17065749080595827</v>
      </c>
      <c r="K105" s="82">
        <f>SUM(K52:K104)</f>
        <v>322992.43067067186</v>
      </c>
      <c r="L105" s="83">
        <f t="shared" ref="L105" si="35">IFERROR(K105/K$28,0)</f>
        <v>0.17054520761523415</v>
      </c>
      <c r="M105" s="82">
        <f>SUM(M52:M104)</f>
        <v>332643.50115247519</v>
      </c>
      <c r="N105" s="83">
        <f t="shared" ref="N105" si="36">IFERROR(M105/M$28,0)</f>
        <v>0.17052536731326814</v>
      </c>
      <c r="O105" s="82">
        <f>SUM(O52:O104)</f>
        <v>342592.63792444736</v>
      </c>
      <c r="P105" s="83">
        <f t="shared" ref="P105" si="37">IFERROR(O105/O$28,0)</f>
        <v>0.17051035239316206</v>
      </c>
      <c r="Q105" s="82">
        <f>SUM(Q52:Q104)</f>
        <v>352862.05061696365</v>
      </c>
      <c r="R105" s="83">
        <f t="shared" ref="R105" si="38">IFERROR(Q105/Q$28,0)</f>
        <v>0.17050630964700575</v>
      </c>
      <c r="S105" s="82">
        <f>SUM(S52:S104)</f>
        <v>363352.92100360524</v>
      </c>
      <c r="T105" s="83">
        <f t="shared" ref="T105" si="39">IFERROR(S105/S$28,0)</f>
        <v>0.17046174593704047</v>
      </c>
      <c r="U105" s="82">
        <f>SUM(U52:U104)</f>
        <v>374595.37576838012</v>
      </c>
      <c r="V105" s="83">
        <f t="shared" si="30"/>
        <v>0.17045196926912271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448</v>
      </c>
      <c r="B107" s="53"/>
      <c r="C107" s="82">
        <f>C28-C33-C46-C105</f>
        <v>352224.0275967237</v>
      </c>
      <c r="D107" s="83">
        <f>IFERROR(C107/C$28,0)</f>
        <v>0.24669675657269197</v>
      </c>
      <c r="E107" s="82">
        <f>E28-E33-E46-E105</f>
        <v>457520.76766195241</v>
      </c>
      <c r="F107" s="83">
        <f>IFERROR(E107/E$28,0)</f>
        <v>0.26912986333056027</v>
      </c>
      <c r="G107" s="82">
        <f>G28-G33-G46-G105</f>
        <v>478801.83770622942</v>
      </c>
      <c r="H107" s="83">
        <f>IFERROR(G107/G$28,0)</f>
        <v>0.27081551906460938</v>
      </c>
      <c r="I107" s="82">
        <f>I28-I33-I46-I105</f>
        <v>501765.71436958888</v>
      </c>
      <c r="J107" s="83">
        <f>IFERROR(I107/I$28,0)</f>
        <v>0.27288859335276111</v>
      </c>
      <c r="K107" s="82">
        <f>K28-K33-K46-K105</f>
        <v>520829.31132586952</v>
      </c>
      <c r="L107" s="83">
        <f>IFERROR(K107/K$28,0)</f>
        <v>0.27500626825133601</v>
      </c>
      <c r="M107" s="82">
        <f>M28-M33-M46-M105</f>
        <v>538618.28775397968</v>
      </c>
      <c r="N107" s="83">
        <f>IFERROR(M107/M$28,0)</f>
        <v>0.2761156644956973</v>
      </c>
      <c r="O107" s="82">
        <f>O28-O33-O46-O105</f>
        <v>556985.534165469</v>
      </c>
      <c r="P107" s="83">
        <f>IFERROR(O107/O$28,0)</f>
        <v>0.27721494625168225</v>
      </c>
      <c r="Q107" s="82">
        <f>Q28-Q33-Q46-Q105</f>
        <v>575936.45938982454</v>
      </c>
      <c r="R107" s="83">
        <f>IFERROR(Q107/Q$28,0)</f>
        <v>0.27829799240247521</v>
      </c>
      <c r="S107" s="82">
        <f>S28-S33-S46-S105</f>
        <v>597887.17944944394</v>
      </c>
      <c r="T107" s="83">
        <f>IFERROR(S107/S$28,0)</f>
        <v>0.28049008716050366</v>
      </c>
      <c r="U107" s="82">
        <f>U28-U33-U46-U105</f>
        <v>679244.68050810124</v>
      </c>
      <c r="V107" s="83">
        <f>IFERROR(U107/U$28,0)</f>
        <v>0.30907640856669349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449</v>
      </c>
      <c r="B110" s="40"/>
      <c r="C110" s="86" t="str">
        <f>C50</f>
        <v>FY 2018-19</v>
      </c>
      <c r="D110" s="86" t="s">
        <v>366</v>
      </c>
      <c r="E110" s="86" t="str">
        <f>E50</f>
        <v>FY 2019-20</v>
      </c>
      <c r="F110" s="86" t="s">
        <v>366</v>
      </c>
      <c r="G110" s="86" t="str">
        <f>G50</f>
        <v>FY 2020-21</v>
      </c>
      <c r="H110" s="86" t="s">
        <v>366</v>
      </c>
      <c r="I110" s="86" t="str">
        <f>I50</f>
        <v>FY 2021-22</v>
      </c>
      <c r="J110" s="86" t="s">
        <v>366</v>
      </c>
      <c r="K110" s="86" t="str">
        <f>K50</f>
        <v>FY 2022-23</v>
      </c>
      <c r="L110" s="86" t="s">
        <v>366</v>
      </c>
      <c r="M110" s="86" t="str">
        <f>M50</f>
        <v>FY 2023-24</v>
      </c>
      <c r="N110" s="86" t="s">
        <v>366</v>
      </c>
      <c r="O110" s="86" t="str">
        <f>O50</f>
        <v>FY 2024-25</v>
      </c>
      <c r="P110" s="86" t="s">
        <v>366</v>
      </c>
      <c r="Q110" s="86" t="str">
        <f>Q50</f>
        <v>FY 2025-26</v>
      </c>
      <c r="R110" s="86" t="s">
        <v>366</v>
      </c>
      <c r="S110" s="86" t="str">
        <f>S50</f>
        <v>FY 2026-27</v>
      </c>
      <c r="T110" s="86" t="s">
        <v>366</v>
      </c>
      <c r="U110" s="86" t="str">
        <f>U50</f>
        <v>FY 2027-28</v>
      </c>
      <c r="V110" s="86" t="s">
        <v>366</v>
      </c>
    </row>
    <row r="111" spans="1:24" ht="12.75" customHeight="1">
      <c r="A111" s="2" t="s">
        <v>403</v>
      </c>
      <c r="B111" s="35"/>
      <c r="C111" s="79">
        <f>C59</f>
        <v>0</v>
      </c>
      <c r="D111" s="80">
        <f t="shared" ref="D111:D116" si="40">IFERROR(C111/C$28,0)</f>
        <v>0</v>
      </c>
      <c r="E111" s="79">
        <f>E59</f>
        <v>0</v>
      </c>
      <c r="F111" s="80">
        <f t="shared" ref="F111:F116" si="41">IFERROR(E111/E$28,0)</f>
        <v>0</v>
      </c>
      <c r="G111" s="79">
        <f>G59</f>
        <v>0</v>
      </c>
      <c r="H111" s="80">
        <f t="shared" ref="H111:H116" si="42">IFERROR(G111/G$28,0)</f>
        <v>0</v>
      </c>
      <c r="I111" s="79">
        <f>I59</f>
        <v>0</v>
      </c>
      <c r="J111" s="80">
        <f t="shared" ref="J111:J116" si="43">IFERROR(I111/I$28,0)</f>
        <v>0</v>
      </c>
      <c r="K111" s="79">
        <f>K59</f>
        <v>0</v>
      </c>
      <c r="L111" s="80">
        <f t="shared" ref="L111:L116" si="44">IFERROR(K111/K$28,0)</f>
        <v>0</v>
      </c>
      <c r="M111" s="79">
        <f>M59</f>
        <v>0</v>
      </c>
      <c r="N111" s="80">
        <f t="shared" ref="N111:N116" si="45">IFERROR(M111/M$28,0)</f>
        <v>0</v>
      </c>
      <c r="O111" s="79">
        <f>O59</f>
        <v>0</v>
      </c>
      <c r="P111" s="80">
        <f t="shared" ref="P111:P116" si="46">IFERROR(O111/O$28,0)</f>
        <v>0</v>
      </c>
      <c r="Q111" s="79">
        <f>Q59</f>
        <v>0</v>
      </c>
      <c r="R111" s="80">
        <f t="shared" ref="R111:R116" si="47">IFERROR(Q111/Q$28,0)</f>
        <v>0</v>
      </c>
      <c r="S111" s="79">
        <f>S59</f>
        <v>0</v>
      </c>
      <c r="T111" s="80">
        <f t="shared" ref="T111:T116" si="48">IFERROR(S111/S$28,0)</f>
        <v>0</v>
      </c>
      <c r="U111" s="79">
        <f>U59</f>
        <v>0</v>
      </c>
      <c r="V111" s="80">
        <f t="shared" ref="V111:V116" si="49">IFERROR(U111/U$28,0)</f>
        <v>0</v>
      </c>
    </row>
    <row r="112" spans="1:24" ht="12.75" customHeight="1">
      <c r="A112" s="2" t="s">
        <v>450</v>
      </c>
      <c r="B112" s="35"/>
      <c r="C112" s="79">
        <f>C62</f>
        <v>0</v>
      </c>
      <c r="D112" s="80">
        <f t="shared" si="40"/>
        <v>0</v>
      </c>
      <c r="E112" s="79">
        <f>E62</f>
        <v>0</v>
      </c>
      <c r="F112" s="80">
        <f t="shared" si="41"/>
        <v>0</v>
      </c>
      <c r="G112" s="79">
        <f>G62</f>
        <v>0</v>
      </c>
      <c r="H112" s="80">
        <f t="shared" si="42"/>
        <v>0</v>
      </c>
      <c r="I112" s="79">
        <f>I62</f>
        <v>0</v>
      </c>
      <c r="J112" s="80">
        <f t="shared" si="43"/>
        <v>0</v>
      </c>
      <c r="K112" s="79">
        <f>K62</f>
        <v>0</v>
      </c>
      <c r="L112" s="80">
        <f t="shared" si="44"/>
        <v>0</v>
      </c>
      <c r="M112" s="79">
        <f>M62</f>
        <v>0</v>
      </c>
      <c r="N112" s="80">
        <f t="shared" si="45"/>
        <v>0</v>
      </c>
      <c r="O112" s="79">
        <f>O62</f>
        <v>0</v>
      </c>
      <c r="P112" s="80">
        <f t="shared" si="46"/>
        <v>0</v>
      </c>
      <c r="Q112" s="79">
        <f>Q62</f>
        <v>0</v>
      </c>
      <c r="R112" s="80">
        <f t="shared" si="47"/>
        <v>0</v>
      </c>
      <c r="S112" s="79">
        <f>S62</f>
        <v>0</v>
      </c>
      <c r="T112" s="80">
        <f t="shared" si="48"/>
        <v>0</v>
      </c>
      <c r="U112" s="79">
        <f>U62</f>
        <v>0</v>
      </c>
      <c r="V112" s="80">
        <f t="shared" si="49"/>
        <v>0</v>
      </c>
    </row>
    <row r="113" spans="1:22" ht="12.75" customHeight="1">
      <c r="A113" s="117" t="s">
        <v>446</v>
      </c>
      <c r="B113" s="41"/>
      <c r="C113" s="111">
        <v>0</v>
      </c>
      <c r="D113" s="80">
        <f t="shared" si="40"/>
        <v>0</v>
      </c>
      <c r="E113" s="111">
        <v>0</v>
      </c>
      <c r="F113" s="80">
        <f t="shared" si="41"/>
        <v>0</v>
      </c>
      <c r="G113" s="111">
        <v>0</v>
      </c>
      <c r="H113" s="80">
        <f t="shared" si="42"/>
        <v>0</v>
      </c>
      <c r="I113" s="111">
        <v>0</v>
      </c>
      <c r="J113" s="80">
        <f t="shared" si="43"/>
        <v>0</v>
      </c>
      <c r="K113" s="111">
        <v>0</v>
      </c>
      <c r="L113" s="80">
        <f t="shared" si="44"/>
        <v>0</v>
      </c>
      <c r="M113" s="111">
        <v>0</v>
      </c>
      <c r="N113" s="80">
        <f t="shared" si="45"/>
        <v>0</v>
      </c>
      <c r="O113" s="111">
        <v>0</v>
      </c>
      <c r="P113" s="80">
        <f t="shared" si="46"/>
        <v>0</v>
      </c>
      <c r="Q113" s="111">
        <v>0</v>
      </c>
      <c r="R113" s="80">
        <f t="shared" si="47"/>
        <v>0</v>
      </c>
      <c r="S113" s="111">
        <v>0</v>
      </c>
      <c r="T113" s="80">
        <f t="shared" si="48"/>
        <v>0</v>
      </c>
      <c r="U113" s="111">
        <v>0</v>
      </c>
      <c r="V113" s="80">
        <f t="shared" si="49"/>
        <v>0</v>
      </c>
    </row>
    <row r="114" spans="1:22" ht="12.75" customHeight="1">
      <c r="A114" s="117" t="s">
        <v>446</v>
      </c>
      <c r="B114" s="41"/>
      <c r="C114" s="111">
        <v>0</v>
      </c>
      <c r="D114" s="80">
        <f t="shared" si="40"/>
        <v>0</v>
      </c>
      <c r="E114" s="111">
        <v>0</v>
      </c>
      <c r="F114" s="80">
        <f t="shared" si="41"/>
        <v>0</v>
      </c>
      <c r="G114" s="111">
        <v>0</v>
      </c>
      <c r="H114" s="80">
        <f t="shared" si="42"/>
        <v>0</v>
      </c>
      <c r="I114" s="111">
        <v>0</v>
      </c>
      <c r="J114" s="80">
        <f t="shared" si="43"/>
        <v>0</v>
      </c>
      <c r="K114" s="111">
        <v>0</v>
      </c>
      <c r="L114" s="80">
        <f t="shared" si="44"/>
        <v>0</v>
      </c>
      <c r="M114" s="111">
        <v>0</v>
      </c>
      <c r="N114" s="80">
        <f t="shared" si="45"/>
        <v>0</v>
      </c>
      <c r="O114" s="111">
        <v>0</v>
      </c>
      <c r="P114" s="80">
        <f t="shared" si="46"/>
        <v>0</v>
      </c>
      <c r="Q114" s="111">
        <v>0</v>
      </c>
      <c r="R114" s="80">
        <f t="shared" si="47"/>
        <v>0</v>
      </c>
      <c r="S114" s="111">
        <v>0</v>
      </c>
      <c r="T114" s="80">
        <f t="shared" si="48"/>
        <v>0</v>
      </c>
      <c r="U114" s="111">
        <v>0</v>
      </c>
      <c r="V114" s="80">
        <f t="shared" si="49"/>
        <v>0</v>
      </c>
    </row>
    <row r="115" spans="1:22" ht="12.75" customHeight="1">
      <c r="A115" s="117" t="s">
        <v>446</v>
      </c>
      <c r="B115" s="41"/>
      <c r="C115" s="112">
        <v>0</v>
      </c>
      <c r="D115" s="80">
        <f t="shared" si="40"/>
        <v>0</v>
      </c>
      <c r="E115" s="112">
        <v>0</v>
      </c>
      <c r="F115" s="80">
        <f t="shared" si="41"/>
        <v>0</v>
      </c>
      <c r="G115" s="112">
        <v>0</v>
      </c>
      <c r="H115" s="80">
        <f t="shared" si="42"/>
        <v>0</v>
      </c>
      <c r="I115" s="112">
        <v>0</v>
      </c>
      <c r="J115" s="80">
        <f t="shared" si="43"/>
        <v>0</v>
      </c>
      <c r="K115" s="112">
        <v>0</v>
      </c>
      <c r="L115" s="80">
        <f t="shared" si="44"/>
        <v>0</v>
      </c>
      <c r="M115" s="112">
        <v>0</v>
      </c>
      <c r="N115" s="80">
        <f t="shared" si="45"/>
        <v>0</v>
      </c>
      <c r="O115" s="112">
        <v>0</v>
      </c>
      <c r="P115" s="80">
        <f t="shared" si="46"/>
        <v>0</v>
      </c>
      <c r="Q115" s="112">
        <v>0</v>
      </c>
      <c r="R115" s="80">
        <f t="shared" si="47"/>
        <v>0</v>
      </c>
      <c r="S115" s="112">
        <v>0</v>
      </c>
      <c r="T115" s="80">
        <f t="shared" si="48"/>
        <v>0</v>
      </c>
      <c r="U115" s="112">
        <v>0</v>
      </c>
      <c r="V115" s="80">
        <f t="shared" si="49"/>
        <v>0</v>
      </c>
    </row>
    <row r="116" spans="1:22" ht="12.75" customHeight="1">
      <c r="A116" s="40" t="s">
        <v>451</v>
      </c>
      <c r="B116" s="42"/>
      <c r="C116" s="85">
        <f>SUM(C111:C115)</f>
        <v>0</v>
      </c>
      <c r="D116" s="83">
        <f t="shared" si="40"/>
        <v>0</v>
      </c>
      <c r="E116" s="85">
        <f>SUM(E111:E115)</f>
        <v>0</v>
      </c>
      <c r="F116" s="83">
        <f t="shared" si="41"/>
        <v>0</v>
      </c>
      <c r="G116" s="85">
        <f>SUM(G111:G115)</f>
        <v>0</v>
      </c>
      <c r="H116" s="83">
        <f t="shared" si="42"/>
        <v>0</v>
      </c>
      <c r="I116" s="85">
        <f>SUM(I111:I115)</f>
        <v>0</v>
      </c>
      <c r="J116" s="83">
        <f t="shared" si="43"/>
        <v>0</v>
      </c>
      <c r="K116" s="85">
        <f>SUM(K111:K115)</f>
        <v>0</v>
      </c>
      <c r="L116" s="83">
        <f t="shared" si="44"/>
        <v>0</v>
      </c>
      <c r="M116" s="85">
        <f>SUM(M111:M115)</f>
        <v>0</v>
      </c>
      <c r="N116" s="83">
        <f t="shared" si="45"/>
        <v>0</v>
      </c>
      <c r="O116" s="85">
        <f>SUM(O111:O115)</f>
        <v>0</v>
      </c>
      <c r="P116" s="83">
        <f t="shared" si="46"/>
        <v>0</v>
      </c>
      <c r="Q116" s="85">
        <f>SUM(Q111:Q115)</f>
        <v>0</v>
      </c>
      <c r="R116" s="83">
        <f t="shared" si="47"/>
        <v>0</v>
      </c>
      <c r="S116" s="85">
        <f>SUM(S111:S115)</f>
        <v>0</v>
      </c>
      <c r="T116" s="83">
        <f t="shared" si="48"/>
        <v>0</v>
      </c>
      <c r="U116" s="85">
        <f>SUM(U111:U115)</f>
        <v>0</v>
      </c>
      <c r="V116" s="83">
        <f t="shared" si="49"/>
        <v>0</v>
      </c>
    </row>
    <row r="118" spans="1:22" ht="12.75" customHeight="1">
      <c r="A118" s="43" t="s">
        <v>452</v>
      </c>
      <c r="B118" s="43"/>
    </row>
    <row r="119" spans="1:22" ht="12.75" customHeight="1">
      <c r="A119" s="47" t="s">
        <v>453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7" tint="0.59999389629810485"/>
  </sheetPr>
  <dimension ref="A1:X119"/>
  <sheetViews>
    <sheetView topLeftCell="A9" zoomScale="70" zoomScaleNormal="70" workbookViewId="0" xr3:uid="{F4A53677-9E12-59C4-BAB1-211CDE2C826E}">
      <selection activeCell="W59" sqref="W59"/>
    </sheetView>
  </sheetViews>
  <sheetFormatPr defaultColWidth="9.140625" defaultRowHeight="12.75" customHeight="1"/>
  <cols>
    <col min="1" max="1" width="9.5703125" style="2" customWidth="1"/>
    <col min="2" max="2" width="40" style="2" customWidth="1"/>
    <col min="3" max="3" width="12.7109375" style="2" customWidth="1"/>
    <col min="4" max="4" width="8.7109375" style="2" customWidth="1"/>
    <col min="5" max="5" width="12.7109375" style="2" customWidth="1"/>
    <col min="6" max="6" width="8.7109375" style="2" customWidth="1"/>
    <col min="7" max="7" width="12.710937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355</v>
      </c>
      <c r="G2" s="33" t="s">
        <v>328</v>
      </c>
      <c r="H2" s="34"/>
      <c r="I2" s="34"/>
      <c r="V2" s="32"/>
    </row>
    <row r="3" spans="1:22" ht="12.75" customHeight="1">
      <c r="A3" s="1" t="s">
        <v>357</v>
      </c>
      <c r="D3" s="118" t="s">
        <v>358</v>
      </c>
      <c r="G3" s="115" t="str">
        <f>+G2</f>
        <v>Starbucks (Mango)</v>
      </c>
      <c r="H3" s="116"/>
      <c r="I3" s="116"/>
      <c r="V3" s="32"/>
    </row>
    <row r="4" spans="1:22" ht="12.75" customHeight="1">
      <c r="A4" s="1" t="s">
        <v>359</v>
      </c>
      <c r="B4" s="109" t="s">
        <v>221</v>
      </c>
      <c r="D4" s="118" t="s">
        <v>360</v>
      </c>
      <c r="G4" s="115" t="s">
        <v>65</v>
      </c>
      <c r="H4" s="116"/>
      <c r="I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361</v>
      </c>
      <c r="B7" s="1"/>
    </row>
    <row r="8" spans="1:22" ht="12.75" customHeight="1">
      <c r="A8" s="2" t="s">
        <v>362</v>
      </c>
      <c r="C8" s="109">
        <v>285</v>
      </c>
      <c r="E8" s="109">
        <f>+C8</f>
        <v>285</v>
      </c>
      <c r="G8" s="109">
        <f>+E8</f>
        <v>285</v>
      </c>
      <c r="I8" s="109">
        <f>+G8</f>
        <v>285</v>
      </c>
      <c r="K8" s="109">
        <f>+I8</f>
        <v>285</v>
      </c>
      <c r="M8" s="109">
        <f>+K8</f>
        <v>285</v>
      </c>
      <c r="O8" s="109">
        <f>+M8</f>
        <v>285</v>
      </c>
      <c r="Q8" s="109">
        <f>+O8</f>
        <v>285</v>
      </c>
      <c r="S8" s="109">
        <f>+Q8</f>
        <v>285</v>
      </c>
      <c r="U8" s="109">
        <f>+S8</f>
        <v>285</v>
      </c>
    </row>
    <row r="10" spans="1:22" ht="12.75" customHeight="1">
      <c r="A10" s="2" t="s">
        <v>462</v>
      </c>
      <c r="C10" s="201">
        <f>+C14/C8/C12</f>
        <v>636</v>
      </c>
      <c r="D10" s="202"/>
      <c r="E10" s="201">
        <f>+E14/E8/E12</f>
        <v>734.97946317699882</v>
      </c>
      <c r="F10" s="202"/>
      <c r="G10" s="201">
        <f>+G14/G8/G12</f>
        <v>760.23940718221547</v>
      </c>
      <c r="H10" s="202"/>
      <c r="I10" s="201">
        <f>+I14/I8/I12</f>
        <v>786.39055088349221</v>
      </c>
      <c r="J10" s="202"/>
      <c r="K10" s="201">
        <f>+K14/K8/K12</f>
        <v>797.82129924812034</v>
      </c>
      <c r="L10" s="202"/>
      <c r="M10" s="201">
        <f>+M14/M8/M12</f>
        <v>817.37713216041891</v>
      </c>
      <c r="N10" s="202"/>
      <c r="O10" s="201">
        <f>+O14/O8/O12</f>
        <v>837.43608687015058</v>
      </c>
      <c r="P10" s="202"/>
      <c r="Q10" s="201">
        <f>+Q14/Q8/Q12</f>
        <v>858.01140584105531</v>
      </c>
      <c r="R10" s="202"/>
      <c r="S10" s="201">
        <f>+S14/S8/S12</f>
        <v>879.116686400817</v>
      </c>
      <c r="T10" s="202"/>
      <c r="U10" s="201">
        <f>+U14/U8/U12</f>
        <v>900.76589036505266</v>
      </c>
    </row>
    <row r="12" spans="1:22" ht="12.75" customHeight="1">
      <c r="A12" s="2" t="s">
        <v>463</v>
      </c>
      <c r="C12" s="110">
        <v>5.49</v>
      </c>
      <c r="E12" s="110">
        <v>5.51</v>
      </c>
      <c r="G12" s="110">
        <v>5.54</v>
      </c>
      <c r="I12" s="110">
        <v>5.57</v>
      </c>
      <c r="K12" s="110">
        <v>5.6</v>
      </c>
      <c r="M12" s="110">
        <v>5.63</v>
      </c>
      <c r="O12" s="110">
        <v>5.66</v>
      </c>
      <c r="Q12" s="110">
        <v>5.69</v>
      </c>
      <c r="S12" s="110">
        <v>5.72</v>
      </c>
      <c r="U12" s="110">
        <v>5.75</v>
      </c>
    </row>
    <row r="14" spans="1:22" ht="12.75" customHeight="1">
      <c r="A14" s="2" t="s">
        <v>464</v>
      </c>
      <c r="C14" s="198">
        <v>995117.4</v>
      </c>
      <c r="D14" s="12"/>
      <c r="E14" s="198">
        <v>1154175</v>
      </c>
      <c r="F14" s="12"/>
      <c r="G14" s="198">
        <f>+E14*1.04</f>
        <v>1200342</v>
      </c>
      <c r="H14" s="12"/>
      <c r="I14" s="198">
        <f>+G14*1.04</f>
        <v>1248355.68</v>
      </c>
      <c r="J14" s="12"/>
      <c r="K14" s="198">
        <f>+I14*1.02</f>
        <v>1273322.7936</v>
      </c>
      <c r="L14" s="12"/>
      <c r="M14" s="198">
        <f>+K14*1.03</f>
        <v>1311522.477408</v>
      </c>
      <c r="N14" s="12"/>
      <c r="O14" s="198">
        <f>+M14*1.03</f>
        <v>1350868.1517302401</v>
      </c>
      <c r="P14" s="12"/>
      <c r="Q14" s="198">
        <f>+O14*1.03</f>
        <v>1391394.1962821474</v>
      </c>
      <c r="R14" s="12"/>
      <c r="S14" s="198">
        <f>+Q14*1.03</f>
        <v>1433136.0221706119</v>
      </c>
      <c r="T14" s="12"/>
      <c r="U14" s="198">
        <f>+S14*1.03</f>
        <v>1476130.1028357302</v>
      </c>
    </row>
    <row r="15" spans="1:22" ht="12.75" customHeight="1">
      <c r="A15" s="39">
        <v>0.05</v>
      </c>
    </row>
    <row r="16" spans="1:22" ht="12.75" customHeight="1">
      <c r="B16" s="35"/>
      <c r="C16" s="86" t="str">
        <f>C6</f>
        <v>FY 2018-19</v>
      </c>
      <c r="D16" s="86" t="s">
        <v>366</v>
      </c>
      <c r="E16" s="86" t="str">
        <f>E6</f>
        <v>FY 2019-20</v>
      </c>
      <c r="F16" s="86" t="s">
        <v>366</v>
      </c>
      <c r="G16" s="86" t="str">
        <f>G6</f>
        <v>FY 2020-21</v>
      </c>
      <c r="H16" s="86" t="s">
        <v>366</v>
      </c>
      <c r="I16" s="86" t="str">
        <f>I6</f>
        <v>FY 2021-22</v>
      </c>
      <c r="J16" s="86" t="s">
        <v>366</v>
      </c>
      <c r="K16" s="86" t="str">
        <f>K6</f>
        <v>FY 2022-23</v>
      </c>
      <c r="L16" s="86" t="s">
        <v>366</v>
      </c>
      <c r="M16" s="86" t="str">
        <f>M6</f>
        <v>FY 2023-24</v>
      </c>
      <c r="N16" s="86" t="s">
        <v>366</v>
      </c>
      <c r="O16" s="86" t="str">
        <f>O6</f>
        <v>FY 2024-25</v>
      </c>
      <c r="P16" s="86" t="s">
        <v>366</v>
      </c>
      <c r="Q16" s="86" t="str">
        <f>Q6</f>
        <v>FY 2025-26</v>
      </c>
      <c r="R16" s="86" t="s">
        <v>366</v>
      </c>
      <c r="S16" s="86" t="str">
        <f>S6</f>
        <v>FY 2026-27</v>
      </c>
      <c r="T16" s="86" t="s">
        <v>366</v>
      </c>
      <c r="U16" s="86" t="str">
        <f>U6</f>
        <v>FY 2027-28</v>
      </c>
      <c r="V16" s="86" t="s">
        <v>366</v>
      </c>
    </row>
    <row r="17" spans="1:24" ht="12.75" customHeight="1">
      <c r="A17" s="1" t="s">
        <v>367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368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369</v>
      </c>
      <c r="B19" s="35"/>
      <c r="C19" s="196">
        <f>+C14-C20</f>
        <v>871921.86588000006</v>
      </c>
      <c r="D19" s="80">
        <f>IFERROR(C19/C$28,0)</f>
        <v>0.87620000000000009</v>
      </c>
      <c r="E19" s="196">
        <f>+E14-E20</f>
        <v>969507</v>
      </c>
      <c r="F19" s="80">
        <f>IFERROR(E19/E$28,0)</f>
        <v>0.84</v>
      </c>
      <c r="G19" s="196">
        <f>+G14-G20</f>
        <v>1011980.64</v>
      </c>
      <c r="H19" s="80">
        <f>IFERROR(G19/G$28,0)</f>
        <v>0.84307692307692306</v>
      </c>
      <c r="I19" s="196">
        <f>+I14-I20</f>
        <v>1056227.0928</v>
      </c>
      <c r="J19" s="80">
        <f>IFERROR(I19/I$28,0)</f>
        <v>0.84609467455621301</v>
      </c>
      <c r="K19" s="196">
        <f>+K14-K20</f>
        <v>1077351.634656</v>
      </c>
      <c r="L19" s="80">
        <f>IFERROR(K19/K$28,0)</f>
        <v>0.84609467455621301</v>
      </c>
      <c r="M19" s="196">
        <f>+M14-M20</f>
        <v>1111631.89528512</v>
      </c>
      <c r="N19" s="80">
        <f>IFERROR(M19/M$28,0)</f>
        <v>0.84758890101683226</v>
      </c>
      <c r="O19" s="196">
        <f>+O14-O20</f>
        <v>1146979.7579649026</v>
      </c>
      <c r="P19" s="80">
        <f>IFERROR(O19/O$28,0)</f>
        <v>0.84906862042443576</v>
      </c>
      <c r="Q19" s="196">
        <f>+Q14-Q20</f>
        <v>1183428.0346415031</v>
      </c>
      <c r="R19" s="80">
        <f>IFERROR(Q19/Q$28,0)</f>
        <v>0.85053397362419869</v>
      </c>
      <c r="S19" s="196">
        <f>+S14-S20</f>
        <v>1221010.5372971545</v>
      </c>
      <c r="T19" s="80">
        <f>IFERROR(S19/S$28,0)</f>
        <v>0.85198510009386652</v>
      </c>
      <c r="U19" s="196">
        <f>+U14-U20</f>
        <v>1259762.1082648037</v>
      </c>
      <c r="V19" s="80">
        <f>IFERROR(U19/U$28,0)</f>
        <v>0.85342213795703292</v>
      </c>
    </row>
    <row r="20" spans="1:24" ht="12.75" customHeight="1">
      <c r="A20" s="2" t="s">
        <v>370</v>
      </c>
      <c r="B20" s="35"/>
      <c r="C20" s="111">
        <f>+C14*12.38%</f>
        <v>123195.53412000001</v>
      </c>
      <c r="D20" s="80">
        <f>IFERROR(C20/C$28,0)</f>
        <v>0.12380000000000001</v>
      </c>
      <c r="E20" s="111">
        <f>+E14*16%</f>
        <v>184668</v>
      </c>
      <c r="F20" s="80">
        <f>IFERROR(E20/E$28,0)</f>
        <v>0.16</v>
      </c>
      <c r="G20" s="111">
        <f t="shared" ref="G20:U21" si="0">E20*1.02</f>
        <v>188361.36000000002</v>
      </c>
      <c r="H20" s="80">
        <f>IFERROR(G20/G$28,0)</f>
        <v>0.15692307692307694</v>
      </c>
      <c r="I20" s="111">
        <f t="shared" si="0"/>
        <v>192128.58720000001</v>
      </c>
      <c r="J20" s="80">
        <f>IFERROR(I20/I$28,0)</f>
        <v>0.15390532544378699</v>
      </c>
      <c r="K20" s="111">
        <f t="shared" si="0"/>
        <v>195971.15894400002</v>
      </c>
      <c r="L20" s="80">
        <f>IFERROR(K20/K$28,0)</f>
        <v>0.15390532544378702</v>
      </c>
      <c r="M20" s="111">
        <f t="shared" si="0"/>
        <v>199890.58212288003</v>
      </c>
      <c r="N20" s="80">
        <f>IFERROR(M20/M$28,0)</f>
        <v>0.15241109898316771</v>
      </c>
      <c r="O20" s="111">
        <f t="shared" si="0"/>
        <v>203888.39376533765</v>
      </c>
      <c r="P20" s="80">
        <f>IFERROR(O20/O$28,0)</f>
        <v>0.15093137957556413</v>
      </c>
      <c r="Q20" s="111">
        <f t="shared" si="0"/>
        <v>207966.16164064439</v>
      </c>
      <c r="R20" s="80">
        <f>IFERROR(Q20/Q$28,0)</f>
        <v>0.14946602637580136</v>
      </c>
      <c r="S20" s="111">
        <f t="shared" si="0"/>
        <v>212125.48487345729</v>
      </c>
      <c r="T20" s="80">
        <f>IFERROR(S20/S$28,0)</f>
        <v>0.1480148999061334</v>
      </c>
      <c r="U20" s="111">
        <f t="shared" si="0"/>
        <v>216367.99457092644</v>
      </c>
      <c r="V20" s="80">
        <f>IFERROR(U20/U$28,0)</f>
        <v>0.14657786204296705</v>
      </c>
    </row>
    <row r="21" spans="1:24" ht="12.75" customHeight="1">
      <c r="A21" s="2" t="s">
        <v>371</v>
      </c>
      <c r="B21" s="35"/>
      <c r="C21" s="111"/>
      <c r="D21" s="80">
        <f>IFERROR(C21/C$28,0)</f>
        <v>0</v>
      </c>
      <c r="E21" s="111">
        <v>0</v>
      </c>
      <c r="F21" s="80">
        <f>IFERROR(E21/E$28,0)</f>
        <v>0</v>
      </c>
      <c r="G21" s="111">
        <f t="shared" si="0"/>
        <v>0</v>
      </c>
      <c r="H21" s="80">
        <f>IFERROR(G21/G$28,0)</f>
        <v>0</v>
      </c>
      <c r="I21" s="111">
        <f t="shared" si="0"/>
        <v>0</v>
      </c>
      <c r="J21" s="80">
        <f>IFERROR(I21/I$28,0)</f>
        <v>0</v>
      </c>
      <c r="K21" s="111">
        <f t="shared" si="0"/>
        <v>0</v>
      </c>
      <c r="L21" s="80">
        <f>IFERROR(K21/K$28,0)</f>
        <v>0</v>
      </c>
      <c r="M21" s="111">
        <f t="shared" si="0"/>
        <v>0</v>
      </c>
      <c r="N21" s="80">
        <f>IFERROR(M21/M$28,0)</f>
        <v>0</v>
      </c>
      <c r="O21" s="111">
        <f t="shared" si="0"/>
        <v>0</v>
      </c>
      <c r="P21" s="80">
        <f>IFERROR(O21/O$28,0)</f>
        <v>0</v>
      </c>
      <c r="Q21" s="111">
        <f t="shared" si="0"/>
        <v>0</v>
      </c>
      <c r="R21" s="80">
        <f>IFERROR(Q21/Q$28,0)</f>
        <v>0</v>
      </c>
      <c r="S21" s="111">
        <f t="shared" si="0"/>
        <v>0</v>
      </c>
      <c r="T21" s="80">
        <f>IFERROR(S21/S$28,0)</f>
        <v>0</v>
      </c>
      <c r="U21" s="111">
        <f t="shared" si="0"/>
        <v>0</v>
      </c>
      <c r="V21" s="80">
        <f>IFERROR(U21/U$28,0)</f>
        <v>0</v>
      </c>
    </row>
    <row r="22" spans="1:24" ht="12.75" customHeight="1">
      <c r="A22" s="2" t="s">
        <v>372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373</v>
      </c>
      <c r="B23" s="123"/>
      <c r="C23" s="79"/>
      <c r="D23" s="80">
        <f t="shared" ref="D23:D28" si="1">IFERROR(C23/C$28,0)</f>
        <v>0</v>
      </c>
      <c r="E23" s="79"/>
      <c r="F23" s="80">
        <f t="shared" ref="F23:F28" si="2">IFERROR(E23/E$28,0)</f>
        <v>0</v>
      </c>
      <c r="G23" s="79"/>
      <c r="H23" s="80">
        <f t="shared" ref="H23:H28" si="3">IFERROR(G23/G$28,0)</f>
        <v>0</v>
      </c>
      <c r="I23" s="79"/>
      <c r="J23" s="80">
        <f t="shared" ref="J23:J28" si="4">IFERROR(I23/I$28,0)</f>
        <v>0</v>
      </c>
      <c r="K23" s="79"/>
      <c r="L23" s="80">
        <f t="shared" ref="L23:L28" si="5">IFERROR(K23/K$28,0)</f>
        <v>0</v>
      </c>
      <c r="M23" s="79"/>
      <c r="N23" s="80">
        <f t="shared" ref="N23:N28" si="6">IFERROR(M23/M$28,0)</f>
        <v>0</v>
      </c>
      <c r="O23" s="79"/>
      <c r="P23" s="80">
        <f t="shared" ref="P23:P28" si="7">IFERROR(O23/O$28,0)</f>
        <v>0</v>
      </c>
      <c r="Q23" s="79"/>
      <c r="R23" s="80">
        <f t="shared" ref="R23:R28" si="8">IFERROR(Q23/Q$28,0)</f>
        <v>0</v>
      </c>
      <c r="S23" s="79"/>
      <c r="T23" s="80">
        <f t="shared" ref="T23:T28" si="9">IFERROR(S23/S$28,0)</f>
        <v>0</v>
      </c>
      <c r="U23" s="79"/>
      <c r="V23" s="80">
        <f t="shared" ref="V23:V28" si="10">IFERROR(U23/U$28,0)</f>
        <v>0</v>
      </c>
    </row>
    <row r="24" spans="1:24" ht="12.75" customHeight="1">
      <c r="A24" s="122" t="s">
        <v>374</v>
      </c>
      <c r="B24" s="123"/>
      <c r="C24" s="79"/>
      <c r="D24" s="80">
        <f t="shared" si="1"/>
        <v>0</v>
      </c>
      <c r="E24" s="79"/>
      <c r="F24" s="80">
        <f t="shared" si="2"/>
        <v>0</v>
      </c>
      <c r="G24" s="79"/>
      <c r="H24" s="80">
        <f t="shared" si="3"/>
        <v>0</v>
      </c>
      <c r="I24" s="79"/>
      <c r="J24" s="80">
        <f t="shared" si="4"/>
        <v>0</v>
      </c>
      <c r="K24" s="79"/>
      <c r="L24" s="80">
        <f t="shared" si="5"/>
        <v>0</v>
      </c>
      <c r="M24" s="79"/>
      <c r="N24" s="80">
        <f t="shared" si="6"/>
        <v>0</v>
      </c>
      <c r="O24" s="79"/>
      <c r="P24" s="80">
        <f t="shared" si="7"/>
        <v>0</v>
      </c>
      <c r="Q24" s="79"/>
      <c r="R24" s="80">
        <f t="shared" si="8"/>
        <v>0</v>
      </c>
      <c r="S24" s="79"/>
      <c r="T24" s="80">
        <f t="shared" si="9"/>
        <v>0</v>
      </c>
      <c r="U24" s="79"/>
      <c r="V24" s="80">
        <f t="shared" si="10"/>
        <v>0</v>
      </c>
      <c r="X24" s="79"/>
    </row>
    <row r="25" spans="1:24" ht="12.75" customHeight="1">
      <c r="A25" s="2" t="s">
        <v>375</v>
      </c>
      <c r="B25" s="35"/>
      <c r="C25" s="111"/>
      <c r="D25" s="80">
        <f t="shared" si="1"/>
        <v>0</v>
      </c>
      <c r="E25" s="111"/>
      <c r="F25" s="80">
        <f t="shared" si="2"/>
        <v>0</v>
      </c>
      <c r="G25" s="111"/>
      <c r="H25" s="80">
        <f t="shared" si="3"/>
        <v>0</v>
      </c>
      <c r="I25" s="111"/>
      <c r="J25" s="80">
        <f t="shared" si="4"/>
        <v>0</v>
      </c>
      <c r="K25" s="111"/>
      <c r="L25" s="80">
        <f t="shared" si="5"/>
        <v>0</v>
      </c>
      <c r="M25" s="111"/>
      <c r="N25" s="80">
        <f t="shared" si="6"/>
        <v>0</v>
      </c>
      <c r="O25" s="111"/>
      <c r="P25" s="80">
        <f t="shared" si="7"/>
        <v>0</v>
      </c>
      <c r="Q25" s="111"/>
      <c r="R25" s="80">
        <f t="shared" si="8"/>
        <v>0</v>
      </c>
      <c r="S25" s="111"/>
      <c r="T25" s="80">
        <f t="shared" si="9"/>
        <v>0</v>
      </c>
      <c r="U25" s="111"/>
      <c r="V25" s="80">
        <f t="shared" si="10"/>
        <v>0</v>
      </c>
      <c r="X25" s="79"/>
    </row>
    <row r="26" spans="1:24" ht="12.75" customHeight="1">
      <c r="A26" s="122" t="s">
        <v>376</v>
      </c>
      <c r="B26" s="35"/>
      <c r="C26" s="79"/>
      <c r="D26" s="80">
        <f t="shared" si="1"/>
        <v>0</v>
      </c>
      <c r="E26" s="79"/>
      <c r="F26" s="80">
        <f t="shared" si="2"/>
        <v>0</v>
      </c>
      <c r="G26" s="79"/>
      <c r="H26" s="80">
        <f t="shared" si="3"/>
        <v>0</v>
      </c>
      <c r="I26" s="79"/>
      <c r="J26" s="80">
        <f t="shared" si="4"/>
        <v>0</v>
      </c>
      <c r="K26" s="79"/>
      <c r="L26" s="80">
        <f t="shared" si="5"/>
        <v>0</v>
      </c>
      <c r="M26" s="79"/>
      <c r="N26" s="80">
        <f t="shared" si="6"/>
        <v>0</v>
      </c>
      <c r="O26" s="79"/>
      <c r="P26" s="80">
        <f t="shared" si="7"/>
        <v>0</v>
      </c>
      <c r="Q26" s="79"/>
      <c r="R26" s="80">
        <f t="shared" si="8"/>
        <v>0</v>
      </c>
      <c r="S26" s="79"/>
      <c r="T26" s="80">
        <f t="shared" si="9"/>
        <v>0</v>
      </c>
      <c r="U26" s="79"/>
      <c r="V26" s="80">
        <f t="shared" si="10"/>
        <v>0</v>
      </c>
    </row>
    <row r="27" spans="1:24" ht="12.75" customHeight="1">
      <c r="A27" s="2" t="s">
        <v>377</v>
      </c>
      <c r="B27" s="35"/>
      <c r="C27" s="112"/>
      <c r="D27" s="80">
        <f t="shared" si="1"/>
        <v>0</v>
      </c>
      <c r="E27" s="112"/>
      <c r="F27" s="80">
        <f t="shared" si="2"/>
        <v>0</v>
      </c>
      <c r="G27" s="112"/>
      <c r="H27" s="80">
        <f t="shared" si="3"/>
        <v>0</v>
      </c>
      <c r="I27" s="112"/>
      <c r="J27" s="80">
        <f t="shared" si="4"/>
        <v>0</v>
      </c>
      <c r="K27" s="112"/>
      <c r="L27" s="80">
        <f t="shared" si="5"/>
        <v>0</v>
      </c>
      <c r="M27" s="112"/>
      <c r="N27" s="80">
        <f t="shared" si="6"/>
        <v>0</v>
      </c>
      <c r="O27" s="112"/>
      <c r="P27" s="80">
        <f t="shared" si="7"/>
        <v>0</v>
      </c>
      <c r="Q27" s="112"/>
      <c r="R27" s="80">
        <f t="shared" si="8"/>
        <v>0</v>
      </c>
      <c r="S27" s="112"/>
      <c r="T27" s="80">
        <f t="shared" si="9"/>
        <v>0</v>
      </c>
      <c r="U27" s="112"/>
      <c r="V27" s="80">
        <f t="shared" si="10"/>
        <v>0</v>
      </c>
    </row>
    <row r="28" spans="1:24" ht="12.75" customHeight="1">
      <c r="A28" s="1" t="s">
        <v>378</v>
      </c>
      <c r="B28" s="53"/>
      <c r="C28" s="82">
        <f>SUM(C19:C27)</f>
        <v>995117.4</v>
      </c>
      <c r="D28" s="83">
        <f t="shared" si="1"/>
        <v>1</v>
      </c>
      <c r="E28" s="82">
        <f>SUM(E19:E27)</f>
        <v>1154175</v>
      </c>
      <c r="F28" s="83">
        <f t="shared" si="2"/>
        <v>1</v>
      </c>
      <c r="G28" s="82">
        <f>SUM(G19:G27)</f>
        <v>1200342</v>
      </c>
      <c r="H28" s="83">
        <f t="shared" si="3"/>
        <v>1</v>
      </c>
      <c r="I28" s="82">
        <f>SUM(I19:I27)</f>
        <v>1248355.68</v>
      </c>
      <c r="J28" s="83">
        <f t="shared" si="4"/>
        <v>1</v>
      </c>
      <c r="K28" s="82">
        <f>SUM(K19:K27)</f>
        <v>1273322.7936</v>
      </c>
      <c r="L28" s="83">
        <f t="shared" si="5"/>
        <v>1</v>
      </c>
      <c r="M28" s="82">
        <f>SUM(M19:M27)</f>
        <v>1311522.477408</v>
      </c>
      <c r="N28" s="83">
        <f t="shared" si="6"/>
        <v>1</v>
      </c>
      <c r="O28" s="82">
        <f>SUM(O19:O27)</f>
        <v>1350868.1517302403</v>
      </c>
      <c r="P28" s="83">
        <f t="shared" si="7"/>
        <v>1</v>
      </c>
      <c r="Q28" s="82">
        <f>SUM(Q19:Q27)</f>
        <v>1391394.1962821474</v>
      </c>
      <c r="R28" s="83">
        <f t="shared" si="8"/>
        <v>1</v>
      </c>
      <c r="S28" s="82">
        <f>SUM(S19:S27)</f>
        <v>1433136.0221706119</v>
      </c>
      <c r="T28" s="83">
        <f t="shared" si="9"/>
        <v>1</v>
      </c>
      <c r="U28" s="82">
        <f>SUM(U19:U27)</f>
        <v>1476130.1028357302</v>
      </c>
      <c r="V28" s="83">
        <f t="shared" si="10"/>
        <v>1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379</v>
      </c>
      <c r="B30" s="53"/>
      <c r="C30" s="197">
        <v>0.34499999999999997</v>
      </c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380</v>
      </c>
      <c r="B31" s="35"/>
      <c r="C31" s="178">
        <f>$C$30*C14</f>
        <v>343315.50299999997</v>
      </c>
      <c r="D31" s="80">
        <f>IFERROR(C31/C$28,0)</f>
        <v>0.34499999999999997</v>
      </c>
      <c r="E31" s="178">
        <f>$C$30*E14</f>
        <v>398190.37499999994</v>
      </c>
      <c r="F31" s="80">
        <f>IFERROR(E31/E$28,0)</f>
        <v>0.34499999999999997</v>
      </c>
      <c r="G31" s="178">
        <f>$C$30*G14</f>
        <v>414117.99</v>
      </c>
      <c r="H31" s="80">
        <f>IFERROR(G31/G$28,0)</f>
        <v>0.34499999999999997</v>
      </c>
      <c r="I31" s="178">
        <f>$C$30*I14</f>
        <v>430682.70959999994</v>
      </c>
      <c r="J31" s="80">
        <f>IFERROR(I31/I$28,0)</f>
        <v>0.34499999999999997</v>
      </c>
      <c r="K31" s="178">
        <f>$C$30*K14</f>
        <v>439296.36379199993</v>
      </c>
      <c r="L31" s="80">
        <f>IFERROR(K31/K$28,0)</f>
        <v>0.34499999999999997</v>
      </c>
      <c r="M31" s="178">
        <f>$C$30*M14</f>
        <v>452475.25470575999</v>
      </c>
      <c r="N31" s="80">
        <f>IFERROR(M31/M$28,0)</f>
        <v>0.34499999999999997</v>
      </c>
      <c r="O31" s="178">
        <f>$C$30*O14</f>
        <v>466049.51234693278</v>
      </c>
      <c r="P31" s="80">
        <f>IFERROR(O31/O$28,0)</f>
        <v>0.34499999999999992</v>
      </c>
      <c r="Q31" s="178">
        <f>$C$30*Q14</f>
        <v>480030.99771734083</v>
      </c>
      <c r="R31" s="80">
        <f>IFERROR(Q31/Q$28,0)</f>
        <v>0.34499999999999997</v>
      </c>
      <c r="S31" s="178">
        <f>$C$30*S14</f>
        <v>494431.92764886108</v>
      </c>
      <c r="T31" s="80">
        <f>IFERROR(S31/S$28,0)</f>
        <v>0.34499999999999997</v>
      </c>
      <c r="U31" s="178">
        <f>$C$30*U14</f>
        <v>509264.88547832688</v>
      </c>
      <c r="V31" s="80">
        <f>IFERROR(U31/U$28,0)</f>
        <v>0.34499999999999997</v>
      </c>
    </row>
    <row r="32" spans="1:24" ht="12.75" customHeight="1">
      <c r="A32" s="8" t="s">
        <v>381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382</v>
      </c>
      <c r="B33" s="53"/>
      <c r="C33" s="82">
        <f>SUM(C31:C32)</f>
        <v>343315.50299999997</v>
      </c>
      <c r="D33" s="83">
        <f>IFERROR(C33/C$28,0)</f>
        <v>0.34499999999999997</v>
      </c>
      <c r="E33" s="82">
        <f>SUM(E31:E32)</f>
        <v>398190.37499999994</v>
      </c>
      <c r="F33" s="83">
        <f>IFERROR(E33/E$28,0)</f>
        <v>0.34499999999999997</v>
      </c>
      <c r="G33" s="82">
        <f>SUM(G31:G32)</f>
        <v>414117.99</v>
      </c>
      <c r="H33" s="83">
        <f>IFERROR(G33/G$28,0)</f>
        <v>0.34499999999999997</v>
      </c>
      <c r="I33" s="82">
        <f>SUM(I31:I32)</f>
        <v>430682.70959999994</v>
      </c>
      <c r="J33" s="83">
        <f>IFERROR(I33/I$28,0)</f>
        <v>0.34499999999999997</v>
      </c>
      <c r="K33" s="82">
        <f>SUM(K31:K32)</f>
        <v>439296.36379199993</v>
      </c>
      <c r="L33" s="83">
        <f>IFERROR(K33/K$28,0)</f>
        <v>0.34499999999999997</v>
      </c>
      <c r="M33" s="82">
        <f>SUM(M31:M32)</f>
        <v>452475.25470575999</v>
      </c>
      <c r="N33" s="83">
        <f>IFERROR(M33/M$28,0)</f>
        <v>0.34499999999999997</v>
      </c>
      <c r="O33" s="82">
        <f>SUM(O31:O32)</f>
        <v>466049.51234693278</v>
      </c>
      <c r="P33" s="83">
        <f>IFERROR(O33/O$28,0)</f>
        <v>0.34499999999999992</v>
      </c>
      <c r="Q33" s="82">
        <f>SUM(Q31:Q32)</f>
        <v>480030.99771734083</v>
      </c>
      <c r="R33" s="83">
        <f>IFERROR(Q33/Q$28,0)</f>
        <v>0.34499999999999997</v>
      </c>
      <c r="S33" s="82">
        <f>SUM(S31:S32)</f>
        <v>494431.92764886108</v>
      </c>
      <c r="T33" s="83">
        <f>IFERROR(S33/S$28,0)</f>
        <v>0.34499999999999997</v>
      </c>
      <c r="U33" s="82">
        <f>SUM(U31:U32)</f>
        <v>509264.88547832688</v>
      </c>
      <c r="V33" s="83">
        <f>IFERROR(U33/U$28,0)</f>
        <v>0.34499999999999997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383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384</v>
      </c>
      <c r="B36" s="35"/>
      <c r="C36" s="178"/>
      <c r="D36" s="80">
        <f t="shared" ref="D36:D46" si="11">IFERROR(C36/C$28,0)</f>
        <v>0</v>
      </c>
      <c r="E36" s="178"/>
      <c r="F36" s="80">
        <f t="shared" ref="F36:F46" si="12">IFERROR(E36/E$28,0)</f>
        <v>0</v>
      </c>
      <c r="G36" s="178"/>
      <c r="H36" s="80">
        <f t="shared" ref="H36:H46" si="13">IFERROR(G36/G$28,0)</f>
        <v>0</v>
      </c>
      <c r="I36" s="178"/>
      <c r="J36" s="80">
        <f t="shared" ref="J36:J46" si="14">IFERROR(I36/I$28,0)</f>
        <v>0</v>
      </c>
      <c r="K36" s="178"/>
      <c r="L36" s="80">
        <f t="shared" ref="L36:L46" si="15">IFERROR(K36/K$28,0)</f>
        <v>0</v>
      </c>
      <c r="M36" s="178"/>
      <c r="N36" s="80">
        <f t="shared" ref="N36:N46" si="16">IFERROR(M36/M$28,0)</f>
        <v>0</v>
      </c>
      <c r="O36" s="178"/>
      <c r="P36" s="80">
        <f t="shared" ref="P36:P46" si="17">IFERROR(O36/O$28,0)</f>
        <v>0</v>
      </c>
      <c r="Q36" s="178"/>
      <c r="R36" s="80">
        <f t="shared" ref="R36:R46" si="18">IFERROR(Q36/Q$28,0)</f>
        <v>0</v>
      </c>
      <c r="S36" s="178"/>
      <c r="T36" s="80">
        <f t="shared" ref="T36:T46" si="19">IFERROR(S36/S$28,0)</f>
        <v>0</v>
      </c>
      <c r="U36" s="178"/>
      <c r="V36" s="80">
        <f t="shared" ref="V36:V46" si="20">IFERROR(U36/U$28,0)</f>
        <v>0</v>
      </c>
    </row>
    <row r="37" spans="1:22" ht="12.75" customHeight="1">
      <c r="A37" s="2" t="s">
        <v>385</v>
      </c>
      <c r="B37" s="35"/>
      <c r="C37" s="178">
        <v>110898</v>
      </c>
      <c r="D37" s="80">
        <f t="shared" si="11"/>
        <v>0.11144212733090587</v>
      </c>
      <c r="E37" s="178">
        <f>+C37*1.1</f>
        <v>121987.8</v>
      </c>
      <c r="F37" s="80">
        <f t="shared" si="12"/>
        <v>0.1056926375982845</v>
      </c>
      <c r="G37" s="178">
        <f>+E37*1.035</f>
        <v>126257.37299999999</v>
      </c>
      <c r="H37" s="80">
        <f t="shared" si="13"/>
        <v>0.1051844999175235</v>
      </c>
      <c r="I37" s="178">
        <f>+G37*1.032</f>
        <v>130297.60893599999</v>
      </c>
      <c r="J37" s="80">
        <f t="shared" si="14"/>
        <v>0.1043753883796964</v>
      </c>
      <c r="K37" s="178">
        <f>+I37*1.025</f>
        <v>133555.04915939999</v>
      </c>
      <c r="L37" s="80">
        <f t="shared" si="15"/>
        <v>0.10488703244038118</v>
      </c>
      <c r="M37" s="178">
        <f>+K37*1.025</f>
        <v>136893.92538838499</v>
      </c>
      <c r="N37" s="80">
        <f t="shared" si="16"/>
        <v>0.10437787208872884</v>
      </c>
      <c r="O37" s="178">
        <f>+M37*1.025</f>
        <v>140316.2735230946</v>
      </c>
      <c r="P37" s="80">
        <f t="shared" si="17"/>
        <v>0.10387118338926896</v>
      </c>
      <c r="Q37" s="178">
        <f>+O37*1.02</f>
        <v>143122.59899355649</v>
      </c>
      <c r="R37" s="80">
        <f t="shared" si="18"/>
        <v>0.10286272529811101</v>
      </c>
      <c r="S37" s="178">
        <f>+Q37*1.02</f>
        <v>145985.05097342763</v>
      </c>
      <c r="T37" s="80">
        <f t="shared" si="19"/>
        <v>0.10186405806220702</v>
      </c>
      <c r="U37" s="178">
        <f>+S37*1.025</f>
        <v>149634.67724776329</v>
      </c>
      <c r="V37" s="80">
        <f t="shared" si="20"/>
        <v>0.10136957234345843</v>
      </c>
    </row>
    <row r="38" spans="1:22" ht="12.75" customHeight="1">
      <c r="A38" s="2" t="s">
        <v>386</v>
      </c>
      <c r="B38" s="35"/>
      <c r="C38" s="178">
        <v>6528</v>
      </c>
      <c r="D38" s="80">
        <f t="shared" si="11"/>
        <v>6.5600300024901579E-3</v>
      </c>
      <c r="E38" s="178">
        <f t="shared" ref="E38" si="21">+C38*1.112</f>
        <v>7259.1360000000004</v>
      </c>
      <c r="F38" s="80">
        <f t="shared" si="12"/>
        <v>6.2894587042692839E-3</v>
      </c>
      <c r="G38" s="178">
        <f>+E38*1.035</f>
        <v>7513.2057599999998</v>
      </c>
      <c r="H38" s="80">
        <f t="shared" si="13"/>
        <v>6.2592209220372194E-3</v>
      </c>
      <c r="I38" s="178">
        <f>+G38*1.032</f>
        <v>7753.62834432</v>
      </c>
      <c r="J38" s="80">
        <f t="shared" si="14"/>
        <v>6.2110730687907796E-3</v>
      </c>
      <c r="K38" s="178">
        <f>+I38*1.025</f>
        <v>7947.4690529279997</v>
      </c>
      <c r="L38" s="80">
        <f t="shared" si="15"/>
        <v>6.2415195054024986E-3</v>
      </c>
      <c r="M38" s="178">
        <f>+K38*1.025</f>
        <v>8146.1557792511985</v>
      </c>
      <c r="N38" s="80">
        <f t="shared" si="16"/>
        <v>6.2112208670267567E-3</v>
      </c>
      <c r="O38" s="178">
        <f>+M38*1.025</f>
        <v>8349.8096737324777</v>
      </c>
      <c r="P38" s="80">
        <f t="shared" si="17"/>
        <v>6.1810693094198291E-3</v>
      </c>
      <c r="Q38" s="178">
        <f>+O38*1.02</f>
        <v>8516.8058672071274</v>
      </c>
      <c r="R38" s="80">
        <f t="shared" si="18"/>
        <v>6.121058927774977E-3</v>
      </c>
      <c r="S38" s="178">
        <f>+Q38*1.02</f>
        <v>8687.1419845512701</v>
      </c>
      <c r="T38" s="80">
        <f t="shared" si="19"/>
        <v>6.0616311711946371E-3</v>
      </c>
      <c r="U38" s="178">
        <f>+S38*1.025</f>
        <v>8904.3205341650519</v>
      </c>
      <c r="V38" s="80">
        <f t="shared" si="20"/>
        <v>6.0322057771597121E-3</v>
      </c>
    </row>
    <row r="39" spans="1:22" ht="12.75" customHeight="1">
      <c r="A39" s="2" t="s">
        <v>387</v>
      </c>
      <c r="B39" s="35"/>
      <c r="C39" s="178">
        <v>54608</v>
      </c>
      <c r="D39" s="80">
        <f t="shared" si="11"/>
        <v>5.487593725122282E-2</v>
      </c>
      <c r="E39" s="178">
        <f>+C39*1.1</f>
        <v>60068.800000000003</v>
      </c>
      <c r="F39" s="80">
        <f t="shared" si="12"/>
        <v>5.2044793900405055E-2</v>
      </c>
      <c r="G39" s="178">
        <f>+E39*1.035</f>
        <v>62171.207999999999</v>
      </c>
      <c r="H39" s="80">
        <f t="shared" si="13"/>
        <v>5.1794578545114642E-2</v>
      </c>
      <c r="I39" s="178">
        <f>+G39*1.032</f>
        <v>64160.686655999998</v>
      </c>
      <c r="J39" s="80">
        <f t="shared" si="14"/>
        <v>5.1396158710152226E-2</v>
      </c>
      <c r="K39" s="178">
        <f>+I39*1.025</f>
        <v>65764.703822399999</v>
      </c>
      <c r="L39" s="80">
        <f t="shared" si="15"/>
        <v>5.1648100664613755E-2</v>
      </c>
      <c r="M39" s="178">
        <f>+K39*1.025</f>
        <v>67408.821417959989</v>
      </c>
      <c r="N39" s="80">
        <f t="shared" si="16"/>
        <v>5.1397381729348629E-2</v>
      </c>
      <c r="O39" s="178">
        <f>+M39*1.025</f>
        <v>69094.041953408989</v>
      </c>
      <c r="P39" s="80">
        <f t="shared" si="17"/>
        <v>5.1147879876293524E-2</v>
      </c>
      <c r="Q39" s="178">
        <f>+O39*1.02</f>
        <v>70475.922792477169</v>
      </c>
      <c r="R39" s="80">
        <f t="shared" si="18"/>
        <v>5.0651298518271264E-2</v>
      </c>
      <c r="S39" s="178">
        <f>+Q39*1.02</f>
        <v>71885.441248326708</v>
      </c>
      <c r="T39" s="80">
        <f t="shared" si="19"/>
        <v>5.0159538338482218E-2</v>
      </c>
      <c r="U39" s="178">
        <f>+S39*1.025</f>
        <v>73682.577279534875</v>
      </c>
      <c r="V39" s="80">
        <f t="shared" si="20"/>
        <v>4.9916045433926477E-2</v>
      </c>
    </row>
    <row r="40" spans="1:22" ht="12.75" customHeight="1">
      <c r="A40" s="2" t="s">
        <v>388</v>
      </c>
      <c r="B40" s="35"/>
      <c r="C40" s="178">
        <f>C36*0.124</f>
        <v>0</v>
      </c>
      <c r="D40" s="80">
        <f t="shared" si="11"/>
        <v>0</v>
      </c>
      <c r="E40" s="178">
        <f>E36*0.124</f>
        <v>0</v>
      </c>
      <c r="F40" s="80">
        <f t="shared" si="12"/>
        <v>0</v>
      </c>
      <c r="G40" s="178">
        <f>G36*0.124</f>
        <v>0</v>
      </c>
      <c r="H40" s="80">
        <f t="shared" si="13"/>
        <v>0</v>
      </c>
      <c r="I40" s="178">
        <f>I36*0.124</f>
        <v>0</v>
      </c>
      <c r="J40" s="80">
        <f t="shared" si="14"/>
        <v>0</v>
      </c>
      <c r="K40" s="178">
        <f>K36*0.124</f>
        <v>0</v>
      </c>
      <c r="L40" s="80">
        <f t="shared" si="15"/>
        <v>0</v>
      </c>
      <c r="M40" s="178">
        <f>M36*0.124</f>
        <v>0</v>
      </c>
      <c r="N40" s="80">
        <f t="shared" si="16"/>
        <v>0</v>
      </c>
      <c r="O40" s="178">
        <f>O36*0.124</f>
        <v>0</v>
      </c>
      <c r="P40" s="80">
        <f t="shared" si="17"/>
        <v>0</v>
      </c>
      <c r="Q40" s="178">
        <f>Q36*0.124</f>
        <v>0</v>
      </c>
      <c r="R40" s="80">
        <f t="shared" si="18"/>
        <v>0</v>
      </c>
      <c r="S40" s="178">
        <f>S36*0.124</f>
        <v>0</v>
      </c>
      <c r="T40" s="80">
        <f t="shared" si="19"/>
        <v>0</v>
      </c>
      <c r="U40" s="178">
        <f>U36*0.124</f>
        <v>0</v>
      </c>
      <c r="V40" s="80">
        <f t="shared" si="20"/>
        <v>0</v>
      </c>
    </row>
    <row r="41" spans="1:22" ht="12.75" customHeight="1">
      <c r="A41" s="2" t="s">
        <v>389</v>
      </c>
      <c r="B41" s="35"/>
      <c r="C41" s="178">
        <f>C37*0.124</f>
        <v>13751.352000000001</v>
      </c>
      <c r="D41" s="80">
        <f t="shared" si="11"/>
        <v>1.381882378903233E-2</v>
      </c>
      <c r="E41" s="178">
        <f>E37*0.124</f>
        <v>15126.4872</v>
      </c>
      <c r="F41" s="80">
        <f t="shared" si="12"/>
        <v>1.3105887062187276E-2</v>
      </c>
      <c r="G41" s="178">
        <f>G37*0.124</f>
        <v>15655.914251999999</v>
      </c>
      <c r="H41" s="80">
        <f t="shared" si="13"/>
        <v>1.3042877989772914E-2</v>
      </c>
      <c r="I41" s="178">
        <f>I37*0.124</f>
        <v>16156.903508063999</v>
      </c>
      <c r="J41" s="80">
        <f t="shared" si="14"/>
        <v>1.2942548159082353E-2</v>
      </c>
      <c r="K41" s="178">
        <f>K37*0.124</f>
        <v>16560.826095765598</v>
      </c>
      <c r="L41" s="80">
        <f t="shared" si="15"/>
        <v>1.3005992022607266E-2</v>
      </c>
      <c r="M41" s="178">
        <f>M37*0.124</f>
        <v>16974.84674815974</v>
      </c>
      <c r="N41" s="80">
        <f t="shared" si="16"/>
        <v>1.2942856139002378E-2</v>
      </c>
      <c r="O41" s="178">
        <f>O37*0.124</f>
        <v>17399.21791686373</v>
      </c>
      <c r="P41" s="80">
        <f t="shared" si="17"/>
        <v>1.288002674026935E-2</v>
      </c>
      <c r="Q41" s="178">
        <f>Q37*0.124</f>
        <v>17747.202275201005</v>
      </c>
      <c r="R41" s="80">
        <f t="shared" si="18"/>
        <v>1.2754977936965766E-2</v>
      </c>
      <c r="S41" s="178">
        <f>S37*0.124</f>
        <v>18102.146320705026</v>
      </c>
      <c r="T41" s="80">
        <f t="shared" si="19"/>
        <v>1.2631143199713672E-2</v>
      </c>
      <c r="U41" s="178">
        <f>U37*0.124</f>
        <v>18554.699978722649</v>
      </c>
      <c r="V41" s="80">
        <f t="shared" si="20"/>
        <v>1.2569826970588846E-2</v>
      </c>
    </row>
    <row r="42" spans="1:22" ht="12.75" customHeight="1">
      <c r="A42" s="2" t="s">
        <v>390</v>
      </c>
      <c r="B42" s="35"/>
      <c r="C42" s="178"/>
      <c r="D42" s="80">
        <f t="shared" si="11"/>
        <v>0</v>
      </c>
      <c r="E42" s="178"/>
      <c r="F42" s="80">
        <f t="shared" si="12"/>
        <v>0</v>
      </c>
      <c r="G42" s="178"/>
      <c r="H42" s="80">
        <f t="shared" si="13"/>
        <v>0</v>
      </c>
      <c r="I42" s="178"/>
      <c r="J42" s="80">
        <f t="shared" si="14"/>
        <v>0</v>
      </c>
      <c r="K42" s="178"/>
      <c r="L42" s="80">
        <f t="shared" si="15"/>
        <v>0</v>
      </c>
      <c r="M42" s="178"/>
      <c r="N42" s="80">
        <f t="shared" si="16"/>
        <v>0</v>
      </c>
      <c r="O42" s="178"/>
      <c r="P42" s="80">
        <f t="shared" si="17"/>
        <v>0</v>
      </c>
      <c r="Q42" s="178"/>
      <c r="R42" s="80">
        <f t="shared" si="18"/>
        <v>0</v>
      </c>
      <c r="S42" s="178"/>
      <c r="T42" s="80">
        <f t="shared" si="19"/>
        <v>0</v>
      </c>
      <c r="U42" s="178"/>
      <c r="V42" s="80">
        <f t="shared" si="20"/>
        <v>0</v>
      </c>
    </row>
    <row r="43" spans="1:22" ht="12.75" customHeight="1">
      <c r="A43" s="2" t="s">
        <v>391</v>
      </c>
      <c r="B43" s="35"/>
      <c r="C43" s="178"/>
      <c r="D43" s="80">
        <f t="shared" si="11"/>
        <v>0</v>
      </c>
      <c r="E43" s="178"/>
      <c r="F43" s="80">
        <f t="shared" si="12"/>
        <v>0</v>
      </c>
      <c r="G43" s="178"/>
      <c r="H43" s="80">
        <f t="shared" si="13"/>
        <v>0</v>
      </c>
      <c r="I43" s="178"/>
      <c r="J43" s="80">
        <f t="shared" si="14"/>
        <v>0</v>
      </c>
      <c r="K43" s="178"/>
      <c r="L43" s="80">
        <f t="shared" si="15"/>
        <v>0</v>
      </c>
      <c r="M43" s="178"/>
      <c r="N43" s="80">
        <f t="shared" si="16"/>
        <v>0</v>
      </c>
      <c r="O43" s="178"/>
      <c r="P43" s="80">
        <f t="shared" si="17"/>
        <v>0</v>
      </c>
      <c r="Q43" s="178"/>
      <c r="R43" s="80">
        <f t="shared" si="18"/>
        <v>0</v>
      </c>
      <c r="S43" s="178"/>
      <c r="T43" s="80">
        <f t="shared" si="19"/>
        <v>0</v>
      </c>
      <c r="U43" s="178"/>
      <c r="V43" s="80">
        <f t="shared" si="20"/>
        <v>0</v>
      </c>
    </row>
    <row r="44" spans="1:22" ht="12.75" customHeight="1">
      <c r="A44" s="2" t="s">
        <v>392</v>
      </c>
      <c r="B44" s="35"/>
      <c r="C44" s="178"/>
      <c r="D44" s="80">
        <f t="shared" si="11"/>
        <v>0</v>
      </c>
      <c r="E44" s="178"/>
      <c r="F44" s="80">
        <f t="shared" si="12"/>
        <v>0</v>
      </c>
      <c r="G44" s="178"/>
      <c r="H44" s="80">
        <f t="shared" si="13"/>
        <v>0</v>
      </c>
      <c r="I44" s="178"/>
      <c r="J44" s="80">
        <f t="shared" si="14"/>
        <v>0</v>
      </c>
      <c r="K44" s="178"/>
      <c r="L44" s="80">
        <f t="shared" si="15"/>
        <v>0</v>
      </c>
      <c r="M44" s="178"/>
      <c r="N44" s="80">
        <f t="shared" si="16"/>
        <v>0</v>
      </c>
      <c r="O44" s="178"/>
      <c r="P44" s="80">
        <f t="shared" si="17"/>
        <v>0</v>
      </c>
      <c r="Q44" s="178"/>
      <c r="R44" s="80">
        <f t="shared" si="18"/>
        <v>0</v>
      </c>
      <c r="S44" s="178"/>
      <c r="T44" s="80">
        <f t="shared" si="19"/>
        <v>0</v>
      </c>
      <c r="U44" s="178"/>
      <c r="V44" s="80">
        <f t="shared" si="20"/>
        <v>0</v>
      </c>
    </row>
    <row r="45" spans="1:22" ht="12.75" customHeight="1">
      <c r="A45" s="2" t="s">
        <v>393</v>
      </c>
      <c r="B45" s="35"/>
      <c r="C45" s="181">
        <f>SUM(C36:C39)*0.094</f>
        <v>16171.196</v>
      </c>
      <c r="D45" s="80">
        <f t="shared" si="11"/>
        <v>1.6250540890954172E-2</v>
      </c>
      <c r="E45" s="181">
        <f>SUM(E36:E39)*0.094</f>
        <v>17795.679184000001</v>
      </c>
      <c r="F45" s="80">
        <f t="shared" si="12"/>
        <v>1.541852767907813E-2</v>
      </c>
      <c r="G45" s="181">
        <f>SUM(G36:G39)*0.094</f>
        <v>18418.52795544</v>
      </c>
      <c r="H45" s="80">
        <f t="shared" si="13"/>
        <v>1.5344400142159485E-2</v>
      </c>
      <c r="I45" s="181">
        <f>SUM(I36:I39)*0.094</f>
        <v>19007.920850014081</v>
      </c>
      <c r="J45" s="80">
        <f t="shared" si="14"/>
        <v>1.5226366294912105E-2</v>
      </c>
      <c r="K45" s="181">
        <f>SUM(K36:K39)*0.094</f>
        <v>19483.118871264429</v>
      </c>
      <c r="L45" s="80">
        <f t="shared" si="15"/>
        <v>1.5301005345377356E-2</v>
      </c>
      <c r="M45" s="181">
        <f>SUM(M36:M39)*0.094</f>
        <v>19970.19684304604</v>
      </c>
      <c r="N45" s="80">
        <f t="shared" si="16"/>
        <v>1.5226728620399798E-2</v>
      </c>
      <c r="O45" s="181">
        <f>SUM(O36:O39)*0.094</f>
        <v>20469.45176412219</v>
      </c>
      <c r="P45" s="80">
        <f t="shared" si="17"/>
        <v>1.5152812462048337E-2</v>
      </c>
      <c r="Q45" s="181">
        <f>SUM(Q36:Q39)*0.094</f>
        <v>20878.840799404632</v>
      </c>
      <c r="R45" s="80">
        <f t="shared" si="18"/>
        <v>1.500569777795078E-2</v>
      </c>
      <c r="S45" s="181">
        <f>SUM(S36:S39)*0.094</f>
        <v>21296.417615392726</v>
      </c>
      <c r="T45" s="80">
        <f t="shared" si="19"/>
        <v>1.4860011391757084E-2</v>
      </c>
      <c r="U45" s="181">
        <f>SUM(U36:U39)*0.094</f>
        <v>21828.828055777543</v>
      </c>
      <c r="V45" s="80">
        <f t="shared" si="20"/>
        <v>1.4787875414127195E-2</v>
      </c>
    </row>
    <row r="46" spans="1:22" ht="12.75" customHeight="1">
      <c r="A46" s="1" t="s">
        <v>394</v>
      </c>
      <c r="B46" s="53"/>
      <c r="C46" s="82">
        <f>SUM(C36:C45)</f>
        <v>201956.54800000001</v>
      </c>
      <c r="D46" s="83">
        <f t="shared" si="11"/>
        <v>0.20294745926460536</v>
      </c>
      <c r="E46" s="82">
        <f>SUM(E36:E45)</f>
        <v>222237.90238400002</v>
      </c>
      <c r="F46" s="83">
        <f t="shared" si="12"/>
        <v>0.19255130494422423</v>
      </c>
      <c r="G46" s="82">
        <f>SUM(G36:G45)</f>
        <v>230016.22896743997</v>
      </c>
      <c r="H46" s="83">
        <f t="shared" si="13"/>
        <v>0.19162557751660775</v>
      </c>
      <c r="I46" s="82">
        <f>SUM(I36:I45)</f>
        <v>237376.74829439807</v>
      </c>
      <c r="J46" s="83">
        <f t="shared" si="14"/>
        <v>0.19015153461263387</v>
      </c>
      <c r="K46" s="82">
        <f>SUM(K36:K45)</f>
        <v>243311.167001758</v>
      </c>
      <c r="L46" s="83">
        <f t="shared" si="15"/>
        <v>0.19108364997838204</v>
      </c>
      <c r="M46" s="82">
        <f>SUM(M36:M45)</f>
        <v>249393.94617680192</v>
      </c>
      <c r="N46" s="83">
        <f t="shared" si="16"/>
        <v>0.19015605944450636</v>
      </c>
      <c r="O46" s="82">
        <f>SUM(O36:O45)</f>
        <v>255628.79483122198</v>
      </c>
      <c r="P46" s="83">
        <f t="shared" si="17"/>
        <v>0.1892329717773</v>
      </c>
      <c r="Q46" s="82">
        <f>SUM(Q36:Q45)</f>
        <v>260741.3707278464</v>
      </c>
      <c r="R46" s="83">
        <f t="shared" si="18"/>
        <v>0.18739575845907377</v>
      </c>
      <c r="S46" s="82">
        <f>SUM(S36:S45)</f>
        <v>265956.19814240333</v>
      </c>
      <c r="T46" s="83">
        <f t="shared" si="19"/>
        <v>0.18557638216335462</v>
      </c>
      <c r="U46" s="82">
        <f>SUM(U36:U45)</f>
        <v>272605.10309596342</v>
      </c>
      <c r="V46" s="83">
        <f t="shared" si="20"/>
        <v>0.18467552593926068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366</v>
      </c>
      <c r="E50" s="86" t="str">
        <f>E6</f>
        <v>FY 2019-20</v>
      </c>
      <c r="F50" s="86" t="s">
        <v>366</v>
      </c>
      <c r="G50" s="86" t="str">
        <f>G6</f>
        <v>FY 2020-21</v>
      </c>
      <c r="H50" s="86" t="s">
        <v>366</v>
      </c>
      <c r="I50" s="86" t="str">
        <f>I6</f>
        <v>FY 2021-22</v>
      </c>
      <c r="J50" s="86" t="s">
        <v>366</v>
      </c>
      <c r="K50" s="86" t="str">
        <f>K6</f>
        <v>FY 2022-23</v>
      </c>
      <c r="L50" s="86" t="s">
        <v>366</v>
      </c>
      <c r="M50" s="86" t="str">
        <f>M6</f>
        <v>FY 2023-24</v>
      </c>
      <c r="N50" s="86" t="s">
        <v>366</v>
      </c>
      <c r="O50" s="86" t="str">
        <f>O6</f>
        <v>FY 2024-25</v>
      </c>
      <c r="P50" s="86" t="s">
        <v>366</v>
      </c>
      <c r="Q50" s="86" t="str">
        <f>Q6</f>
        <v>FY 2025-26</v>
      </c>
      <c r="R50" s="86" t="s">
        <v>366</v>
      </c>
      <c r="S50" s="86" t="str">
        <f>S6</f>
        <v>FY 2026-27</v>
      </c>
      <c r="T50" s="86" t="s">
        <v>366</v>
      </c>
      <c r="U50" s="86" t="str">
        <f>U6</f>
        <v>FY 2027-28</v>
      </c>
      <c r="V50" s="86" t="s">
        <v>366</v>
      </c>
    </row>
    <row r="51" spans="1:24" ht="12.75" customHeight="1">
      <c r="A51" s="1" t="s">
        <v>395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396</v>
      </c>
      <c r="B52" s="35"/>
      <c r="C52" s="178">
        <v>0</v>
      </c>
      <c r="D52" s="80">
        <f t="shared" ref="D52:D104" si="22">IFERROR(C52/C$28,0)</f>
        <v>0</v>
      </c>
      <c r="E52" s="178">
        <v>0</v>
      </c>
      <c r="F52" s="80">
        <f t="shared" ref="F52:F104" si="23">IFERROR(E52/E$28,0)</f>
        <v>0</v>
      </c>
      <c r="G52" s="178">
        <v>0</v>
      </c>
      <c r="H52" s="80">
        <f t="shared" ref="H52:H104" si="24">IFERROR(G52/G$28,0)</f>
        <v>0</v>
      </c>
      <c r="I52" s="178">
        <v>0</v>
      </c>
      <c r="J52" s="80">
        <f t="shared" ref="J52:J104" si="25">IFERROR(I52/I$28,0)</f>
        <v>0</v>
      </c>
      <c r="K52" s="178">
        <v>0</v>
      </c>
      <c r="L52" s="80">
        <f t="shared" ref="L52:L104" si="26">IFERROR(K52/K$28,0)</f>
        <v>0</v>
      </c>
      <c r="M52" s="178">
        <v>0</v>
      </c>
      <c r="N52" s="80">
        <f t="shared" ref="N52:N104" si="27">IFERROR(M52/M$28,0)</f>
        <v>0</v>
      </c>
      <c r="O52" s="178">
        <v>0</v>
      </c>
      <c r="P52" s="80">
        <f t="shared" ref="P52:P104" si="28">IFERROR(O52/O$28,0)</f>
        <v>0</v>
      </c>
      <c r="Q52" s="178">
        <v>0</v>
      </c>
      <c r="R52" s="80">
        <f t="shared" ref="R52:R104" si="29">IFERROR(Q52/Q$28,0)</f>
        <v>0</v>
      </c>
      <c r="S52" s="178">
        <v>0</v>
      </c>
      <c r="T52" s="80">
        <f t="shared" ref="T52:T104" si="30">IFERROR(S52/S$28,0)</f>
        <v>0</v>
      </c>
      <c r="U52" s="178">
        <v>0</v>
      </c>
      <c r="V52" s="80">
        <f t="shared" ref="V52:V105" si="31">IFERROR(U52/U$28,0)</f>
        <v>0</v>
      </c>
      <c r="X52" s="192"/>
    </row>
    <row r="53" spans="1:24" ht="12.75" customHeight="1">
      <c r="A53" s="2" t="s">
        <v>397</v>
      </c>
      <c r="B53" s="35"/>
      <c r="C53" s="178">
        <v>0</v>
      </c>
      <c r="D53" s="80">
        <f t="shared" si="22"/>
        <v>0</v>
      </c>
      <c r="E53" s="178">
        <v>0</v>
      </c>
      <c r="F53" s="80">
        <f t="shared" si="23"/>
        <v>0</v>
      </c>
      <c r="G53" s="178">
        <v>0</v>
      </c>
      <c r="H53" s="80">
        <f t="shared" si="24"/>
        <v>0</v>
      </c>
      <c r="I53" s="178">
        <v>0</v>
      </c>
      <c r="J53" s="80">
        <f t="shared" si="25"/>
        <v>0</v>
      </c>
      <c r="K53" s="178">
        <v>0</v>
      </c>
      <c r="L53" s="80">
        <f t="shared" si="26"/>
        <v>0</v>
      </c>
      <c r="M53" s="178">
        <v>0</v>
      </c>
      <c r="N53" s="80">
        <f t="shared" si="27"/>
        <v>0</v>
      </c>
      <c r="O53" s="178">
        <v>0</v>
      </c>
      <c r="P53" s="80">
        <f t="shared" si="28"/>
        <v>0</v>
      </c>
      <c r="Q53" s="178">
        <v>0</v>
      </c>
      <c r="R53" s="80">
        <f t="shared" si="29"/>
        <v>0</v>
      </c>
      <c r="S53" s="178">
        <v>0</v>
      </c>
      <c r="T53" s="80">
        <f t="shared" si="30"/>
        <v>0</v>
      </c>
      <c r="U53" s="178">
        <v>0</v>
      </c>
      <c r="V53" s="80">
        <f t="shared" si="31"/>
        <v>0</v>
      </c>
      <c r="X53" s="192"/>
    </row>
    <row r="54" spans="1:24" ht="12.75" customHeight="1">
      <c r="A54" s="2" t="s">
        <v>398</v>
      </c>
      <c r="B54" s="35"/>
      <c r="C54" s="178">
        <v>696.58218000000011</v>
      </c>
      <c r="D54" s="80">
        <f t="shared" si="22"/>
        <v>7.000000000000001E-4</v>
      </c>
      <c r="E54" s="178">
        <v>807.9224999999999</v>
      </c>
      <c r="F54" s="80">
        <f t="shared" si="23"/>
        <v>6.9999999999999988E-4</v>
      </c>
      <c r="G54" s="178">
        <v>840.23940000000005</v>
      </c>
      <c r="H54" s="80">
        <f t="shared" si="24"/>
        <v>6.9999999999999999E-4</v>
      </c>
      <c r="I54" s="178">
        <v>873.84897599999999</v>
      </c>
      <c r="J54" s="80">
        <f t="shared" si="25"/>
        <v>6.9999999999999999E-4</v>
      </c>
      <c r="K54" s="178">
        <v>891.32595551999998</v>
      </c>
      <c r="L54" s="80">
        <f t="shared" si="26"/>
        <v>6.9999999999999999E-4</v>
      </c>
      <c r="M54" s="178">
        <v>918.06573418560004</v>
      </c>
      <c r="N54" s="80">
        <f t="shared" si="27"/>
        <v>6.9999999999999999E-4</v>
      </c>
      <c r="O54" s="178">
        <v>945.60770621116819</v>
      </c>
      <c r="P54" s="80">
        <f t="shared" si="28"/>
        <v>6.9999999999999999E-4</v>
      </c>
      <c r="Q54" s="178">
        <v>973.97593739750334</v>
      </c>
      <c r="R54" s="80">
        <f t="shared" si="29"/>
        <v>7.000000000000001E-4</v>
      </c>
      <c r="S54" s="178">
        <v>1003.1952155194283</v>
      </c>
      <c r="T54" s="80">
        <f t="shared" si="30"/>
        <v>6.9999999999999999E-4</v>
      </c>
      <c r="U54" s="178">
        <v>1033.2910719850113</v>
      </c>
      <c r="V54" s="80">
        <f t="shared" si="31"/>
        <v>7.000000000000001E-4</v>
      </c>
      <c r="X54" s="192"/>
    </row>
    <row r="55" spans="1:24" ht="12.75" customHeight="1">
      <c r="A55" s="2" t="s">
        <v>399</v>
      </c>
      <c r="B55" s="35"/>
      <c r="C55" s="178">
        <v>69658.218000000008</v>
      </c>
      <c r="D55" s="80">
        <f t="shared" si="22"/>
        <v>7.0000000000000007E-2</v>
      </c>
      <c r="E55" s="178">
        <v>80792.250000000015</v>
      </c>
      <c r="F55" s="80">
        <f t="shared" si="23"/>
        <v>7.0000000000000007E-2</v>
      </c>
      <c r="G55" s="178">
        <v>84023.94</v>
      </c>
      <c r="H55" s="80">
        <f t="shared" si="24"/>
        <v>7.0000000000000007E-2</v>
      </c>
      <c r="I55" s="178">
        <v>87384.897599999997</v>
      </c>
      <c r="J55" s="80">
        <f t="shared" si="25"/>
        <v>7.0000000000000007E-2</v>
      </c>
      <c r="K55" s="178">
        <v>89132.595552000013</v>
      </c>
      <c r="L55" s="80">
        <f t="shared" si="26"/>
        <v>7.0000000000000007E-2</v>
      </c>
      <c r="M55" s="178">
        <v>91806.573418560016</v>
      </c>
      <c r="N55" s="80">
        <f t="shared" si="27"/>
        <v>7.0000000000000007E-2</v>
      </c>
      <c r="O55" s="178">
        <v>94560.770621116826</v>
      </c>
      <c r="P55" s="80">
        <f t="shared" si="28"/>
        <v>7.0000000000000007E-2</v>
      </c>
      <c r="Q55" s="178">
        <v>97397.593739750329</v>
      </c>
      <c r="R55" s="80">
        <f t="shared" si="29"/>
        <v>7.0000000000000007E-2</v>
      </c>
      <c r="S55" s="178">
        <v>100319.52155194285</v>
      </c>
      <c r="T55" s="80">
        <f t="shared" si="30"/>
        <v>7.0000000000000007E-2</v>
      </c>
      <c r="U55" s="178">
        <v>103329.10719850112</v>
      </c>
      <c r="V55" s="80">
        <f t="shared" si="31"/>
        <v>7.0000000000000007E-2</v>
      </c>
      <c r="X55" s="192"/>
    </row>
    <row r="56" spans="1:24" ht="12.75" customHeight="1">
      <c r="A56" s="2" t="s">
        <v>400</v>
      </c>
      <c r="B56" s="35"/>
      <c r="C56" s="178">
        <v>507.50987400000002</v>
      </c>
      <c r="D56" s="80">
        <f t="shared" si="22"/>
        <v>5.1000000000000004E-4</v>
      </c>
      <c r="E56" s="178">
        <v>588.62924999999996</v>
      </c>
      <c r="F56" s="80">
        <f t="shared" si="23"/>
        <v>5.0999999999999993E-4</v>
      </c>
      <c r="G56" s="178">
        <v>612.17442000000005</v>
      </c>
      <c r="H56" s="80">
        <f t="shared" si="24"/>
        <v>5.1000000000000004E-4</v>
      </c>
      <c r="I56" s="178">
        <v>636.66139680000003</v>
      </c>
      <c r="J56" s="80">
        <f t="shared" si="25"/>
        <v>5.1000000000000004E-4</v>
      </c>
      <c r="K56" s="178">
        <v>649.39462473599997</v>
      </c>
      <c r="L56" s="80">
        <f t="shared" si="26"/>
        <v>5.1000000000000004E-4</v>
      </c>
      <c r="M56" s="178">
        <v>668.87646347808004</v>
      </c>
      <c r="N56" s="80">
        <f t="shared" si="27"/>
        <v>5.1000000000000004E-4</v>
      </c>
      <c r="O56" s="178">
        <v>688.94275738242254</v>
      </c>
      <c r="P56" s="80">
        <f t="shared" si="28"/>
        <v>5.1000000000000004E-4</v>
      </c>
      <c r="Q56" s="178">
        <v>709.61104010389533</v>
      </c>
      <c r="R56" s="80">
        <f t="shared" si="29"/>
        <v>5.1000000000000015E-4</v>
      </c>
      <c r="S56" s="178">
        <v>730.89937130701207</v>
      </c>
      <c r="T56" s="80">
        <f t="shared" si="30"/>
        <v>5.1000000000000004E-4</v>
      </c>
      <c r="U56" s="178">
        <v>752.82635244622247</v>
      </c>
      <c r="V56" s="80">
        <f t="shared" si="31"/>
        <v>5.1000000000000004E-4</v>
      </c>
      <c r="X56" s="192"/>
    </row>
    <row r="57" spans="1:24" ht="12.75" customHeight="1">
      <c r="A57" s="2" t="s">
        <v>401</v>
      </c>
      <c r="B57" s="35"/>
      <c r="C57" s="178">
        <v>0</v>
      </c>
      <c r="D57" s="80">
        <f t="shared" si="22"/>
        <v>0</v>
      </c>
      <c r="E57" s="178">
        <v>0</v>
      </c>
      <c r="F57" s="80">
        <f t="shared" si="23"/>
        <v>0</v>
      </c>
      <c r="G57" s="178">
        <v>0</v>
      </c>
      <c r="H57" s="80">
        <f t="shared" si="24"/>
        <v>0</v>
      </c>
      <c r="I57" s="178">
        <v>0</v>
      </c>
      <c r="J57" s="80">
        <f t="shared" si="25"/>
        <v>0</v>
      </c>
      <c r="K57" s="178">
        <v>0</v>
      </c>
      <c r="L57" s="80">
        <f t="shared" si="26"/>
        <v>0</v>
      </c>
      <c r="M57" s="178">
        <v>0</v>
      </c>
      <c r="N57" s="80">
        <f t="shared" si="27"/>
        <v>0</v>
      </c>
      <c r="O57" s="178">
        <v>0</v>
      </c>
      <c r="P57" s="80">
        <f t="shared" si="28"/>
        <v>0</v>
      </c>
      <c r="Q57" s="178">
        <v>0</v>
      </c>
      <c r="R57" s="80">
        <f t="shared" si="29"/>
        <v>0</v>
      </c>
      <c r="S57" s="178">
        <v>0</v>
      </c>
      <c r="T57" s="80">
        <f t="shared" si="30"/>
        <v>0</v>
      </c>
      <c r="U57" s="178">
        <v>0</v>
      </c>
      <c r="V57" s="80">
        <f t="shared" si="31"/>
        <v>0</v>
      </c>
      <c r="X57" s="192"/>
    </row>
    <row r="58" spans="1:24" ht="12.75" customHeight="1">
      <c r="A58" s="2" t="s">
        <v>402</v>
      </c>
      <c r="B58" s="35"/>
      <c r="C58" s="178">
        <v>0</v>
      </c>
      <c r="D58" s="80">
        <f t="shared" si="22"/>
        <v>0</v>
      </c>
      <c r="E58" s="178">
        <v>0</v>
      </c>
      <c r="F58" s="80">
        <f t="shared" si="23"/>
        <v>0</v>
      </c>
      <c r="G58" s="178">
        <v>0</v>
      </c>
      <c r="H58" s="80">
        <f t="shared" si="24"/>
        <v>0</v>
      </c>
      <c r="I58" s="178">
        <v>0</v>
      </c>
      <c r="J58" s="80">
        <f t="shared" si="25"/>
        <v>0</v>
      </c>
      <c r="K58" s="178">
        <v>0</v>
      </c>
      <c r="L58" s="80">
        <f t="shared" si="26"/>
        <v>0</v>
      </c>
      <c r="M58" s="178">
        <v>0</v>
      </c>
      <c r="N58" s="80">
        <f t="shared" si="27"/>
        <v>0</v>
      </c>
      <c r="O58" s="178">
        <v>0</v>
      </c>
      <c r="P58" s="80">
        <f t="shared" si="28"/>
        <v>0</v>
      </c>
      <c r="Q58" s="178">
        <v>0</v>
      </c>
      <c r="R58" s="80">
        <f t="shared" si="29"/>
        <v>0</v>
      </c>
      <c r="S58" s="178">
        <v>0</v>
      </c>
      <c r="T58" s="80">
        <f t="shared" si="30"/>
        <v>0</v>
      </c>
      <c r="U58" s="178">
        <v>0</v>
      </c>
      <c r="V58" s="80">
        <f t="shared" si="31"/>
        <v>0</v>
      </c>
      <c r="X58" s="192"/>
    </row>
    <row r="59" spans="1:24" ht="12.75" customHeight="1">
      <c r="A59" s="2" t="s">
        <v>403</v>
      </c>
      <c r="B59" s="35"/>
      <c r="C59" s="178"/>
      <c r="D59" s="80">
        <f t="shared" si="22"/>
        <v>0</v>
      </c>
      <c r="E59" s="178"/>
      <c r="F59" s="80">
        <f t="shared" si="23"/>
        <v>0</v>
      </c>
      <c r="G59" s="178"/>
      <c r="H59" s="80">
        <f t="shared" si="24"/>
        <v>0</v>
      </c>
      <c r="I59" s="178"/>
      <c r="J59" s="80">
        <f t="shared" si="25"/>
        <v>0</v>
      </c>
      <c r="K59" s="178"/>
      <c r="L59" s="80">
        <f t="shared" si="26"/>
        <v>0</v>
      </c>
      <c r="M59" s="178"/>
      <c r="N59" s="80">
        <f t="shared" si="27"/>
        <v>0</v>
      </c>
      <c r="O59" s="178"/>
      <c r="P59" s="80">
        <f t="shared" si="28"/>
        <v>0</v>
      </c>
      <c r="Q59" s="178"/>
      <c r="R59" s="80">
        <f t="shared" si="29"/>
        <v>0</v>
      </c>
      <c r="S59" s="178"/>
      <c r="T59" s="80">
        <f t="shared" si="30"/>
        <v>0</v>
      </c>
      <c r="U59" s="178"/>
      <c r="V59" s="80">
        <f t="shared" si="31"/>
        <v>0</v>
      </c>
      <c r="X59" s="192"/>
    </row>
    <row r="60" spans="1:24" ht="12.75" customHeight="1">
      <c r="A60" s="2" t="s">
        <v>404</v>
      </c>
      <c r="B60" s="35"/>
      <c r="C60" s="178">
        <v>0</v>
      </c>
      <c r="D60" s="80">
        <f t="shared" si="22"/>
        <v>0</v>
      </c>
      <c r="E60" s="178">
        <v>0</v>
      </c>
      <c r="F60" s="80">
        <f t="shared" si="23"/>
        <v>0</v>
      </c>
      <c r="G60" s="178">
        <v>0</v>
      </c>
      <c r="H60" s="80">
        <f t="shared" si="24"/>
        <v>0</v>
      </c>
      <c r="I60" s="178">
        <v>0</v>
      </c>
      <c r="J60" s="80">
        <f t="shared" si="25"/>
        <v>0</v>
      </c>
      <c r="K60" s="178">
        <v>0</v>
      </c>
      <c r="L60" s="80">
        <f t="shared" si="26"/>
        <v>0</v>
      </c>
      <c r="M60" s="178">
        <v>0</v>
      </c>
      <c r="N60" s="80">
        <f t="shared" si="27"/>
        <v>0</v>
      </c>
      <c r="O60" s="178">
        <v>0</v>
      </c>
      <c r="P60" s="80">
        <f t="shared" si="28"/>
        <v>0</v>
      </c>
      <c r="Q60" s="178">
        <v>0</v>
      </c>
      <c r="R60" s="80">
        <f t="shared" si="29"/>
        <v>0</v>
      </c>
      <c r="S60" s="178">
        <v>0</v>
      </c>
      <c r="T60" s="80">
        <f t="shared" si="30"/>
        <v>0</v>
      </c>
      <c r="U60" s="178">
        <v>0</v>
      </c>
      <c r="V60" s="80">
        <f t="shared" si="31"/>
        <v>0</v>
      </c>
      <c r="X60" s="192"/>
    </row>
    <row r="61" spans="1:24" ht="12.75" customHeight="1">
      <c r="A61" s="2" t="s">
        <v>405</v>
      </c>
      <c r="B61" s="35"/>
      <c r="C61" s="178">
        <v>0</v>
      </c>
      <c r="D61" s="80">
        <f t="shared" si="22"/>
        <v>0</v>
      </c>
      <c r="E61" s="178">
        <v>0</v>
      </c>
      <c r="F61" s="80">
        <f t="shared" si="23"/>
        <v>0</v>
      </c>
      <c r="G61" s="178">
        <v>0</v>
      </c>
      <c r="H61" s="80">
        <f t="shared" si="24"/>
        <v>0</v>
      </c>
      <c r="I61" s="178">
        <v>0</v>
      </c>
      <c r="J61" s="80">
        <f t="shared" si="25"/>
        <v>0</v>
      </c>
      <c r="K61" s="178">
        <v>0</v>
      </c>
      <c r="L61" s="80">
        <f t="shared" si="26"/>
        <v>0</v>
      </c>
      <c r="M61" s="178">
        <v>0</v>
      </c>
      <c r="N61" s="80">
        <f t="shared" si="27"/>
        <v>0</v>
      </c>
      <c r="O61" s="178">
        <v>0</v>
      </c>
      <c r="P61" s="80">
        <f t="shared" si="28"/>
        <v>0</v>
      </c>
      <c r="Q61" s="178">
        <v>0</v>
      </c>
      <c r="R61" s="80">
        <f t="shared" si="29"/>
        <v>0</v>
      </c>
      <c r="S61" s="178">
        <v>0</v>
      </c>
      <c r="T61" s="80">
        <f t="shared" si="30"/>
        <v>0</v>
      </c>
      <c r="U61" s="178">
        <v>0</v>
      </c>
      <c r="V61" s="80">
        <f t="shared" si="31"/>
        <v>0</v>
      </c>
      <c r="X61" s="192"/>
    </row>
    <row r="62" spans="1:24" ht="12.75" customHeight="1">
      <c r="A62" s="2" t="s">
        <v>406</v>
      </c>
      <c r="B62" s="35"/>
      <c r="C62" s="178">
        <v>0</v>
      </c>
      <c r="D62" s="80">
        <f t="shared" si="22"/>
        <v>0</v>
      </c>
      <c r="E62" s="178">
        <v>0</v>
      </c>
      <c r="F62" s="80">
        <f t="shared" si="23"/>
        <v>0</v>
      </c>
      <c r="G62" s="178">
        <v>0</v>
      </c>
      <c r="H62" s="80">
        <f t="shared" si="24"/>
        <v>0</v>
      </c>
      <c r="I62" s="178">
        <v>0</v>
      </c>
      <c r="J62" s="80">
        <f t="shared" si="25"/>
        <v>0</v>
      </c>
      <c r="K62" s="178">
        <v>0</v>
      </c>
      <c r="L62" s="80">
        <f t="shared" si="26"/>
        <v>0</v>
      </c>
      <c r="M62" s="178">
        <v>0</v>
      </c>
      <c r="N62" s="80">
        <f t="shared" si="27"/>
        <v>0</v>
      </c>
      <c r="O62" s="178">
        <v>0</v>
      </c>
      <c r="P62" s="80">
        <f t="shared" si="28"/>
        <v>0</v>
      </c>
      <c r="Q62" s="178">
        <v>0</v>
      </c>
      <c r="R62" s="80">
        <f t="shared" si="29"/>
        <v>0</v>
      </c>
      <c r="S62" s="178">
        <v>0</v>
      </c>
      <c r="T62" s="80">
        <f t="shared" si="30"/>
        <v>0</v>
      </c>
      <c r="U62" s="178">
        <v>0</v>
      </c>
      <c r="V62" s="80">
        <f t="shared" si="31"/>
        <v>0</v>
      </c>
      <c r="X62" s="192"/>
    </row>
    <row r="63" spans="1:24" ht="12.75" customHeight="1">
      <c r="A63" s="2" t="s">
        <v>407</v>
      </c>
      <c r="B63" s="35"/>
      <c r="C63" s="178">
        <v>12106.279695225974</v>
      </c>
      <c r="D63" s="80">
        <f t="shared" si="22"/>
        <v>1.2165679843630484E-2</v>
      </c>
      <c r="E63" s="178">
        <v>14248.626272885218</v>
      </c>
      <c r="F63" s="80">
        <f t="shared" si="23"/>
        <v>1.2345291028557383E-2</v>
      </c>
      <c r="G63" s="178">
        <v>14661.716911869667</v>
      </c>
      <c r="H63" s="80">
        <f t="shared" si="24"/>
        <v>1.2214616260923693E-2</v>
      </c>
      <c r="I63" s="178">
        <v>15287.339489137403</v>
      </c>
      <c r="J63" s="80">
        <f t="shared" si="25"/>
        <v>1.2245980640018719E-2</v>
      </c>
      <c r="K63" s="178">
        <v>15545.028958291063</v>
      </c>
      <c r="L63" s="80">
        <f t="shared" si="26"/>
        <v>1.2208238976341107E-2</v>
      </c>
      <c r="M63" s="178">
        <v>16038.373419900292</v>
      </c>
      <c r="N63" s="80">
        <f t="shared" si="27"/>
        <v>1.2228820852233806E-2</v>
      </c>
      <c r="O63" s="178">
        <v>16553.58140484391</v>
      </c>
      <c r="P63" s="80">
        <f t="shared" si="28"/>
        <v>1.2254031885822084E-2</v>
      </c>
      <c r="Q63" s="178">
        <v>17100.262252161931</v>
      </c>
      <c r="R63" s="80">
        <f t="shared" si="29"/>
        <v>1.2290019821740246E-2</v>
      </c>
      <c r="S63" s="178">
        <v>17663.586102052777</v>
      </c>
      <c r="T63" s="80">
        <f t="shared" si="30"/>
        <v>1.2325128828525087E-2</v>
      </c>
      <c r="U63" s="178">
        <v>18248.87355943189</v>
      </c>
      <c r="V63" s="80">
        <f t="shared" si="31"/>
        <v>1.2362645761626812E-2</v>
      </c>
      <c r="X63" s="192"/>
    </row>
    <row r="64" spans="1:24" ht="12.75" customHeight="1">
      <c r="A64" s="2" t="s">
        <v>408</v>
      </c>
      <c r="B64" s="35"/>
      <c r="C64" s="178">
        <v>4776.5635199999997</v>
      </c>
      <c r="D64" s="80">
        <f t="shared" si="22"/>
        <v>4.7999999999999996E-3</v>
      </c>
      <c r="E64" s="178">
        <v>5540.0399999999991</v>
      </c>
      <c r="F64" s="80">
        <f t="shared" si="23"/>
        <v>4.7999999999999996E-3</v>
      </c>
      <c r="G64" s="178">
        <v>5761.6415999999999</v>
      </c>
      <c r="H64" s="80">
        <f t="shared" si="24"/>
        <v>4.7999999999999996E-3</v>
      </c>
      <c r="I64" s="178">
        <v>5992.1072639999984</v>
      </c>
      <c r="J64" s="80">
        <f t="shared" si="25"/>
        <v>4.7999999999999987E-3</v>
      </c>
      <c r="K64" s="178">
        <v>6111.9494092799996</v>
      </c>
      <c r="L64" s="80">
        <f t="shared" si="26"/>
        <v>4.7999999999999996E-3</v>
      </c>
      <c r="M64" s="178">
        <v>6295.3078915583992</v>
      </c>
      <c r="N64" s="80">
        <f t="shared" si="27"/>
        <v>4.7999999999999996E-3</v>
      </c>
      <c r="O64" s="178">
        <v>6484.1671283051528</v>
      </c>
      <c r="P64" s="80">
        <f t="shared" si="28"/>
        <v>4.7999999999999996E-3</v>
      </c>
      <c r="Q64" s="178">
        <v>6678.6921421543066</v>
      </c>
      <c r="R64" s="80">
        <f t="shared" si="29"/>
        <v>4.7999999999999996E-3</v>
      </c>
      <c r="S64" s="178">
        <v>6879.0529064189368</v>
      </c>
      <c r="T64" s="80">
        <f t="shared" si="30"/>
        <v>4.7999999999999996E-3</v>
      </c>
      <c r="U64" s="178">
        <v>7085.4244936115047</v>
      </c>
      <c r="V64" s="80">
        <f t="shared" si="31"/>
        <v>4.7999999999999996E-3</v>
      </c>
      <c r="X64" s="192"/>
    </row>
    <row r="65" spans="1:24" ht="12.75" customHeight="1">
      <c r="A65" s="2" t="s">
        <v>409</v>
      </c>
      <c r="B65" s="35"/>
      <c r="C65" s="178">
        <v>497.55870000000004</v>
      </c>
      <c r="D65" s="80">
        <f t="shared" si="22"/>
        <v>5.0000000000000001E-4</v>
      </c>
      <c r="E65" s="178">
        <v>577.08749999999998</v>
      </c>
      <c r="F65" s="80">
        <f t="shared" si="23"/>
        <v>5.0000000000000001E-4</v>
      </c>
      <c r="G65" s="178">
        <v>600.17100000000005</v>
      </c>
      <c r="H65" s="80">
        <f t="shared" si="24"/>
        <v>5.0000000000000001E-4</v>
      </c>
      <c r="I65" s="178">
        <v>624.17783999999995</v>
      </c>
      <c r="J65" s="80">
        <f t="shared" si="25"/>
        <v>5.0000000000000001E-4</v>
      </c>
      <c r="K65" s="178">
        <v>636.66139679999992</v>
      </c>
      <c r="L65" s="80">
        <f t="shared" si="26"/>
        <v>4.999999999999999E-4</v>
      </c>
      <c r="M65" s="178">
        <v>655.76123870399999</v>
      </c>
      <c r="N65" s="80">
        <f t="shared" si="27"/>
        <v>5.0000000000000001E-4</v>
      </c>
      <c r="O65" s="178">
        <v>675.43407586512012</v>
      </c>
      <c r="P65" s="80">
        <f t="shared" si="28"/>
        <v>5.0000000000000001E-4</v>
      </c>
      <c r="Q65" s="178">
        <v>695.69709814107375</v>
      </c>
      <c r="R65" s="80">
        <f t="shared" si="29"/>
        <v>5.0000000000000001E-4</v>
      </c>
      <c r="S65" s="178">
        <v>716.5680110853059</v>
      </c>
      <c r="T65" s="80">
        <f t="shared" si="30"/>
        <v>5.0000000000000001E-4</v>
      </c>
      <c r="U65" s="178">
        <v>738.06505141786511</v>
      </c>
      <c r="V65" s="80">
        <f t="shared" si="31"/>
        <v>5.0000000000000001E-4</v>
      </c>
      <c r="X65" s="192"/>
    </row>
    <row r="66" spans="1:24" ht="12.75" customHeight="1">
      <c r="A66" s="2" t="s">
        <v>410</v>
      </c>
      <c r="B66" s="35"/>
      <c r="C66" s="178">
        <v>2786.3287200000004</v>
      </c>
      <c r="D66" s="80">
        <f t="shared" si="22"/>
        <v>2.8000000000000004E-3</v>
      </c>
      <c r="E66" s="178">
        <v>3231.6899999999996</v>
      </c>
      <c r="F66" s="80">
        <f t="shared" si="23"/>
        <v>2.7999999999999995E-3</v>
      </c>
      <c r="G66" s="178">
        <v>3360.9576000000002</v>
      </c>
      <c r="H66" s="80">
        <f t="shared" si="24"/>
        <v>2.8E-3</v>
      </c>
      <c r="I66" s="178">
        <v>3495.395904</v>
      </c>
      <c r="J66" s="80">
        <f t="shared" si="25"/>
        <v>2.8E-3</v>
      </c>
      <c r="K66" s="178">
        <v>3565.3038220799999</v>
      </c>
      <c r="L66" s="80">
        <f t="shared" si="26"/>
        <v>2.8E-3</v>
      </c>
      <c r="M66" s="178">
        <v>3672.2629367424001</v>
      </c>
      <c r="N66" s="80">
        <f t="shared" si="27"/>
        <v>2.8E-3</v>
      </c>
      <c r="O66" s="178">
        <v>3782.4308248446728</v>
      </c>
      <c r="P66" s="80">
        <f t="shared" si="28"/>
        <v>2.8E-3</v>
      </c>
      <c r="Q66" s="178">
        <v>3895.9037495900134</v>
      </c>
      <c r="R66" s="80">
        <f t="shared" si="29"/>
        <v>2.8000000000000004E-3</v>
      </c>
      <c r="S66" s="178">
        <v>4012.7808620777132</v>
      </c>
      <c r="T66" s="80">
        <f t="shared" si="30"/>
        <v>2.8E-3</v>
      </c>
      <c r="U66" s="178">
        <v>4133.1642879400451</v>
      </c>
      <c r="V66" s="80">
        <f t="shared" si="31"/>
        <v>2.8000000000000004E-3</v>
      </c>
      <c r="X66" s="192"/>
    </row>
    <row r="67" spans="1:24" ht="12.75" customHeight="1">
      <c r="A67" s="2" t="s">
        <v>411</v>
      </c>
      <c r="B67" s="35"/>
      <c r="C67" s="178">
        <v>14926.761</v>
      </c>
      <c r="D67" s="80">
        <f t="shared" si="22"/>
        <v>1.4999999999999999E-2</v>
      </c>
      <c r="E67" s="178">
        <v>17312.625</v>
      </c>
      <c r="F67" s="80">
        <f t="shared" si="23"/>
        <v>1.4999999999999999E-2</v>
      </c>
      <c r="G67" s="178">
        <v>18005.13</v>
      </c>
      <c r="H67" s="80">
        <f t="shared" si="24"/>
        <v>1.5000000000000001E-2</v>
      </c>
      <c r="I67" s="178">
        <v>18725.335199999998</v>
      </c>
      <c r="J67" s="80">
        <f t="shared" si="25"/>
        <v>1.4999999999999999E-2</v>
      </c>
      <c r="K67" s="178">
        <v>19099.841903999997</v>
      </c>
      <c r="L67" s="80">
        <f t="shared" si="26"/>
        <v>1.4999999999999998E-2</v>
      </c>
      <c r="M67" s="178">
        <v>19672.837161119998</v>
      </c>
      <c r="N67" s="80">
        <f t="shared" si="27"/>
        <v>1.4999999999999998E-2</v>
      </c>
      <c r="O67" s="178">
        <v>20263.022275953601</v>
      </c>
      <c r="P67" s="80">
        <f t="shared" si="28"/>
        <v>1.4999999999999998E-2</v>
      </c>
      <c r="Q67" s="178">
        <v>20870.912944232212</v>
      </c>
      <c r="R67" s="80">
        <f t="shared" si="29"/>
        <v>1.5000000000000001E-2</v>
      </c>
      <c r="S67" s="178">
        <v>21497.04033255918</v>
      </c>
      <c r="T67" s="80">
        <f t="shared" si="30"/>
        <v>1.5000000000000001E-2</v>
      </c>
      <c r="U67" s="178">
        <v>22141.951542535953</v>
      </c>
      <c r="V67" s="80">
        <f t="shared" si="31"/>
        <v>1.4999999999999999E-2</v>
      </c>
      <c r="X67" s="192"/>
    </row>
    <row r="68" spans="1:24" ht="12.75" customHeight="1">
      <c r="A68" s="2" t="s">
        <v>412</v>
      </c>
      <c r="B68" s="35"/>
      <c r="C68" s="178">
        <v>1691.69958</v>
      </c>
      <c r="D68" s="80">
        <f t="shared" si="22"/>
        <v>1.6999999999999999E-3</v>
      </c>
      <c r="E68" s="178">
        <v>1962.0974999999999</v>
      </c>
      <c r="F68" s="80">
        <f t="shared" si="23"/>
        <v>1.6999999999999999E-3</v>
      </c>
      <c r="G68" s="178">
        <v>2040.5814</v>
      </c>
      <c r="H68" s="80">
        <f t="shared" si="24"/>
        <v>1.7000000000000001E-3</v>
      </c>
      <c r="I68" s="178">
        <v>2122.2046559999994</v>
      </c>
      <c r="J68" s="80">
        <f t="shared" si="25"/>
        <v>1.6999999999999997E-3</v>
      </c>
      <c r="K68" s="178">
        <v>2164.6487491199996</v>
      </c>
      <c r="L68" s="80">
        <f t="shared" si="26"/>
        <v>1.6999999999999997E-3</v>
      </c>
      <c r="M68" s="178">
        <v>2229.5882115935997</v>
      </c>
      <c r="N68" s="80">
        <f t="shared" si="27"/>
        <v>1.6999999999999997E-3</v>
      </c>
      <c r="O68" s="178">
        <v>2296.4758579414083</v>
      </c>
      <c r="P68" s="80">
        <f t="shared" si="28"/>
        <v>1.6999999999999999E-3</v>
      </c>
      <c r="Q68" s="178">
        <v>2365.3701336796507</v>
      </c>
      <c r="R68" s="80">
        <f t="shared" si="29"/>
        <v>1.7000000000000001E-3</v>
      </c>
      <c r="S68" s="178">
        <v>2436.3312376900399</v>
      </c>
      <c r="T68" s="80">
        <f t="shared" si="30"/>
        <v>1.6999999999999997E-3</v>
      </c>
      <c r="U68" s="178">
        <v>2509.4211748207413</v>
      </c>
      <c r="V68" s="80">
        <f t="shared" si="31"/>
        <v>1.6999999999999999E-3</v>
      </c>
      <c r="X68" s="192"/>
    </row>
    <row r="69" spans="1:24" ht="12.75" customHeight="1">
      <c r="A69" s="2" t="s">
        <v>413</v>
      </c>
      <c r="B69" s="35"/>
      <c r="C69" s="178">
        <v>0</v>
      </c>
      <c r="D69" s="80">
        <f t="shared" si="22"/>
        <v>0</v>
      </c>
      <c r="E69" s="178">
        <v>0</v>
      </c>
      <c r="F69" s="80">
        <f t="shared" si="23"/>
        <v>0</v>
      </c>
      <c r="G69" s="178">
        <v>0</v>
      </c>
      <c r="H69" s="80">
        <f t="shared" si="24"/>
        <v>0</v>
      </c>
      <c r="I69" s="178">
        <v>0</v>
      </c>
      <c r="J69" s="80">
        <f t="shared" si="25"/>
        <v>0</v>
      </c>
      <c r="K69" s="178">
        <v>0</v>
      </c>
      <c r="L69" s="80">
        <f t="shared" si="26"/>
        <v>0</v>
      </c>
      <c r="M69" s="178">
        <v>0</v>
      </c>
      <c r="N69" s="80">
        <f t="shared" si="27"/>
        <v>0</v>
      </c>
      <c r="O69" s="178">
        <v>0</v>
      </c>
      <c r="P69" s="80">
        <f t="shared" si="28"/>
        <v>0</v>
      </c>
      <c r="Q69" s="178">
        <v>0</v>
      </c>
      <c r="R69" s="80">
        <f t="shared" si="29"/>
        <v>0</v>
      </c>
      <c r="S69" s="178">
        <v>0</v>
      </c>
      <c r="T69" s="80">
        <f t="shared" si="30"/>
        <v>0</v>
      </c>
      <c r="U69" s="178">
        <v>0</v>
      </c>
      <c r="V69" s="80">
        <f t="shared" si="31"/>
        <v>0</v>
      </c>
      <c r="X69" s="192"/>
    </row>
    <row r="70" spans="1:24" ht="12.75" customHeight="1">
      <c r="A70" s="2" t="s">
        <v>414</v>
      </c>
      <c r="B70" s="35"/>
      <c r="C70" s="178">
        <v>99.511740000000017</v>
      </c>
      <c r="D70" s="80">
        <f t="shared" si="22"/>
        <v>1.0000000000000002E-4</v>
      </c>
      <c r="E70" s="178">
        <v>115.41750000000002</v>
      </c>
      <c r="F70" s="80">
        <f t="shared" si="23"/>
        <v>1.0000000000000002E-4</v>
      </c>
      <c r="G70" s="178">
        <v>120.03420000000001</v>
      </c>
      <c r="H70" s="80">
        <f t="shared" si="24"/>
        <v>1E-4</v>
      </c>
      <c r="I70" s="178">
        <v>124.83556799999999</v>
      </c>
      <c r="J70" s="80">
        <f t="shared" si="25"/>
        <v>1E-4</v>
      </c>
      <c r="K70" s="178">
        <v>127.33227935999999</v>
      </c>
      <c r="L70" s="80">
        <f t="shared" si="26"/>
        <v>9.9999999999999991E-5</v>
      </c>
      <c r="M70" s="178">
        <v>131.15224774079999</v>
      </c>
      <c r="N70" s="80">
        <f t="shared" si="27"/>
        <v>9.9999999999999991E-5</v>
      </c>
      <c r="O70" s="178">
        <v>135.08681517302404</v>
      </c>
      <c r="P70" s="80">
        <f t="shared" si="28"/>
        <v>1E-4</v>
      </c>
      <c r="Q70" s="178">
        <v>139.13941962821477</v>
      </c>
      <c r="R70" s="80">
        <f t="shared" si="29"/>
        <v>1.0000000000000002E-4</v>
      </c>
      <c r="S70" s="178">
        <v>143.3136022170612</v>
      </c>
      <c r="T70" s="80">
        <f t="shared" si="30"/>
        <v>1E-4</v>
      </c>
      <c r="U70" s="178">
        <v>147.61301028357303</v>
      </c>
      <c r="V70" s="80">
        <f t="shared" si="31"/>
        <v>1E-4</v>
      </c>
      <c r="X70" s="192"/>
    </row>
    <row r="71" spans="1:24" ht="12.75" customHeight="1">
      <c r="A71" s="2" t="s">
        <v>415</v>
      </c>
      <c r="B71" s="35"/>
      <c r="C71" s="178">
        <v>0</v>
      </c>
      <c r="D71" s="80">
        <f t="shared" si="22"/>
        <v>0</v>
      </c>
      <c r="E71" s="178">
        <v>0</v>
      </c>
      <c r="F71" s="80">
        <f t="shared" si="23"/>
        <v>0</v>
      </c>
      <c r="G71" s="178">
        <v>0</v>
      </c>
      <c r="H71" s="80">
        <f t="shared" si="24"/>
        <v>0</v>
      </c>
      <c r="I71" s="178">
        <v>0</v>
      </c>
      <c r="J71" s="80">
        <f t="shared" si="25"/>
        <v>0</v>
      </c>
      <c r="K71" s="178">
        <v>0</v>
      </c>
      <c r="L71" s="80">
        <f t="shared" si="26"/>
        <v>0</v>
      </c>
      <c r="M71" s="178">
        <v>0</v>
      </c>
      <c r="N71" s="80">
        <f t="shared" si="27"/>
        <v>0</v>
      </c>
      <c r="O71" s="178">
        <v>0</v>
      </c>
      <c r="P71" s="80">
        <f t="shared" si="28"/>
        <v>0</v>
      </c>
      <c r="Q71" s="178">
        <v>0</v>
      </c>
      <c r="R71" s="80">
        <f t="shared" si="29"/>
        <v>0</v>
      </c>
      <c r="S71" s="178">
        <v>0</v>
      </c>
      <c r="T71" s="80">
        <f t="shared" si="30"/>
        <v>0</v>
      </c>
      <c r="U71" s="178">
        <v>0</v>
      </c>
      <c r="V71" s="80">
        <f t="shared" si="31"/>
        <v>0</v>
      </c>
      <c r="X71" s="192"/>
    </row>
    <row r="72" spans="1:24" ht="12.75" customHeight="1">
      <c r="A72" s="2" t="s">
        <v>416</v>
      </c>
      <c r="B72" s="35"/>
      <c r="C72" s="178">
        <v>0</v>
      </c>
      <c r="D72" s="80">
        <f t="shared" si="22"/>
        <v>0</v>
      </c>
      <c r="E72" s="178">
        <v>0</v>
      </c>
      <c r="F72" s="80">
        <f t="shared" si="23"/>
        <v>0</v>
      </c>
      <c r="G72" s="178">
        <v>0</v>
      </c>
      <c r="H72" s="80">
        <f t="shared" si="24"/>
        <v>0</v>
      </c>
      <c r="I72" s="178">
        <v>0</v>
      </c>
      <c r="J72" s="80">
        <f t="shared" si="25"/>
        <v>0</v>
      </c>
      <c r="K72" s="178">
        <v>0</v>
      </c>
      <c r="L72" s="80">
        <f t="shared" si="26"/>
        <v>0</v>
      </c>
      <c r="M72" s="178">
        <v>0</v>
      </c>
      <c r="N72" s="80">
        <f t="shared" si="27"/>
        <v>0</v>
      </c>
      <c r="O72" s="178">
        <v>0</v>
      </c>
      <c r="P72" s="80">
        <f t="shared" si="28"/>
        <v>0</v>
      </c>
      <c r="Q72" s="178">
        <v>0</v>
      </c>
      <c r="R72" s="80">
        <f t="shared" si="29"/>
        <v>0</v>
      </c>
      <c r="S72" s="178">
        <v>0</v>
      </c>
      <c r="T72" s="80">
        <f t="shared" si="30"/>
        <v>0</v>
      </c>
      <c r="U72" s="178">
        <v>0</v>
      </c>
      <c r="V72" s="80">
        <f t="shared" si="31"/>
        <v>0</v>
      </c>
      <c r="X72" s="192"/>
    </row>
    <row r="73" spans="1:24" ht="12.75" customHeight="1">
      <c r="A73" s="2" t="s">
        <v>417</v>
      </c>
      <c r="B73" s="35"/>
      <c r="C73" s="178">
        <v>0</v>
      </c>
      <c r="D73" s="80">
        <f t="shared" si="22"/>
        <v>0</v>
      </c>
      <c r="E73" s="178">
        <v>0</v>
      </c>
      <c r="F73" s="80">
        <f t="shared" si="23"/>
        <v>0</v>
      </c>
      <c r="G73" s="178">
        <v>0</v>
      </c>
      <c r="H73" s="80">
        <f t="shared" si="24"/>
        <v>0</v>
      </c>
      <c r="I73" s="178">
        <v>0</v>
      </c>
      <c r="J73" s="80">
        <f t="shared" si="25"/>
        <v>0</v>
      </c>
      <c r="K73" s="178">
        <v>0</v>
      </c>
      <c r="L73" s="80">
        <f t="shared" si="26"/>
        <v>0</v>
      </c>
      <c r="M73" s="178">
        <v>0</v>
      </c>
      <c r="N73" s="80">
        <f t="shared" si="27"/>
        <v>0</v>
      </c>
      <c r="O73" s="178">
        <v>0</v>
      </c>
      <c r="P73" s="80">
        <f t="shared" si="28"/>
        <v>0</v>
      </c>
      <c r="Q73" s="178">
        <v>0</v>
      </c>
      <c r="R73" s="80">
        <f t="shared" si="29"/>
        <v>0</v>
      </c>
      <c r="S73" s="178">
        <v>0</v>
      </c>
      <c r="T73" s="80">
        <f t="shared" si="30"/>
        <v>0</v>
      </c>
      <c r="U73" s="178">
        <v>0</v>
      </c>
      <c r="V73" s="80">
        <f t="shared" si="31"/>
        <v>0</v>
      </c>
      <c r="X73" s="192"/>
    </row>
    <row r="74" spans="1:24" ht="12.75" customHeight="1">
      <c r="A74" s="2" t="s">
        <v>418</v>
      </c>
      <c r="B74" s="35"/>
      <c r="C74" s="178">
        <v>0</v>
      </c>
      <c r="D74" s="80">
        <f t="shared" si="22"/>
        <v>0</v>
      </c>
      <c r="E74" s="178">
        <v>0</v>
      </c>
      <c r="F74" s="80">
        <f t="shared" si="23"/>
        <v>0</v>
      </c>
      <c r="G74" s="178">
        <v>0</v>
      </c>
      <c r="H74" s="80">
        <f t="shared" si="24"/>
        <v>0</v>
      </c>
      <c r="I74" s="178">
        <v>0</v>
      </c>
      <c r="J74" s="80">
        <f t="shared" si="25"/>
        <v>0</v>
      </c>
      <c r="K74" s="178">
        <v>0</v>
      </c>
      <c r="L74" s="80">
        <f t="shared" si="26"/>
        <v>0</v>
      </c>
      <c r="M74" s="178">
        <v>0</v>
      </c>
      <c r="N74" s="80">
        <f t="shared" si="27"/>
        <v>0</v>
      </c>
      <c r="O74" s="178">
        <v>0</v>
      </c>
      <c r="P74" s="80">
        <f t="shared" si="28"/>
        <v>0</v>
      </c>
      <c r="Q74" s="178">
        <v>0</v>
      </c>
      <c r="R74" s="80">
        <f t="shared" si="29"/>
        <v>0</v>
      </c>
      <c r="S74" s="178">
        <v>0</v>
      </c>
      <c r="T74" s="80">
        <f t="shared" si="30"/>
        <v>0</v>
      </c>
      <c r="U74" s="178">
        <v>0</v>
      </c>
      <c r="V74" s="80">
        <f t="shared" si="31"/>
        <v>0</v>
      </c>
      <c r="X74" s="192"/>
    </row>
    <row r="75" spans="1:24" ht="12.75" customHeight="1">
      <c r="A75" s="2" t="s">
        <v>419</v>
      </c>
      <c r="B75" s="35"/>
      <c r="C75" s="178">
        <v>4478.0282999999999</v>
      </c>
      <c r="D75" s="80">
        <f t="shared" si="22"/>
        <v>4.4999999999999997E-3</v>
      </c>
      <c r="E75" s="178">
        <v>5193.7874999999995</v>
      </c>
      <c r="F75" s="80">
        <f t="shared" si="23"/>
        <v>4.4999999999999997E-3</v>
      </c>
      <c r="G75" s="178">
        <v>5401.5389999999998</v>
      </c>
      <c r="H75" s="80">
        <f t="shared" si="24"/>
        <v>4.4999999999999997E-3</v>
      </c>
      <c r="I75" s="178">
        <v>5617.6005599999989</v>
      </c>
      <c r="J75" s="80">
        <f t="shared" si="25"/>
        <v>4.4999999999999997E-3</v>
      </c>
      <c r="K75" s="178">
        <v>5729.9525711999995</v>
      </c>
      <c r="L75" s="80">
        <f t="shared" si="26"/>
        <v>4.4999999999999997E-3</v>
      </c>
      <c r="M75" s="178">
        <v>5901.8511483359998</v>
      </c>
      <c r="N75" s="80">
        <f t="shared" si="27"/>
        <v>4.4999999999999997E-3</v>
      </c>
      <c r="O75" s="178">
        <v>6078.9066827860806</v>
      </c>
      <c r="P75" s="80">
        <f t="shared" si="28"/>
        <v>4.4999999999999997E-3</v>
      </c>
      <c r="Q75" s="178">
        <v>6261.2738832696641</v>
      </c>
      <c r="R75" s="80">
        <f t="shared" si="29"/>
        <v>4.5000000000000005E-3</v>
      </c>
      <c r="S75" s="178">
        <v>6449.1120997677535</v>
      </c>
      <c r="T75" s="80">
        <f t="shared" si="30"/>
        <v>4.4999999999999997E-3</v>
      </c>
      <c r="U75" s="178">
        <v>6642.585462760786</v>
      </c>
      <c r="V75" s="80">
        <f t="shared" si="31"/>
        <v>4.4999999999999997E-3</v>
      </c>
      <c r="X75" s="192"/>
    </row>
    <row r="76" spans="1:24" ht="12.75" customHeight="1">
      <c r="A76" s="2" t="s">
        <v>420</v>
      </c>
      <c r="B76" s="35"/>
      <c r="C76" s="178">
        <v>398.04696000000007</v>
      </c>
      <c r="D76" s="80">
        <f t="shared" si="22"/>
        <v>4.0000000000000007E-4</v>
      </c>
      <c r="E76" s="178">
        <v>461.67000000000007</v>
      </c>
      <c r="F76" s="80">
        <f t="shared" si="23"/>
        <v>4.0000000000000007E-4</v>
      </c>
      <c r="G76" s="178">
        <v>480.13680000000005</v>
      </c>
      <c r="H76" s="80">
        <f t="shared" si="24"/>
        <v>4.0000000000000002E-4</v>
      </c>
      <c r="I76" s="178">
        <v>499.34227199999998</v>
      </c>
      <c r="J76" s="80">
        <f t="shared" si="25"/>
        <v>4.0000000000000002E-4</v>
      </c>
      <c r="K76" s="178">
        <v>509.32911743999995</v>
      </c>
      <c r="L76" s="80">
        <f t="shared" si="26"/>
        <v>3.9999999999999996E-4</v>
      </c>
      <c r="M76" s="178">
        <v>524.60899096319997</v>
      </c>
      <c r="N76" s="80">
        <f t="shared" si="27"/>
        <v>3.9999999999999996E-4</v>
      </c>
      <c r="O76" s="178">
        <v>540.34726069209614</v>
      </c>
      <c r="P76" s="80">
        <f t="shared" si="28"/>
        <v>4.0000000000000002E-4</v>
      </c>
      <c r="Q76" s="178">
        <v>556.55767851285907</v>
      </c>
      <c r="R76" s="80">
        <f t="shared" si="29"/>
        <v>4.0000000000000007E-4</v>
      </c>
      <c r="S76" s="178">
        <v>573.25440886824481</v>
      </c>
      <c r="T76" s="80">
        <f t="shared" si="30"/>
        <v>4.0000000000000002E-4</v>
      </c>
      <c r="U76" s="178">
        <v>590.45204113429213</v>
      </c>
      <c r="V76" s="80">
        <f t="shared" si="31"/>
        <v>4.0000000000000002E-4</v>
      </c>
      <c r="X76" s="192"/>
    </row>
    <row r="77" spans="1:24" ht="12.75" customHeight="1">
      <c r="A77" s="2" t="s">
        <v>421</v>
      </c>
      <c r="B77" s="35"/>
      <c r="C77" s="178">
        <v>1293.6526200000001</v>
      </c>
      <c r="D77" s="80">
        <f t="shared" si="22"/>
        <v>1.2999999999999999E-3</v>
      </c>
      <c r="E77" s="178">
        <v>1500.4275</v>
      </c>
      <c r="F77" s="80">
        <f t="shared" si="23"/>
        <v>1.2999999999999999E-3</v>
      </c>
      <c r="G77" s="178">
        <v>1560.4446</v>
      </c>
      <c r="H77" s="80">
        <f t="shared" si="24"/>
        <v>1.2999999999999999E-3</v>
      </c>
      <c r="I77" s="178">
        <v>1622.862384</v>
      </c>
      <c r="J77" s="80">
        <f t="shared" si="25"/>
        <v>1.3000000000000002E-3</v>
      </c>
      <c r="K77" s="178">
        <v>1655.3196316799997</v>
      </c>
      <c r="L77" s="80">
        <f t="shared" si="26"/>
        <v>1.2999999999999997E-3</v>
      </c>
      <c r="M77" s="178">
        <v>1704.9792206304001</v>
      </c>
      <c r="N77" s="80">
        <f t="shared" si="27"/>
        <v>1.2999999999999999E-3</v>
      </c>
      <c r="O77" s="178">
        <v>1756.1285972493122</v>
      </c>
      <c r="P77" s="80">
        <f t="shared" si="28"/>
        <v>1.2999999999999997E-3</v>
      </c>
      <c r="Q77" s="178">
        <v>1808.8124551667916</v>
      </c>
      <c r="R77" s="80">
        <f t="shared" si="29"/>
        <v>1.2999999999999999E-3</v>
      </c>
      <c r="S77" s="178">
        <v>1863.0768288217955</v>
      </c>
      <c r="T77" s="80">
        <f t="shared" si="30"/>
        <v>1.2999999999999999E-3</v>
      </c>
      <c r="U77" s="178">
        <v>1918.9691336864494</v>
      </c>
      <c r="V77" s="80">
        <f t="shared" si="31"/>
        <v>1.3000000000000002E-3</v>
      </c>
      <c r="X77" s="192"/>
    </row>
    <row r="78" spans="1:24" ht="12.75" customHeight="1">
      <c r="A78" s="2" t="s">
        <v>422</v>
      </c>
      <c r="B78" s="35"/>
      <c r="C78" s="178">
        <v>21892.5828</v>
      </c>
      <c r="D78" s="80">
        <f t="shared" si="22"/>
        <v>2.1999999999999999E-2</v>
      </c>
      <c r="E78" s="178">
        <v>25391.85</v>
      </c>
      <c r="F78" s="80">
        <f t="shared" si="23"/>
        <v>2.1999999999999999E-2</v>
      </c>
      <c r="G78" s="178">
        <v>26407.523999999998</v>
      </c>
      <c r="H78" s="80">
        <f t="shared" si="24"/>
        <v>2.1999999999999999E-2</v>
      </c>
      <c r="I78" s="178">
        <v>27463.824959999994</v>
      </c>
      <c r="J78" s="80">
        <f t="shared" si="25"/>
        <v>2.1999999999999995E-2</v>
      </c>
      <c r="K78" s="178">
        <v>28013.101459199999</v>
      </c>
      <c r="L78" s="80">
        <f t="shared" si="26"/>
        <v>2.1999999999999999E-2</v>
      </c>
      <c r="M78" s="178">
        <v>28853.494502975998</v>
      </c>
      <c r="N78" s="80">
        <f t="shared" si="27"/>
        <v>2.1999999999999999E-2</v>
      </c>
      <c r="O78" s="178">
        <v>29719.099338065284</v>
      </c>
      <c r="P78" s="80">
        <f t="shared" si="28"/>
        <v>2.1999999999999999E-2</v>
      </c>
      <c r="Q78" s="178">
        <v>30610.672318207242</v>
      </c>
      <c r="R78" s="80">
        <f t="shared" si="29"/>
        <v>2.1999999999999999E-2</v>
      </c>
      <c r="S78" s="178">
        <v>31528.992487753461</v>
      </c>
      <c r="T78" s="80">
        <f t="shared" si="30"/>
        <v>2.1999999999999999E-2</v>
      </c>
      <c r="U78" s="178">
        <v>32474.862262386065</v>
      </c>
      <c r="V78" s="80">
        <f t="shared" si="31"/>
        <v>2.1999999999999999E-2</v>
      </c>
      <c r="X78" s="192"/>
    </row>
    <row r="79" spans="1:24" ht="12.75" customHeight="1">
      <c r="A79" s="2" t="s">
        <v>423</v>
      </c>
      <c r="B79" s="35"/>
      <c r="C79" s="178">
        <v>0</v>
      </c>
      <c r="D79" s="80">
        <f t="shared" si="22"/>
        <v>0</v>
      </c>
      <c r="E79" s="178">
        <v>0</v>
      </c>
      <c r="F79" s="80">
        <f t="shared" si="23"/>
        <v>0</v>
      </c>
      <c r="G79" s="178">
        <v>0</v>
      </c>
      <c r="H79" s="80">
        <f t="shared" si="24"/>
        <v>0</v>
      </c>
      <c r="I79" s="178">
        <v>0</v>
      </c>
      <c r="J79" s="80">
        <f t="shared" si="25"/>
        <v>0</v>
      </c>
      <c r="K79" s="178">
        <v>0</v>
      </c>
      <c r="L79" s="80">
        <f t="shared" si="26"/>
        <v>0</v>
      </c>
      <c r="M79" s="178">
        <v>0</v>
      </c>
      <c r="N79" s="80">
        <f t="shared" si="27"/>
        <v>0</v>
      </c>
      <c r="O79" s="178">
        <v>0</v>
      </c>
      <c r="P79" s="80">
        <f t="shared" si="28"/>
        <v>0</v>
      </c>
      <c r="Q79" s="178">
        <v>0</v>
      </c>
      <c r="R79" s="80">
        <f t="shared" si="29"/>
        <v>0</v>
      </c>
      <c r="S79" s="178">
        <v>0</v>
      </c>
      <c r="T79" s="80">
        <f t="shared" si="30"/>
        <v>0</v>
      </c>
      <c r="U79" s="178">
        <v>0</v>
      </c>
      <c r="V79" s="80">
        <f t="shared" si="31"/>
        <v>0</v>
      </c>
      <c r="X79" s="192"/>
    </row>
    <row r="80" spans="1:24" ht="12.75" customHeight="1">
      <c r="A80" s="2" t="s">
        <v>424</v>
      </c>
      <c r="B80" s="35"/>
      <c r="C80" s="178">
        <v>0</v>
      </c>
      <c r="D80" s="80">
        <f t="shared" si="22"/>
        <v>0</v>
      </c>
      <c r="E80" s="178">
        <v>0</v>
      </c>
      <c r="F80" s="80">
        <f t="shared" si="23"/>
        <v>0</v>
      </c>
      <c r="G80" s="178">
        <v>0</v>
      </c>
      <c r="H80" s="80">
        <f t="shared" si="24"/>
        <v>0</v>
      </c>
      <c r="I80" s="178">
        <v>0</v>
      </c>
      <c r="J80" s="80">
        <f t="shared" si="25"/>
        <v>0</v>
      </c>
      <c r="K80" s="178">
        <v>0</v>
      </c>
      <c r="L80" s="80">
        <f t="shared" si="26"/>
        <v>0</v>
      </c>
      <c r="M80" s="178">
        <v>0</v>
      </c>
      <c r="N80" s="80">
        <f t="shared" si="27"/>
        <v>0</v>
      </c>
      <c r="O80" s="178">
        <v>0</v>
      </c>
      <c r="P80" s="80">
        <f t="shared" si="28"/>
        <v>0</v>
      </c>
      <c r="Q80" s="178">
        <v>0</v>
      </c>
      <c r="R80" s="80">
        <f t="shared" si="29"/>
        <v>0</v>
      </c>
      <c r="S80" s="178">
        <v>0</v>
      </c>
      <c r="T80" s="80">
        <f t="shared" si="30"/>
        <v>0</v>
      </c>
      <c r="U80" s="178">
        <v>0</v>
      </c>
      <c r="V80" s="80">
        <f t="shared" si="31"/>
        <v>0</v>
      </c>
      <c r="X80" s="192"/>
    </row>
    <row r="81" spans="1:24" ht="12.75" customHeight="1">
      <c r="A81" s="2" t="s">
        <v>425</v>
      </c>
      <c r="B81" s="35"/>
      <c r="C81" s="178">
        <v>0</v>
      </c>
      <c r="D81" s="80">
        <f t="shared" si="22"/>
        <v>0</v>
      </c>
      <c r="E81" s="178">
        <v>0</v>
      </c>
      <c r="F81" s="80">
        <f t="shared" si="23"/>
        <v>0</v>
      </c>
      <c r="G81" s="178">
        <v>0</v>
      </c>
      <c r="H81" s="80">
        <f t="shared" si="24"/>
        <v>0</v>
      </c>
      <c r="I81" s="178">
        <v>0</v>
      </c>
      <c r="J81" s="80">
        <f t="shared" si="25"/>
        <v>0</v>
      </c>
      <c r="K81" s="178">
        <v>0</v>
      </c>
      <c r="L81" s="80">
        <f t="shared" si="26"/>
        <v>0</v>
      </c>
      <c r="M81" s="178">
        <v>0</v>
      </c>
      <c r="N81" s="80">
        <f t="shared" si="27"/>
        <v>0</v>
      </c>
      <c r="O81" s="178">
        <v>0</v>
      </c>
      <c r="P81" s="80">
        <f t="shared" si="28"/>
        <v>0</v>
      </c>
      <c r="Q81" s="178">
        <v>0</v>
      </c>
      <c r="R81" s="80">
        <f t="shared" si="29"/>
        <v>0</v>
      </c>
      <c r="S81" s="178">
        <v>0</v>
      </c>
      <c r="T81" s="80">
        <f t="shared" si="30"/>
        <v>0</v>
      </c>
      <c r="U81" s="178">
        <v>0</v>
      </c>
      <c r="V81" s="80">
        <f t="shared" si="31"/>
        <v>0</v>
      </c>
      <c r="X81" s="192"/>
    </row>
    <row r="82" spans="1:24" ht="12.75" customHeight="1">
      <c r="A82" s="2" t="s">
        <v>426</v>
      </c>
      <c r="B82" s="35"/>
      <c r="C82" s="178">
        <v>0</v>
      </c>
      <c r="D82" s="80">
        <f t="shared" si="22"/>
        <v>0</v>
      </c>
      <c r="E82" s="178">
        <v>0</v>
      </c>
      <c r="F82" s="80">
        <f t="shared" si="23"/>
        <v>0</v>
      </c>
      <c r="G82" s="178">
        <v>0</v>
      </c>
      <c r="H82" s="80">
        <f t="shared" si="24"/>
        <v>0</v>
      </c>
      <c r="I82" s="178">
        <v>0</v>
      </c>
      <c r="J82" s="80">
        <f t="shared" si="25"/>
        <v>0</v>
      </c>
      <c r="K82" s="178">
        <v>0</v>
      </c>
      <c r="L82" s="80">
        <f t="shared" si="26"/>
        <v>0</v>
      </c>
      <c r="M82" s="178">
        <v>0</v>
      </c>
      <c r="N82" s="80">
        <f t="shared" si="27"/>
        <v>0</v>
      </c>
      <c r="O82" s="178">
        <v>0</v>
      </c>
      <c r="P82" s="80">
        <f t="shared" si="28"/>
        <v>0</v>
      </c>
      <c r="Q82" s="178">
        <v>0</v>
      </c>
      <c r="R82" s="80">
        <f t="shared" si="29"/>
        <v>0</v>
      </c>
      <c r="S82" s="178">
        <v>0</v>
      </c>
      <c r="T82" s="80">
        <f t="shared" si="30"/>
        <v>0</v>
      </c>
      <c r="U82" s="178">
        <v>0</v>
      </c>
      <c r="V82" s="80">
        <f t="shared" si="31"/>
        <v>0</v>
      </c>
      <c r="X82" s="192"/>
    </row>
    <row r="83" spans="1:24" ht="12.75" customHeight="1">
      <c r="A83" s="2" t="s">
        <v>427</v>
      </c>
      <c r="B83" s="35"/>
      <c r="C83" s="178">
        <v>0</v>
      </c>
      <c r="D83" s="80">
        <f t="shared" si="22"/>
        <v>0</v>
      </c>
      <c r="E83" s="178">
        <v>0</v>
      </c>
      <c r="F83" s="80">
        <f t="shared" si="23"/>
        <v>0</v>
      </c>
      <c r="G83" s="178">
        <v>0</v>
      </c>
      <c r="H83" s="80">
        <f t="shared" si="24"/>
        <v>0</v>
      </c>
      <c r="I83" s="178">
        <v>0</v>
      </c>
      <c r="J83" s="80">
        <f t="shared" si="25"/>
        <v>0</v>
      </c>
      <c r="K83" s="178">
        <v>0</v>
      </c>
      <c r="L83" s="80">
        <f t="shared" si="26"/>
        <v>0</v>
      </c>
      <c r="M83" s="178">
        <v>0</v>
      </c>
      <c r="N83" s="80">
        <f t="shared" si="27"/>
        <v>0</v>
      </c>
      <c r="O83" s="178">
        <v>0</v>
      </c>
      <c r="P83" s="80">
        <f t="shared" si="28"/>
        <v>0</v>
      </c>
      <c r="Q83" s="178">
        <v>0</v>
      </c>
      <c r="R83" s="80">
        <f t="shared" si="29"/>
        <v>0</v>
      </c>
      <c r="S83" s="178">
        <v>0</v>
      </c>
      <c r="T83" s="80">
        <f t="shared" si="30"/>
        <v>0</v>
      </c>
      <c r="U83" s="178">
        <v>0</v>
      </c>
      <c r="V83" s="80">
        <f t="shared" si="31"/>
        <v>0</v>
      </c>
      <c r="X83" s="192"/>
    </row>
    <row r="84" spans="1:24" ht="12.75" customHeight="1">
      <c r="A84" s="2" t="s">
        <v>428</v>
      </c>
      <c r="B84" s="35"/>
      <c r="C84" s="178">
        <v>0</v>
      </c>
      <c r="D84" s="80">
        <f t="shared" si="22"/>
        <v>0</v>
      </c>
      <c r="E84" s="178">
        <v>0</v>
      </c>
      <c r="F84" s="80">
        <f t="shared" si="23"/>
        <v>0</v>
      </c>
      <c r="G84" s="178">
        <v>0</v>
      </c>
      <c r="H84" s="80">
        <f t="shared" si="24"/>
        <v>0</v>
      </c>
      <c r="I84" s="178">
        <v>0</v>
      </c>
      <c r="J84" s="80">
        <f t="shared" si="25"/>
        <v>0</v>
      </c>
      <c r="K84" s="178">
        <v>0</v>
      </c>
      <c r="L84" s="80">
        <f t="shared" si="26"/>
        <v>0</v>
      </c>
      <c r="M84" s="178">
        <v>0</v>
      </c>
      <c r="N84" s="80">
        <f t="shared" si="27"/>
        <v>0</v>
      </c>
      <c r="O84" s="178">
        <v>0</v>
      </c>
      <c r="P84" s="80">
        <f t="shared" si="28"/>
        <v>0</v>
      </c>
      <c r="Q84" s="178">
        <v>0</v>
      </c>
      <c r="R84" s="80">
        <f t="shared" si="29"/>
        <v>0</v>
      </c>
      <c r="S84" s="178">
        <v>0</v>
      </c>
      <c r="T84" s="80">
        <f t="shared" si="30"/>
        <v>0</v>
      </c>
      <c r="U84" s="178">
        <v>0</v>
      </c>
      <c r="V84" s="80">
        <f t="shared" si="31"/>
        <v>0</v>
      </c>
      <c r="X84" s="192"/>
    </row>
    <row r="85" spans="1:24" ht="12.75" customHeight="1">
      <c r="A85" s="2" t="s">
        <v>429</v>
      </c>
      <c r="B85" s="35"/>
      <c r="C85" s="178">
        <v>0</v>
      </c>
      <c r="D85" s="80">
        <f t="shared" si="22"/>
        <v>0</v>
      </c>
      <c r="E85" s="178">
        <v>0</v>
      </c>
      <c r="F85" s="80">
        <f t="shared" si="23"/>
        <v>0</v>
      </c>
      <c r="G85" s="178">
        <v>0</v>
      </c>
      <c r="H85" s="80">
        <f t="shared" si="24"/>
        <v>0</v>
      </c>
      <c r="I85" s="178">
        <v>0</v>
      </c>
      <c r="J85" s="80">
        <f t="shared" si="25"/>
        <v>0</v>
      </c>
      <c r="K85" s="178">
        <v>0</v>
      </c>
      <c r="L85" s="80">
        <f t="shared" si="26"/>
        <v>0</v>
      </c>
      <c r="M85" s="178">
        <v>0</v>
      </c>
      <c r="N85" s="80">
        <f t="shared" si="27"/>
        <v>0</v>
      </c>
      <c r="O85" s="178">
        <v>0</v>
      </c>
      <c r="P85" s="80">
        <f t="shared" si="28"/>
        <v>0</v>
      </c>
      <c r="Q85" s="178">
        <v>0</v>
      </c>
      <c r="R85" s="80">
        <f t="shared" si="29"/>
        <v>0</v>
      </c>
      <c r="S85" s="178">
        <v>0</v>
      </c>
      <c r="T85" s="80">
        <f t="shared" si="30"/>
        <v>0</v>
      </c>
      <c r="U85" s="178">
        <v>0</v>
      </c>
      <c r="V85" s="80">
        <f t="shared" si="31"/>
        <v>0</v>
      </c>
      <c r="X85" s="192"/>
    </row>
    <row r="86" spans="1:24" ht="12.75" customHeight="1">
      <c r="A86" s="2" t="s">
        <v>430</v>
      </c>
      <c r="B86" s="35"/>
      <c r="C86" s="178">
        <v>3980.4696000000004</v>
      </c>
      <c r="D86" s="80">
        <f t="shared" si="22"/>
        <v>4.0000000000000001E-3</v>
      </c>
      <c r="E86" s="178">
        <v>4616.7</v>
      </c>
      <c r="F86" s="80">
        <f t="shared" si="23"/>
        <v>4.0000000000000001E-3</v>
      </c>
      <c r="G86" s="178">
        <v>4801.3680000000004</v>
      </c>
      <c r="H86" s="80">
        <f t="shared" si="24"/>
        <v>4.0000000000000001E-3</v>
      </c>
      <c r="I86" s="178">
        <v>4993.4227199999996</v>
      </c>
      <c r="J86" s="80">
        <f t="shared" si="25"/>
        <v>4.0000000000000001E-3</v>
      </c>
      <c r="K86" s="178">
        <v>5093.2911743999994</v>
      </c>
      <c r="L86" s="80">
        <f t="shared" si="26"/>
        <v>3.9999999999999992E-3</v>
      </c>
      <c r="M86" s="178">
        <v>5246.0899096319999</v>
      </c>
      <c r="N86" s="80">
        <f t="shared" si="27"/>
        <v>4.0000000000000001E-3</v>
      </c>
      <c r="O86" s="178">
        <v>5403.472606920961</v>
      </c>
      <c r="P86" s="80">
        <f t="shared" si="28"/>
        <v>4.0000000000000001E-3</v>
      </c>
      <c r="Q86" s="178">
        <v>5565.57678512859</v>
      </c>
      <c r="R86" s="80">
        <f t="shared" si="29"/>
        <v>4.0000000000000001E-3</v>
      </c>
      <c r="S86" s="178">
        <v>5732.5440886824472</v>
      </c>
      <c r="T86" s="80">
        <f t="shared" si="30"/>
        <v>4.0000000000000001E-3</v>
      </c>
      <c r="U86" s="178">
        <v>5904.5204113429209</v>
      </c>
      <c r="V86" s="80">
        <f t="shared" si="31"/>
        <v>4.0000000000000001E-3</v>
      </c>
      <c r="X86" s="192"/>
    </row>
    <row r="87" spans="1:24" ht="12.75" customHeight="1">
      <c r="A87" s="2" t="s">
        <v>431</v>
      </c>
      <c r="B87" s="35"/>
      <c r="C87" s="178">
        <v>0</v>
      </c>
      <c r="D87" s="80">
        <f t="shared" si="22"/>
        <v>0</v>
      </c>
      <c r="E87" s="178">
        <v>0</v>
      </c>
      <c r="F87" s="80">
        <f t="shared" si="23"/>
        <v>0</v>
      </c>
      <c r="G87" s="178">
        <v>0</v>
      </c>
      <c r="H87" s="80">
        <f t="shared" si="24"/>
        <v>0</v>
      </c>
      <c r="I87" s="178">
        <v>0</v>
      </c>
      <c r="J87" s="80">
        <f t="shared" si="25"/>
        <v>0</v>
      </c>
      <c r="K87" s="178">
        <v>0</v>
      </c>
      <c r="L87" s="80">
        <f t="shared" si="26"/>
        <v>0</v>
      </c>
      <c r="M87" s="178">
        <v>0</v>
      </c>
      <c r="N87" s="80">
        <f t="shared" si="27"/>
        <v>0</v>
      </c>
      <c r="O87" s="178">
        <v>0</v>
      </c>
      <c r="P87" s="80">
        <f t="shared" si="28"/>
        <v>0</v>
      </c>
      <c r="Q87" s="178">
        <v>0</v>
      </c>
      <c r="R87" s="80">
        <f t="shared" si="29"/>
        <v>0</v>
      </c>
      <c r="S87" s="178">
        <v>0</v>
      </c>
      <c r="T87" s="80">
        <f t="shared" si="30"/>
        <v>0</v>
      </c>
      <c r="U87" s="178">
        <v>0</v>
      </c>
      <c r="V87" s="80">
        <f t="shared" si="31"/>
        <v>0</v>
      </c>
      <c r="X87" s="192"/>
    </row>
    <row r="88" spans="1:24" ht="12.75" customHeight="1">
      <c r="A88" s="2" t="s">
        <v>432</v>
      </c>
      <c r="B88" s="35"/>
      <c r="C88" s="178">
        <v>5075.0987400000004</v>
      </c>
      <c r="D88" s="80">
        <f t="shared" si="22"/>
        <v>5.1000000000000004E-3</v>
      </c>
      <c r="E88" s="178">
        <v>5886.2925000000005</v>
      </c>
      <c r="F88" s="80">
        <f t="shared" si="23"/>
        <v>5.1000000000000004E-3</v>
      </c>
      <c r="G88" s="178">
        <v>6121.744200000001</v>
      </c>
      <c r="H88" s="80">
        <f t="shared" si="24"/>
        <v>5.1000000000000012E-3</v>
      </c>
      <c r="I88" s="178">
        <v>6366.6139679999997</v>
      </c>
      <c r="J88" s="80">
        <f t="shared" si="25"/>
        <v>5.1000000000000004E-3</v>
      </c>
      <c r="K88" s="178">
        <v>6493.9462473599997</v>
      </c>
      <c r="L88" s="80">
        <f t="shared" si="26"/>
        <v>5.0999999999999995E-3</v>
      </c>
      <c r="M88" s="178">
        <v>6688.7646347808004</v>
      </c>
      <c r="N88" s="80">
        <f t="shared" si="27"/>
        <v>5.1000000000000004E-3</v>
      </c>
      <c r="O88" s="178">
        <v>6889.427573824225</v>
      </c>
      <c r="P88" s="80">
        <f t="shared" si="28"/>
        <v>5.0999999999999995E-3</v>
      </c>
      <c r="Q88" s="178">
        <v>7096.1104010389527</v>
      </c>
      <c r="R88" s="80">
        <f t="shared" si="29"/>
        <v>5.1000000000000004E-3</v>
      </c>
      <c r="S88" s="178">
        <v>7308.993713070121</v>
      </c>
      <c r="T88" s="80">
        <f t="shared" si="30"/>
        <v>5.1000000000000004E-3</v>
      </c>
      <c r="U88" s="178">
        <v>7528.2635244622243</v>
      </c>
      <c r="V88" s="80">
        <f t="shared" si="31"/>
        <v>5.1000000000000004E-3</v>
      </c>
      <c r="X88" s="192"/>
    </row>
    <row r="89" spans="1:24" ht="12.75" customHeight="1">
      <c r="A89" s="2" t="s">
        <v>433</v>
      </c>
      <c r="B89" s="35"/>
      <c r="C89" s="178">
        <v>0</v>
      </c>
      <c r="D89" s="80">
        <f t="shared" si="22"/>
        <v>0</v>
      </c>
      <c r="E89" s="178">
        <v>0</v>
      </c>
      <c r="F89" s="80">
        <f t="shared" si="23"/>
        <v>0</v>
      </c>
      <c r="G89" s="178">
        <v>0</v>
      </c>
      <c r="H89" s="80">
        <f t="shared" si="24"/>
        <v>0</v>
      </c>
      <c r="I89" s="178">
        <v>0</v>
      </c>
      <c r="J89" s="80">
        <f t="shared" si="25"/>
        <v>0</v>
      </c>
      <c r="K89" s="178">
        <v>0</v>
      </c>
      <c r="L89" s="80">
        <f t="shared" si="26"/>
        <v>0</v>
      </c>
      <c r="M89" s="178">
        <v>0</v>
      </c>
      <c r="N89" s="80">
        <f t="shared" si="27"/>
        <v>0</v>
      </c>
      <c r="O89" s="178">
        <v>0</v>
      </c>
      <c r="P89" s="80">
        <f t="shared" si="28"/>
        <v>0</v>
      </c>
      <c r="Q89" s="178">
        <v>0</v>
      </c>
      <c r="R89" s="80">
        <f t="shared" si="29"/>
        <v>0</v>
      </c>
      <c r="S89" s="178">
        <v>0</v>
      </c>
      <c r="T89" s="80">
        <f t="shared" si="30"/>
        <v>0</v>
      </c>
      <c r="U89" s="178">
        <v>0</v>
      </c>
      <c r="V89" s="80">
        <f t="shared" si="31"/>
        <v>0</v>
      </c>
      <c r="X89" s="192"/>
    </row>
    <row r="90" spans="1:24" ht="12.75" customHeight="1">
      <c r="A90" s="2" t="s">
        <v>434</v>
      </c>
      <c r="B90" s="35"/>
      <c r="C90" s="178">
        <v>199.02348000000003</v>
      </c>
      <c r="D90" s="80">
        <f t="shared" si="22"/>
        <v>2.0000000000000004E-4</v>
      </c>
      <c r="E90" s="178">
        <v>230.83500000000004</v>
      </c>
      <c r="F90" s="80">
        <f t="shared" si="23"/>
        <v>2.0000000000000004E-4</v>
      </c>
      <c r="G90" s="178">
        <v>240.06840000000003</v>
      </c>
      <c r="H90" s="80">
        <f t="shared" si="24"/>
        <v>2.0000000000000001E-4</v>
      </c>
      <c r="I90" s="178">
        <v>249.67113599999999</v>
      </c>
      <c r="J90" s="80">
        <f t="shared" si="25"/>
        <v>2.0000000000000001E-4</v>
      </c>
      <c r="K90" s="178">
        <v>254.66455871999997</v>
      </c>
      <c r="L90" s="80">
        <f t="shared" si="26"/>
        <v>1.9999999999999998E-4</v>
      </c>
      <c r="M90" s="178">
        <v>262.30449548159999</v>
      </c>
      <c r="N90" s="80">
        <f t="shared" si="27"/>
        <v>1.9999999999999998E-4</v>
      </c>
      <c r="O90" s="178">
        <v>270.17363034604807</v>
      </c>
      <c r="P90" s="80">
        <f t="shared" si="28"/>
        <v>2.0000000000000001E-4</v>
      </c>
      <c r="Q90" s="178">
        <v>278.27883925642953</v>
      </c>
      <c r="R90" s="80">
        <f t="shared" si="29"/>
        <v>2.0000000000000004E-4</v>
      </c>
      <c r="S90" s="178">
        <v>286.6272044341224</v>
      </c>
      <c r="T90" s="80">
        <f t="shared" si="30"/>
        <v>2.0000000000000001E-4</v>
      </c>
      <c r="U90" s="178">
        <v>295.22602056714607</v>
      </c>
      <c r="V90" s="80">
        <f t="shared" si="31"/>
        <v>2.0000000000000001E-4</v>
      </c>
      <c r="X90" s="192"/>
    </row>
    <row r="91" spans="1:24" ht="12.75" customHeight="1">
      <c r="A91" s="2" t="s">
        <v>435</v>
      </c>
      <c r="C91" s="178">
        <v>0</v>
      </c>
      <c r="D91" s="80">
        <f t="shared" si="22"/>
        <v>0</v>
      </c>
      <c r="E91" s="178">
        <v>0</v>
      </c>
      <c r="F91" s="80">
        <f t="shared" si="23"/>
        <v>0</v>
      </c>
      <c r="G91" s="178">
        <v>0</v>
      </c>
      <c r="H91" s="80">
        <f t="shared" si="24"/>
        <v>0</v>
      </c>
      <c r="I91" s="178">
        <v>0</v>
      </c>
      <c r="J91" s="80">
        <f t="shared" si="25"/>
        <v>0</v>
      </c>
      <c r="K91" s="178">
        <v>0</v>
      </c>
      <c r="L91" s="80">
        <f t="shared" si="26"/>
        <v>0</v>
      </c>
      <c r="M91" s="178">
        <v>0</v>
      </c>
      <c r="N91" s="80">
        <f t="shared" si="27"/>
        <v>0</v>
      </c>
      <c r="O91" s="178">
        <v>0</v>
      </c>
      <c r="P91" s="80">
        <f t="shared" si="28"/>
        <v>0</v>
      </c>
      <c r="Q91" s="178">
        <v>0</v>
      </c>
      <c r="R91" s="80">
        <f t="shared" si="29"/>
        <v>0</v>
      </c>
      <c r="S91" s="178">
        <v>0</v>
      </c>
      <c r="T91" s="80">
        <f t="shared" si="30"/>
        <v>0</v>
      </c>
      <c r="U91" s="178">
        <v>0</v>
      </c>
      <c r="V91" s="80">
        <f t="shared" si="31"/>
        <v>0</v>
      </c>
      <c r="X91" s="192"/>
    </row>
    <row r="92" spans="1:24" ht="12.75" customHeight="1">
      <c r="A92" s="2" t="s">
        <v>436</v>
      </c>
      <c r="B92" s="35"/>
      <c r="C92" s="178">
        <v>5174.6104800000003</v>
      </c>
      <c r="D92" s="80">
        <f t="shared" si="22"/>
        <v>5.1999999999999998E-3</v>
      </c>
      <c r="E92" s="178">
        <v>6001.71</v>
      </c>
      <c r="F92" s="80">
        <f t="shared" si="23"/>
        <v>5.1999999999999998E-3</v>
      </c>
      <c r="G92" s="178">
        <v>6241.7784000000001</v>
      </c>
      <c r="H92" s="80">
        <f t="shared" si="24"/>
        <v>5.1999999999999998E-3</v>
      </c>
      <c r="I92" s="178">
        <v>6491.4495360000001</v>
      </c>
      <c r="J92" s="80">
        <f t="shared" si="25"/>
        <v>5.2000000000000006E-3</v>
      </c>
      <c r="K92" s="178">
        <v>6621.2785267199988</v>
      </c>
      <c r="L92" s="80">
        <f t="shared" si="26"/>
        <v>5.1999999999999989E-3</v>
      </c>
      <c r="M92" s="178">
        <v>6819.9168825216002</v>
      </c>
      <c r="N92" s="80">
        <f t="shared" si="27"/>
        <v>5.1999999999999998E-3</v>
      </c>
      <c r="O92" s="178">
        <v>7024.5143889972487</v>
      </c>
      <c r="P92" s="80">
        <f t="shared" si="28"/>
        <v>5.1999999999999989E-3</v>
      </c>
      <c r="Q92" s="178">
        <v>7235.2498206671662</v>
      </c>
      <c r="R92" s="80">
        <f t="shared" si="29"/>
        <v>5.1999999999999998E-3</v>
      </c>
      <c r="S92" s="178">
        <v>7452.3073152871821</v>
      </c>
      <c r="T92" s="80">
        <f t="shared" si="30"/>
        <v>5.1999999999999998E-3</v>
      </c>
      <c r="U92" s="178">
        <v>7675.8765347457975</v>
      </c>
      <c r="V92" s="80">
        <f t="shared" si="31"/>
        <v>5.2000000000000006E-3</v>
      </c>
      <c r="X92" s="192"/>
    </row>
    <row r="93" spans="1:24" ht="12.75" customHeight="1">
      <c r="A93" s="2" t="s">
        <v>437</v>
      </c>
      <c r="B93" s="35"/>
      <c r="C93" s="178">
        <v>0</v>
      </c>
      <c r="D93" s="80">
        <f t="shared" si="22"/>
        <v>0</v>
      </c>
      <c r="E93" s="178">
        <v>0</v>
      </c>
      <c r="F93" s="80">
        <f t="shared" si="23"/>
        <v>0</v>
      </c>
      <c r="G93" s="178">
        <v>0</v>
      </c>
      <c r="H93" s="80">
        <f t="shared" si="24"/>
        <v>0</v>
      </c>
      <c r="I93" s="178">
        <v>0</v>
      </c>
      <c r="J93" s="80">
        <f t="shared" si="25"/>
        <v>0</v>
      </c>
      <c r="K93" s="178">
        <v>0</v>
      </c>
      <c r="L93" s="80">
        <f t="shared" si="26"/>
        <v>0</v>
      </c>
      <c r="M93" s="178">
        <v>0</v>
      </c>
      <c r="N93" s="80">
        <f t="shared" si="27"/>
        <v>0</v>
      </c>
      <c r="O93" s="178">
        <v>0</v>
      </c>
      <c r="P93" s="80">
        <f t="shared" si="28"/>
        <v>0</v>
      </c>
      <c r="Q93" s="178">
        <v>0</v>
      </c>
      <c r="R93" s="80">
        <f t="shared" si="29"/>
        <v>0</v>
      </c>
      <c r="S93" s="178">
        <v>0</v>
      </c>
      <c r="T93" s="80">
        <f t="shared" si="30"/>
        <v>0</v>
      </c>
      <c r="U93" s="178">
        <v>0</v>
      </c>
      <c r="V93" s="80">
        <f t="shared" si="31"/>
        <v>0</v>
      </c>
      <c r="X93" s="192"/>
    </row>
    <row r="94" spans="1:24" ht="12.75" customHeight="1">
      <c r="A94" s="2" t="s">
        <v>438</v>
      </c>
      <c r="B94" s="35"/>
      <c r="C94" s="178">
        <v>0</v>
      </c>
      <c r="D94" s="80">
        <f t="shared" si="22"/>
        <v>0</v>
      </c>
      <c r="E94" s="178">
        <v>0</v>
      </c>
      <c r="F94" s="80">
        <f t="shared" si="23"/>
        <v>0</v>
      </c>
      <c r="G94" s="178">
        <v>0</v>
      </c>
      <c r="H94" s="80">
        <f t="shared" si="24"/>
        <v>0</v>
      </c>
      <c r="I94" s="178">
        <v>0</v>
      </c>
      <c r="J94" s="80">
        <f t="shared" si="25"/>
        <v>0</v>
      </c>
      <c r="K94" s="178">
        <v>0</v>
      </c>
      <c r="L94" s="80">
        <f t="shared" si="26"/>
        <v>0</v>
      </c>
      <c r="M94" s="178">
        <v>0</v>
      </c>
      <c r="N94" s="80">
        <f t="shared" si="27"/>
        <v>0</v>
      </c>
      <c r="O94" s="178">
        <v>0</v>
      </c>
      <c r="P94" s="80">
        <f t="shared" si="28"/>
        <v>0</v>
      </c>
      <c r="Q94" s="178">
        <v>0</v>
      </c>
      <c r="R94" s="80">
        <f t="shared" si="29"/>
        <v>0</v>
      </c>
      <c r="S94" s="178">
        <v>0</v>
      </c>
      <c r="T94" s="80">
        <f t="shared" si="30"/>
        <v>0</v>
      </c>
      <c r="U94" s="178">
        <v>0</v>
      </c>
      <c r="V94" s="80">
        <f t="shared" si="31"/>
        <v>0</v>
      </c>
      <c r="X94" s="192"/>
    </row>
    <row r="95" spans="1:24" ht="12.75" customHeight="1">
      <c r="A95" s="2" t="s">
        <v>439</v>
      </c>
      <c r="B95" s="35"/>
      <c r="C95" s="178">
        <v>0</v>
      </c>
      <c r="D95" s="80">
        <f t="shared" si="22"/>
        <v>0</v>
      </c>
      <c r="E95" s="178">
        <v>0</v>
      </c>
      <c r="F95" s="80">
        <f t="shared" si="23"/>
        <v>0</v>
      </c>
      <c r="G95" s="178">
        <v>0</v>
      </c>
      <c r="H95" s="80">
        <f t="shared" si="24"/>
        <v>0</v>
      </c>
      <c r="I95" s="178">
        <v>0</v>
      </c>
      <c r="J95" s="80">
        <f t="shared" si="25"/>
        <v>0</v>
      </c>
      <c r="K95" s="178">
        <v>0</v>
      </c>
      <c r="L95" s="80">
        <f t="shared" si="26"/>
        <v>0</v>
      </c>
      <c r="M95" s="178">
        <v>0</v>
      </c>
      <c r="N95" s="80">
        <f t="shared" si="27"/>
        <v>0</v>
      </c>
      <c r="O95" s="178">
        <v>0</v>
      </c>
      <c r="P95" s="80">
        <f t="shared" si="28"/>
        <v>0</v>
      </c>
      <c r="Q95" s="178">
        <v>0</v>
      </c>
      <c r="R95" s="80">
        <f t="shared" si="29"/>
        <v>0</v>
      </c>
      <c r="S95" s="178">
        <v>0</v>
      </c>
      <c r="T95" s="80">
        <f t="shared" si="30"/>
        <v>0</v>
      </c>
      <c r="U95" s="178">
        <v>0</v>
      </c>
      <c r="V95" s="80">
        <f t="shared" si="31"/>
        <v>0</v>
      </c>
      <c r="X95" s="192"/>
    </row>
    <row r="96" spans="1:24" ht="12.75" customHeight="1">
      <c r="A96" s="2" t="s">
        <v>440</v>
      </c>
      <c r="B96" s="35"/>
      <c r="C96" s="178">
        <v>0</v>
      </c>
      <c r="D96" s="80">
        <f t="shared" si="22"/>
        <v>0</v>
      </c>
      <c r="E96" s="178">
        <v>0</v>
      </c>
      <c r="F96" s="80">
        <f t="shared" si="23"/>
        <v>0</v>
      </c>
      <c r="G96" s="178">
        <v>0</v>
      </c>
      <c r="H96" s="80">
        <f t="shared" si="24"/>
        <v>0</v>
      </c>
      <c r="I96" s="178">
        <v>0</v>
      </c>
      <c r="J96" s="80">
        <f t="shared" si="25"/>
        <v>0</v>
      </c>
      <c r="K96" s="178">
        <v>0</v>
      </c>
      <c r="L96" s="80">
        <f t="shared" si="26"/>
        <v>0</v>
      </c>
      <c r="M96" s="178">
        <v>0</v>
      </c>
      <c r="N96" s="80">
        <f t="shared" si="27"/>
        <v>0</v>
      </c>
      <c r="O96" s="178">
        <v>0</v>
      </c>
      <c r="P96" s="80">
        <f t="shared" si="28"/>
        <v>0</v>
      </c>
      <c r="Q96" s="178">
        <v>0</v>
      </c>
      <c r="R96" s="80">
        <f t="shared" si="29"/>
        <v>0</v>
      </c>
      <c r="S96" s="178">
        <v>0</v>
      </c>
      <c r="T96" s="80">
        <f t="shared" si="30"/>
        <v>0</v>
      </c>
      <c r="U96" s="178">
        <v>0</v>
      </c>
      <c r="V96" s="80">
        <f t="shared" si="31"/>
        <v>0</v>
      </c>
      <c r="X96" s="192"/>
    </row>
    <row r="97" spans="1:24" ht="12.75" customHeight="1">
      <c r="A97" s="2" t="s">
        <v>441</v>
      </c>
      <c r="B97" s="35"/>
      <c r="C97" s="178">
        <v>7621.1062000000002</v>
      </c>
      <c r="D97" s="80">
        <f t="shared" si="22"/>
        <v>7.6584995900986158E-3</v>
      </c>
      <c r="E97" s="178">
        <v>8386.6871047999994</v>
      </c>
      <c r="F97" s="80">
        <f t="shared" si="23"/>
        <v>7.2663912359910753E-3</v>
      </c>
      <c r="G97" s="178">
        <v>8680.2211534679991</v>
      </c>
      <c r="H97" s="80">
        <f t="shared" si="24"/>
        <v>7.2314566627411179E-3</v>
      </c>
      <c r="I97" s="178">
        <v>8957.9882303789764</v>
      </c>
      <c r="J97" s="80">
        <f t="shared" si="25"/>
        <v>7.1758300730277265E-3</v>
      </c>
      <c r="K97" s="178">
        <v>9181.937936138449</v>
      </c>
      <c r="L97" s="80">
        <f t="shared" si="26"/>
        <v>7.2110057106406058E-3</v>
      </c>
      <c r="M97" s="178">
        <v>9411.4863845419095</v>
      </c>
      <c r="N97" s="80">
        <f t="shared" si="27"/>
        <v>7.1760008285501166E-3</v>
      </c>
      <c r="O97" s="178">
        <v>9646.7735441554578</v>
      </c>
      <c r="P97" s="80">
        <f t="shared" si="28"/>
        <v>7.141165873071717E-3</v>
      </c>
      <c r="Q97" s="178">
        <v>9839.7090150385648</v>
      </c>
      <c r="R97" s="80">
        <f t="shared" si="29"/>
        <v>7.0718341655661649E-3</v>
      </c>
      <c r="S97" s="178">
        <v>10036.503195339339</v>
      </c>
      <c r="T97" s="80">
        <f t="shared" si="30"/>
        <v>7.0031755814344565E-3</v>
      </c>
      <c r="U97" s="178">
        <v>10287.41577522282</v>
      </c>
      <c r="V97" s="80">
        <f t="shared" si="31"/>
        <v>6.9691795834663272E-3</v>
      </c>
      <c r="X97" s="192"/>
    </row>
    <row r="98" spans="1:24" ht="12.75" customHeight="1">
      <c r="A98" s="117" t="s">
        <v>444</v>
      </c>
      <c r="B98" s="35"/>
      <c r="C98" s="178">
        <v>1194.1408799999999</v>
      </c>
      <c r="D98" s="80">
        <f t="shared" si="22"/>
        <v>1.1999999999999999E-3</v>
      </c>
      <c r="E98" s="178">
        <v>1385.0099999999998</v>
      </c>
      <c r="F98" s="80">
        <f t="shared" si="23"/>
        <v>1.1999999999999999E-3</v>
      </c>
      <c r="G98" s="178">
        <v>1440.4104</v>
      </c>
      <c r="H98" s="80">
        <f t="shared" si="24"/>
        <v>1.1999999999999999E-3</v>
      </c>
      <c r="I98" s="178">
        <v>1498.0268159999996</v>
      </c>
      <c r="J98" s="80">
        <f t="shared" si="25"/>
        <v>1.1999999999999997E-3</v>
      </c>
      <c r="K98" s="178">
        <v>1527.9873523199999</v>
      </c>
      <c r="L98" s="80">
        <f t="shared" si="26"/>
        <v>1.1999999999999999E-3</v>
      </c>
      <c r="M98" s="178">
        <v>1573.8269728895998</v>
      </c>
      <c r="N98" s="80">
        <f t="shared" si="27"/>
        <v>1.1999999999999999E-3</v>
      </c>
      <c r="O98" s="178">
        <v>1621.0417820762882</v>
      </c>
      <c r="P98" s="80">
        <f t="shared" si="28"/>
        <v>1.1999999999999999E-3</v>
      </c>
      <c r="Q98" s="178">
        <v>1669.6730355385766</v>
      </c>
      <c r="R98" s="80">
        <f t="shared" si="29"/>
        <v>1.1999999999999999E-3</v>
      </c>
      <c r="S98" s="178">
        <v>1719.7632266047342</v>
      </c>
      <c r="T98" s="80">
        <f t="shared" si="30"/>
        <v>1.1999999999999999E-3</v>
      </c>
      <c r="U98" s="178">
        <v>1771.3561234028762</v>
      </c>
      <c r="V98" s="80">
        <f t="shared" si="31"/>
        <v>1.1999999999999999E-3</v>
      </c>
      <c r="X98" s="192"/>
    </row>
    <row r="99" spans="1:24" ht="12.75" customHeight="1">
      <c r="A99" s="117" t="s">
        <v>444</v>
      </c>
      <c r="B99" s="35"/>
      <c r="C99" s="178">
        <v>0</v>
      </c>
      <c r="D99" s="80">
        <f t="shared" si="22"/>
        <v>0</v>
      </c>
      <c r="E99" s="178">
        <v>0</v>
      </c>
      <c r="F99" s="80">
        <f t="shared" si="23"/>
        <v>0</v>
      </c>
      <c r="G99" s="178">
        <v>0</v>
      </c>
      <c r="H99" s="80">
        <f t="shared" si="24"/>
        <v>0</v>
      </c>
      <c r="I99" s="178">
        <v>0</v>
      </c>
      <c r="J99" s="80">
        <f t="shared" si="25"/>
        <v>0</v>
      </c>
      <c r="K99" s="178">
        <v>0</v>
      </c>
      <c r="L99" s="80">
        <f t="shared" si="26"/>
        <v>0</v>
      </c>
      <c r="M99" s="178">
        <v>0</v>
      </c>
      <c r="N99" s="80">
        <f t="shared" si="27"/>
        <v>0</v>
      </c>
      <c r="O99" s="178">
        <v>0</v>
      </c>
      <c r="P99" s="80">
        <f t="shared" si="28"/>
        <v>0</v>
      </c>
      <c r="Q99" s="178">
        <v>0</v>
      </c>
      <c r="R99" s="80">
        <f t="shared" si="29"/>
        <v>0</v>
      </c>
      <c r="S99" s="178">
        <v>0</v>
      </c>
      <c r="T99" s="80">
        <f t="shared" si="30"/>
        <v>0</v>
      </c>
      <c r="U99" s="178">
        <v>0</v>
      </c>
      <c r="V99" s="80">
        <f t="shared" si="31"/>
        <v>0</v>
      </c>
      <c r="X99" s="192"/>
    </row>
    <row r="100" spans="1:24" ht="12.75" customHeight="1">
      <c r="A100" s="117" t="s">
        <v>444</v>
      </c>
      <c r="B100" s="35"/>
      <c r="C100" s="178">
        <v>0</v>
      </c>
      <c r="D100" s="80">
        <f t="shared" si="22"/>
        <v>0</v>
      </c>
      <c r="E100" s="178">
        <v>0</v>
      </c>
      <c r="F100" s="80">
        <f t="shared" si="23"/>
        <v>0</v>
      </c>
      <c r="G100" s="178">
        <v>0</v>
      </c>
      <c r="H100" s="80">
        <f t="shared" si="24"/>
        <v>0</v>
      </c>
      <c r="I100" s="178">
        <v>0</v>
      </c>
      <c r="J100" s="80">
        <f t="shared" si="25"/>
        <v>0</v>
      </c>
      <c r="K100" s="178">
        <v>0</v>
      </c>
      <c r="L100" s="80">
        <f t="shared" si="26"/>
        <v>0</v>
      </c>
      <c r="M100" s="178">
        <v>0</v>
      </c>
      <c r="N100" s="80">
        <f t="shared" si="27"/>
        <v>0</v>
      </c>
      <c r="O100" s="178">
        <v>0</v>
      </c>
      <c r="P100" s="80">
        <f t="shared" si="28"/>
        <v>0</v>
      </c>
      <c r="Q100" s="178">
        <v>0</v>
      </c>
      <c r="R100" s="80">
        <f t="shared" si="29"/>
        <v>0</v>
      </c>
      <c r="S100" s="178">
        <v>0</v>
      </c>
      <c r="T100" s="80">
        <f t="shared" si="30"/>
        <v>0</v>
      </c>
      <c r="U100" s="178">
        <v>0</v>
      </c>
      <c r="V100" s="80">
        <f t="shared" si="31"/>
        <v>0</v>
      </c>
      <c r="X100" s="192"/>
    </row>
    <row r="101" spans="1:24" ht="12.75" customHeight="1">
      <c r="A101" s="2" t="s">
        <v>445</v>
      </c>
      <c r="B101" s="35"/>
      <c r="C101" s="178"/>
      <c r="D101" s="80">
        <f t="shared" si="22"/>
        <v>0</v>
      </c>
      <c r="E101" s="178"/>
      <c r="F101" s="80">
        <f t="shared" si="23"/>
        <v>0</v>
      </c>
      <c r="G101" s="178"/>
      <c r="H101" s="80">
        <f t="shared" si="24"/>
        <v>0</v>
      </c>
      <c r="I101" s="178">
        <v>0</v>
      </c>
      <c r="J101" s="80">
        <f t="shared" si="25"/>
        <v>0</v>
      </c>
      <c r="K101" s="178">
        <v>0</v>
      </c>
      <c r="L101" s="80">
        <f t="shared" si="26"/>
        <v>0</v>
      </c>
      <c r="M101" s="178">
        <v>0</v>
      </c>
      <c r="N101" s="80">
        <f t="shared" si="27"/>
        <v>0</v>
      </c>
      <c r="O101" s="178">
        <v>0</v>
      </c>
      <c r="P101" s="80">
        <f t="shared" si="28"/>
        <v>0</v>
      </c>
      <c r="Q101" s="178">
        <v>0</v>
      </c>
      <c r="R101" s="80">
        <f t="shared" si="29"/>
        <v>0</v>
      </c>
      <c r="S101" s="178">
        <v>0</v>
      </c>
      <c r="T101" s="80">
        <f t="shared" si="30"/>
        <v>0</v>
      </c>
      <c r="U101" s="178">
        <v>0</v>
      </c>
      <c r="V101" s="80">
        <f t="shared" si="31"/>
        <v>0</v>
      </c>
      <c r="X101" s="192"/>
    </row>
    <row r="102" spans="1:24" ht="12.75" customHeight="1">
      <c r="A102" s="117" t="s">
        <v>446</v>
      </c>
      <c r="B102" s="35"/>
      <c r="C102" s="178">
        <v>9951.1740000000009</v>
      </c>
      <c r="D102" s="80">
        <f t="shared" si="22"/>
        <v>0.01</v>
      </c>
      <c r="E102" s="178">
        <v>11541.75</v>
      </c>
      <c r="F102" s="80">
        <f t="shared" si="23"/>
        <v>0.01</v>
      </c>
      <c r="G102" s="178">
        <v>12003.42</v>
      </c>
      <c r="H102" s="80">
        <f t="shared" si="24"/>
        <v>0.01</v>
      </c>
      <c r="I102" s="178">
        <v>12483.5568</v>
      </c>
      <c r="J102" s="80">
        <f t="shared" si="25"/>
        <v>0.01</v>
      </c>
      <c r="K102" s="178">
        <v>12733.227935999999</v>
      </c>
      <c r="L102" s="80">
        <f t="shared" si="26"/>
        <v>0.01</v>
      </c>
      <c r="M102" s="178">
        <v>13115.224774079999</v>
      </c>
      <c r="N102" s="80">
        <f t="shared" si="27"/>
        <v>9.9999999999999985E-3</v>
      </c>
      <c r="O102" s="178">
        <v>13508.681517302404</v>
      </c>
      <c r="P102" s="80">
        <f t="shared" si="28"/>
        <v>0.01</v>
      </c>
      <c r="Q102" s="178">
        <v>13913.941962821476</v>
      </c>
      <c r="R102" s="80">
        <f t="shared" si="29"/>
        <v>1.0000000000000002E-2</v>
      </c>
      <c r="S102" s="178">
        <v>14331.36022170612</v>
      </c>
      <c r="T102" s="80">
        <f t="shared" si="30"/>
        <v>0.01</v>
      </c>
      <c r="U102" s="178">
        <v>14761.301028357302</v>
      </c>
      <c r="V102" s="80">
        <f t="shared" si="31"/>
        <v>0.01</v>
      </c>
      <c r="X102" s="192"/>
    </row>
    <row r="103" spans="1:24" ht="12.75" customHeight="1">
      <c r="A103" s="117" t="s">
        <v>446</v>
      </c>
      <c r="B103" s="35"/>
      <c r="C103" s="178">
        <v>0</v>
      </c>
      <c r="D103" s="80">
        <f t="shared" si="22"/>
        <v>0</v>
      </c>
      <c r="E103" s="178">
        <v>0</v>
      </c>
      <c r="F103" s="80">
        <f t="shared" si="23"/>
        <v>0</v>
      </c>
      <c r="G103" s="178">
        <v>0</v>
      </c>
      <c r="H103" s="80">
        <f t="shared" si="24"/>
        <v>0</v>
      </c>
      <c r="I103" s="178">
        <v>0</v>
      </c>
      <c r="J103" s="80">
        <f t="shared" si="25"/>
        <v>0</v>
      </c>
      <c r="K103" s="178">
        <v>0</v>
      </c>
      <c r="L103" s="80">
        <f t="shared" si="26"/>
        <v>0</v>
      </c>
      <c r="M103" s="178">
        <v>0</v>
      </c>
      <c r="N103" s="80">
        <f t="shared" si="27"/>
        <v>0</v>
      </c>
      <c r="O103" s="178">
        <v>0</v>
      </c>
      <c r="P103" s="80">
        <f t="shared" si="28"/>
        <v>0</v>
      </c>
      <c r="Q103" s="178">
        <v>0</v>
      </c>
      <c r="R103" s="80">
        <f t="shared" si="29"/>
        <v>0</v>
      </c>
      <c r="S103" s="178">
        <v>0</v>
      </c>
      <c r="T103" s="80">
        <f t="shared" si="30"/>
        <v>0</v>
      </c>
      <c r="U103" s="178">
        <v>0</v>
      </c>
      <c r="V103" s="80">
        <f t="shared" si="31"/>
        <v>0</v>
      </c>
      <c r="X103" s="192"/>
    </row>
    <row r="104" spans="1:24" ht="12.75" customHeight="1">
      <c r="A104" s="117" t="s">
        <v>446</v>
      </c>
      <c r="B104" s="1"/>
      <c r="C104" s="178">
        <v>0</v>
      </c>
      <c r="D104" s="80">
        <f t="shared" si="22"/>
        <v>0</v>
      </c>
      <c r="E104" s="178">
        <v>0</v>
      </c>
      <c r="F104" s="80">
        <f t="shared" si="23"/>
        <v>0</v>
      </c>
      <c r="G104" s="178">
        <v>0</v>
      </c>
      <c r="H104" s="80">
        <f t="shared" si="24"/>
        <v>0</v>
      </c>
      <c r="I104" s="178">
        <v>0</v>
      </c>
      <c r="J104" s="80">
        <f t="shared" si="25"/>
        <v>0</v>
      </c>
      <c r="K104" s="178">
        <v>0</v>
      </c>
      <c r="L104" s="80">
        <f t="shared" si="26"/>
        <v>0</v>
      </c>
      <c r="M104" s="178">
        <v>0</v>
      </c>
      <c r="N104" s="80">
        <f t="shared" si="27"/>
        <v>0</v>
      </c>
      <c r="O104" s="178">
        <v>0</v>
      </c>
      <c r="P104" s="80">
        <f t="shared" si="28"/>
        <v>0</v>
      </c>
      <c r="Q104" s="178">
        <v>0</v>
      </c>
      <c r="R104" s="80">
        <f t="shared" si="29"/>
        <v>0</v>
      </c>
      <c r="S104" s="178">
        <v>0</v>
      </c>
      <c r="T104" s="80">
        <f t="shared" si="30"/>
        <v>0</v>
      </c>
      <c r="U104" s="178">
        <v>0</v>
      </c>
      <c r="V104" s="80">
        <f t="shared" si="31"/>
        <v>0</v>
      </c>
      <c r="X104" s="192"/>
    </row>
    <row r="105" spans="1:24" ht="12.75" customHeight="1">
      <c r="A105" s="1" t="s">
        <v>447</v>
      </c>
      <c r="B105" s="53"/>
      <c r="C105" s="82">
        <f>SUM(C52:C104)</f>
        <v>169004.94706922598</v>
      </c>
      <c r="D105" s="83">
        <f t="shared" ref="D105" si="32">IFERROR(C105/C$28,0)</f>
        <v>0.16983417943372911</v>
      </c>
      <c r="E105" s="82">
        <f>SUM(E52:E104)</f>
        <v>195773.10512768524</v>
      </c>
      <c r="F105" s="83">
        <f t="shared" ref="F105" si="33">IFERROR(E105/E$28,0)</f>
        <v>0.16962168226454849</v>
      </c>
      <c r="G105" s="82">
        <f>SUM(G52:G104)</f>
        <v>203405.24148533764</v>
      </c>
      <c r="H105" s="83">
        <f t="shared" ref="H105" si="34">IFERROR(G105/G$28,0)</f>
        <v>0.1694560729236648</v>
      </c>
      <c r="I105" s="82">
        <f>SUM(I52:I104)</f>
        <v>211511.16327631634</v>
      </c>
      <c r="J105" s="83">
        <f t="shared" ref="J105" si="35">IFERROR(I105/I$28,0)</f>
        <v>0.16943181071304642</v>
      </c>
      <c r="K105" s="82">
        <f>SUM(K52:K104)</f>
        <v>215738.11916236553</v>
      </c>
      <c r="L105" s="83">
        <f t="shared" ref="L105" si="36">IFERROR(K105/K$28,0)</f>
        <v>0.16942924468698173</v>
      </c>
      <c r="M105" s="82">
        <f>SUM(M52:M104)</f>
        <v>222191.34664041625</v>
      </c>
      <c r="N105" s="83">
        <f t="shared" ref="N105" si="37">IFERROR(M105/M$28,0)</f>
        <v>0.16941482168078389</v>
      </c>
      <c r="O105" s="82">
        <f>SUM(O52:O104)</f>
        <v>228844.08639005269</v>
      </c>
      <c r="P105" s="83">
        <f t="shared" ref="P105" si="38">IFERROR(O105/O$28,0)</f>
        <v>0.16940519775889379</v>
      </c>
      <c r="Q105" s="82">
        <f>SUM(Q52:Q104)</f>
        <v>235663.01465148546</v>
      </c>
      <c r="R105" s="83">
        <f t="shared" ref="R105" si="39">IFERROR(Q105/Q$28,0)</f>
        <v>0.16937185398730642</v>
      </c>
      <c r="S105" s="82">
        <f>SUM(S52:S104)</f>
        <v>242684.8239832056</v>
      </c>
      <c r="T105" s="83">
        <f t="shared" ref="T105" si="40">IFERROR(S105/S$28,0)</f>
        <v>0.16933830440995953</v>
      </c>
      <c r="U105" s="82">
        <f>SUM(U52:U104)</f>
        <v>249970.56606104263</v>
      </c>
      <c r="V105" s="83">
        <f t="shared" si="31"/>
        <v>0.16934182534509315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448</v>
      </c>
      <c r="B107" s="53"/>
      <c r="C107" s="82">
        <f>C28-C33-C46-C105</f>
        <v>280840.4019307741</v>
      </c>
      <c r="D107" s="83">
        <f>IFERROR(C107/C$28,0)</f>
        <v>0.28221836130166561</v>
      </c>
      <c r="E107" s="82">
        <f>E28-E33-E46-E105</f>
        <v>337973.61748831475</v>
      </c>
      <c r="F107" s="83">
        <f>IFERROR(E107/E$28,0)</f>
        <v>0.2928270127912273</v>
      </c>
      <c r="G107" s="82">
        <f>G28-G33-G46-G105</f>
        <v>352802.53954722243</v>
      </c>
      <c r="H107" s="83">
        <f>IFERROR(G107/G$28,0)</f>
        <v>0.29391834955972751</v>
      </c>
      <c r="I107" s="82">
        <f>I28-I33-I46-I105</f>
        <v>368785.05882928555</v>
      </c>
      <c r="J107" s="83">
        <f>IFERROR(I107/I$28,0)</f>
        <v>0.29541665467431971</v>
      </c>
      <c r="K107" s="82">
        <f>K28-K33-K46-K105</f>
        <v>374977.14364387654</v>
      </c>
      <c r="L107" s="83">
        <f>IFERROR(K107/K$28,0)</f>
        <v>0.29448710533463629</v>
      </c>
      <c r="M107" s="82">
        <f>M28-M33-M46-M105</f>
        <v>387461.92988502193</v>
      </c>
      <c r="N107" s="83">
        <f>IFERROR(M107/M$28,0)</f>
        <v>0.2954291188747098</v>
      </c>
      <c r="O107" s="82">
        <f>O28-O33-O46-O105</f>
        <v>400345.75816203281</v>
      </c>
      <c r="P107" s="83">
        <f>IFERROR(O107/O$28,0)</f>
        <v>0.29636183046380626</v>
      </c>
      <c r="Q107" s="82">
        <f>Q28-Q33-Q46-Q105</f>
        <v>414958.81318547472</v>
      </c>
      <c r="R107" s="83">
        <f>IFERROR(Q107/Q$28,0)</f>
        <v>0.2982323875536198</v>
      </c>
      <c r="S107" s="82">
        <f>S28-S33-S46-S105</f>
        <v>430063.07239614183</v>
      </c>
      <c r="T107" s="83">
        <f>IFERROR(S107/S$28,0)</f>
        <v>0.30008531342668582</v>
      </c>
      <c r="U107" s="82">
        <f>U28-U33-U46-U105</f>
        <v>444289.5482003974</v>
      </c>
      <c r="V107" s="83">
        <f>IFERROR(U107/U$28,0)</f>
        <v>0.30098264871564628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449</v>
      </c>
      <c r="B110" s="40"/>
      <c r="C110" s="86" t="str">
        <f>C50</f>
        <v>FY 2018-19</v>
      </c>
      <c r="D110" s="86" t="s">
        <v>366</v>
      </c>
      <c r="E110" s="86" t="str">
        <f>E50</f>
        <v>FY 2019-20</v>
      </c>
      <c r="F110" s="86" t="s">
        <v>366</v>
      </c>
      <c r="G110" s="86" t="str">
        <f>G50</f>
        <v>FY 2020-21</v>
      </c>
      <c r="H110" s="86" t="s">
        <v>366</v>
      </c>
      <c r="I110" s="86" t="str">
        <f>I50</f>
        <v>FY 2021-22</v>
      </c>
      <c r="J110" s="86" t="s">
        <v>366</v>
      </c>
      <c r="K110" s="86" t="str">
        <f>K50</f>
        <v>FY 2022-23</v>
      </c>
      <c r="L110" s="86" t="s">
        <v>366</v>
      </c>
      <c r="M110" s="86" t="str">
        <f>M50</f>
        <v>FY 2023-24</v>
      </c>
      <c r="N110" s="86" t="s">
        <v>366</v>
      </c>
      <c r="O110" s="86" t="str">
        <f>O50</f>
        <v>FY 2024-25</v>
      </c>
      <c r="P110" s="86" t="s">
        <v>366</v>
      </c>
      <c r="Q110" s="86" t="str">
        <f>Q50</f>
        <v>FY 2025-26</v>
      </c>
      <c r="R110" s="86" t="s">
        <v>366</v>
      </c>
      <c r="S110" s="86" t="str">
        <f>S50</f>
        <v>FY 2026-27</v>
      </c>
      <c r="T110" s="86" t="s">
        <v>366</v>
      </c>
      <c r="U110" s="86" t="str">
        <f>U50</f>
        <v>FY 2027-28</v>
      </c>
      <c r="V110" s="86" t="s">
        <v>366</v>
      </c>
    </row>
    <row r="111" spans="1:24" ht="12.75" customHeight="1">
      <c r="A111" s="2" t="s">
        <v>403</v>
      </c>
      <c r="B111" s="35"/>
      <c r="C111" s="79">
        <f>C59</f>
        <v>0</v>
      </c>
      <c r="D111" s="80">
        <f t="shared" ref="D111:D116" si="41">IFERROR(C111/C$28,0)</f>
        <v>0</v>
      </c>
      <c r="E111" s="79">
        <f>E59</f>
        <v>0</v>
      </c>
      <c r="F111" s="80">
        <f t="shared" ref="F111:F116" si="42">IFERROR(E111/E$28,0)</f>
        <v>0</v>
      </c>
      <c r="G111" s="79">
        <f>G59</f>
        <v>0</v>
      </c>
      <c r="H111" s="80">
        <f t="shared" ref="H111:H116" si="43">IFERROR(G111/G$28,0)</f>
        <v>0</v>
      </c>
      <c r="I111" s="79">
        <f>I59</f>
        <v>0</v>
      </c>
      <c r="J111" s="80">
        <f t="shared" ref="J111:J116" si="44">IFERROR(I111/I$28,0)</f>
        <v>0</v>
      </c>
      <c r="K111" s="79">
        <f>K59</f>
        <v>0</v>
      </c>
      <c r="L111" s="80">
        <f t="shared" ref="L111:L116" si="45">IFERROR(K111/K$28,0)</f>
        <v>0</v>
      </c>
      <c r="M111" s="79">
        <f>M59</f>
        <v>0</v>
      </c>
      <c r="N111" s="80">
        <f t="shared" ref="N111:N116" si="46">IFERROR(M111/M$28,0)</f>
        <v>0</v>
      </c>
      <c r="O111" s="79">
        <f>O59</f>
        <v>0</v>
      </c>
      <c r="P111" s="80">
        <f t="shared" ref="P111:P116" si="47">IFERROR(O111/O$28,0)</f>
        <v>0</v>
      </c>
      <c r="Q111" s="79">
        <f>Q59</f>
        <v>0</v>
      </c>
      <c r="R111" s="80">
        <f t="shared" ref="R111:R116" si="48">IFERROR(Q111/Q$28,0)</f>
        <v>0</v>
      </c>
      <c r="S111" s="79">
        <f>S59</f>
        <v>0</v>
      </c>
      <c r="T111" s="80">
        <f t="shared" ref="T111:T116" si="49">IFERROR(S111/S$28,0)</f>
        <v>0</v>
      </c>
      <c r="U111" s="79">
        <f>U59</f>
        <v>0</v>
      </c>
      <c r="V111" s="80">
        <f t="shared" ref="V111:V116" si="50">IFERROR(U111/U$28,0)</f>
        <v>0</v>
      </c>
    </row>
    <row r="112" spans="1:24" ht="12.75" customHeight="1">
      <c r="A112" s="2" t="s">
        <v>450</v>
      </c>
      <c r="B112" s="35"/>
      <c r="C112" s="79">
        <f>C62</f>
        <v>0</v>
      </c>
      <c r="D112" s="80">
        <f t="shared" si="41"/>
        <v>0</v>
      </c>
      <c r="E112" s="79">
        <f>E62</f>
        <v>0</v>
      </c>
      <c r="F112" s="80">
        <f t="shared" si="42"/>
        <v>0</v>
      </c>
      <c r="G112" s="79">
        <f>G62</f>
        <v>0</v>
      </c>
      <c r="H112" s="80">
        <f t="shared" si="43"/>
        <v>0</v>
      </c>
      <c r="I112" s="79">
        <f>I62</f>
        <v>0</v>
      </c>
      <c r="J112" s="80">
        <f t="shared" si="44"/>
        <v>0</v>
      </c>
      <c r="K112" s="79">
        <f>K62</f>
        <v>0</v>
      </c>
      <c r="L112" s="80">
        <f t="shared" si="45"/>
        <v>0</v>
      </c>
      <c r="M112" s="79">
        <f>M62</f>
        <v>0</v>
      </c>
      <c r="N112" s="80">
        <f t="shared" si="46"/>
        <v>0</v>
      </c>
      <c r="O112" s="79">
        <f>O62</f>
        <v>0</v>
      </c>
      <c r="P112" s="80">
        <f t="shared" si="47"/>
        <v>0</v>
      </c>
      <c r="Q112" s="79">
        <f>Q62</f>
        <v>0</v>
      </c>
      <c r="R112" s="80">
        <f t="shared" si="48"/>
        <v>0</v>
      </c>
      <c r="S112" s="79">
        <f>S62</f>
        <v>0</v>
      </c>
      <c r="T112" s="80">
        <f t="shared" si="49"/>
        <v>0</v>
      </c>
      <c r="U112" s="79">
        <f>U62</f>
        <v>0</v>
      </c>
      <c r="V112" s="80">
        <f t="shared" si="50"/>
        <v>0</v>
      </c>
    </row>
    <row r="113" spans="1:22" ht="12.75" customHeight="1">
      <c r="A113" s="117" t="s">
        <v>446</v>
      </c>
      <c r="B113" s="41"/>
      <c r="C113" s="111">
        <v>0</v>
      </c>
      <c r="D113" s="80">
        <f t="shared" si="41"/>
        <v>0</v>
      </c>
      <c r="E113" s="111">
        <v>0</v>
      </c>
      <c r="F113" s="80">
        <f t="shared" si="42"/>
        <v>0</v>
      </c>
      <c r="G113" s="111">
        <v>0</v>
      </c>
      <c r="H113" s="80">
        <f t="shared" si="43"/>
        <v>0</v>
      </c>
      <c r="I113" s="111">
        <v>0</v>
      </c>
      <c r="J113" s="80">
        <f t="shared" si="44"/>
        <v>0</v>
      </c>
      <c r="K113" s="111">
        <v>0</v>
      </c>
      <c r="L113" s="80">
        <f t="shared" si="45"/>
        <v>0</v>
      </c>
      <c r="M113" s="111">
        <v>0</v>
      </c>
      <c r="N113" s="80">
        <f t="shared" si="46"/>
        <v>0</v>
      </c>
      <c r="O113" s="111">
        <v>0</v>
      </c>
      <c r="P113" s="80">
        <f t="shared" si="47"/>
        <v>0</v>
      </c>
      <c r="Q113" s="111">
        <v>0</v>
      </c>
      <c r="R113" s="80">
        <f t="shared" si="48"/>
        <v>0</v>
      </c>
      <c r="S113" s="111">
        <v>0</v>
      </c>
      <c r="T113" s="80">
        <f t="shared" si="49"/>
        <v>0</v>
      </c>
      <c r="U113" s="111">
        <v>0</v>
      </c>
      <c r="V113" s="80">
        <f t="shared" si="50"/>
        <v>0</v>
      </c>
    </row>
    <row r="114" spans="1:22" ht="12.75" customHeight="1">
      <c r="A114" s="117" t="s">
        <v>446</v>
      </c>
      <c r="B114" s="41"/>
      <c r="C114" s="111">
        <v>0</v>
      </c>
      <c r="D114" s="80">
        <f t="shared" si="41"/>
        <v>0</v>
      </c>
      <c r="E114" s="111">
        <v>0</v>
      </c>
      <c r="F114" s="80">
        <f t="shared" si="42"/>
        <v>0</v>
      </c>
      <c r="G114" s="111">
        <v>0</v>
      </c>
      <c r="H114" s="80">
        <f t="shared" si="43"/>
        <v>0</v>
      </c>
      <c r="I114" s="111">
        <v>0</v>
      </c>
      <c r="J114" s="80">
        <f t="shared" si="44"/>
        <v>0</v>
      </c>
      <c r="K114" s="111">
        <v>0</v>
      </c>
      <c r="L114" s="80">
        <f t="shared" si="45"/>
        <v>0</v>
      </c>
      <c r="M114" s="111">
        <v>0</v>
      </c>
      <c r="N114" s="80">
        <f t="shared" si="46"/>
        <v>0</v>
      </c>
      <c r="O114" s="111">
        <v>0</v>
      </c>
      <c r="P114" s="80">
        <f t="shared" si="47"/>
        <v>0</v>
      </c>
      <c r="Q114" s="111">
        <v>0</v>
      </c>
      <c r="R114" s="80">
        <f t="shared" si="48"/>
        <v>0</v>
      </c>
      <c r="S114" s="111">
        <v>0</v>
      </c>
      <c r="T114" s="80">
        <f t="shared" si="49"/>
        <v>0</v>
      </c>
      <c r="U114" s="111">
        <v>0</v>
      </c>
      <c r="V114" s="80">
        <f t="shared" si="50"/>
        <v>0</v>
      </c>
    </row>
    <row r="115" spans="1:22" ht="12.75" customHeight="1">
      <c r="A115" s="117" t="s">
        <v>446</v>
      </c>
      <c r="B115" s="41"/>
      <c r="C115" s="112">
        <v>0</v>
      </c>
      <c r="D115" s="80">
        <f t="shared" si="41"/>
        <v>0</v>
      </c>
      <c r="E115" s="112">
        <v>0</v>
      </c>
      <c r="F115" s="80">
        <f t="shared" si="42"/>
        <v>0</v>
      </c>
      <c r="G115" s="112">
        <v>0</v>
      </c>
      <c r="H115" s="80">
        <f t="shared" si="43"/>
        <v>0</v>
      </c>
      <c r="I115" s="112">
        <v>0</v>
      </c>
      <c r="J115" s="80">
        <f t="shared" si="44"/>
        <v>0</v>
      </c>
      <c r="K115" s="112">
        <v>0</v>
      </c>
      <c r="L115" s="80">
        <f t="shared" si="45"/>
        <v>0</v>
      </c>
      <c r="M115" s="112">
        <v>0</v>
      </c>
      <c r="N115" s="80">
        <f t="shared" si="46"/>
        <v>0</v>
      </c>
      <c r="O115" s="112">
        <v>0</v>
      </c>
      <c r="P115" s="80">
        <f t="shared" si="47"/>
        <v>0</v>
      </c>
      <c r="Q115" s="112">
        <v>0</v>
      </c>
      <c r="R115" s="80">
        <f t="shared" si="48"/>
        <v>0</v>
      </c>
      <c r="S115" s="112">
        <v>0</v>
      </c>
      <c r="T115" s="80">
        <f t="shared" si="49"/>
        <v>0</v>
      </c>
      <c r="U115" s="112">
        <v>0</v>
      </c>
      <c r="V115" s="80">
        <f t="shared" si="50"/>
        <v>0</v>
      </c>
    </row>
    <row r="116" spans="1:22" ht="12.75" customHeight="1">
      <c r="A116" s="40" t="s">
        <v>451</v>
      </c>
      <c r="B116" s="42"/>
      <c r="C116" s="85">
        <f>SUM(C111:C115)</f>
        <v>0</v>
      </c>
      <c r="D116" s="83">
        <f t="shared" si="41"/>
        <v>0</v>
      </c>
      <c r="E116" s="85">
        <f>SUM(E111:E115)</f>
        <v>0</v>
      </c>
      <c r="F116" s="83">
        <f t="shared" si="42"/>
        <v>0</v>
      </c>
      <c r="G116" s="85">
        <f>SUM(G111:G115)</f>
        <v>0</v>
      </c>
      <c r="H116" s="83">
        <f t="shared" si="43"/>
        <v>0</v>
      </c>
      <c r="I116" s="85">
        <f>SUM(I111:I115)</f>
        <v>0</v>
      </c>
      <c r="J116" s="83">
        <f t="shared" si="44"/>
        <v>0</v>
      </c>
      <c r="K116" s="85">
        <f>SUM(K111:K115)</f>
        <v>0</v>
      </c>
      <c r="L116" s="83">
        <f t="shared" si="45"/>
        <v>0</v>
      </c>
      <c r="M116" s="85">
        <f>SUM(M111:M115)</f>
        <v>0</v>
      </c>
      <c r="N116" s="83">
        <f t="shared" si="46"/>
        <v>0</v>
      </c>
      <c r="O116" s="85">
        <f>SUM(O111:O115)</f>
        <v>0</v>
      </c>
      <c r="P116" s="83">
        <f t="shared" si="47"/>
        <v>0</v>
      </c>
      <c r="Q116" s="85">
        <f>SUM(Q111:Q115)</f>
        <v>0</v>
      </c>
      <c r="R116" s="83">
        <f t="shared" si="48"/>
        <v>0</v>
      </c>
      <c r="S116" s="85">
        <f>SUM(S111:S115)</f>
        <v>0</v>
      </c>
      <c r="T116" s="83">
        <f t="shared" si="49"/>
        <v>0</v>
      </c>
      <c r="U116" s="85">
        <f>SUM(U111:U115)</f>
        <v>0</v>
      </c>
      <c r="V116" s="83">
        <f t="shared" si="50"/>
        <v>0</v>
      </c>
    </row>
    <row r="118" spans="1:22" ht="12.75" customHeight="1">
      <c r="A118" s="43" t="s">
        <v>452</v>
      </c>
      <c r="B118" s="43"/>
    </row>
    <row r="119" spans="1:22" ht="12.75" customHeight="1">
      <c r="A119" s="47" t="s">
        <v>453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7" tint="0.59999389629810485"/>
  </sheetPr>
  <dimension ref="A1:X119"/>
  <sheetViews>
    <sheetView topLeftCell="A9" zoomScale="70" zoomScaleNormal="70" workbookViewId="0" xr3:uid="{23B2C380-326F-580B-8990-D38B2516F165}">
      <selection activeCell="W59" sqref="W59"/>
    </sheetView>
  </sheetViews>
  <sheetFormatPr defaultColWidth="9.140625" defaultRowHeight="12.75" customHeight="1"/>
  <cols>
    <col min="1" max="1" width="9.5703125" style="2" customWidth="1"/>
    <col min="2" max="2" width="45.5703125" style="2" customWidth="1"/>
    <col min="3" max="3" width="12.7109375" style="2" customWidth="1"/>
    <col min="4" max="4" width="8.7109375" style="2" customWidth="1"/>
    <col min="5" max="5" width="12.7109375" style="2" customWidth="1"/>
    <col min="6" max="6" width="8.7109375" style="2" customWidth="1"/>
    <col min="7" max="7" width="12.710937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355</v>
      </c>
      <c r="G2" s="33" t="s">
        <v>329</v>
      </c>
      <c r="H2" s="34"/>
      <c r="I2" s="34"/>
      <c r="V2" s="32"/>
    </row>
    <row r="3" spans="1:22" ht="12.75" customHeight="1">
      <c r="A3" s="1" t="s">
        <v>357</v>
      </c>
      <c r="D3" s="118" t="s">
        <v>358</v>
      </c>
      <c r="G3" s="115" t="str">
        <f>+G2</f>
        <v>Taco Bell (Mango)</v>
      </c>
      <c r="H3" s="116"/>
      <c r="I3" s="116"/>
      <c r="V3" s="32"/>
    </row>
    <row r="4" spans="1:22" ht="12.75" customHeight="1">
      <c r="A4" s="1" t="s">
        <v>359</v>
      </c>
      <c r="B4" s="109" t="s">
        <v>221</v>
      </c>
      <c r="D4" s="118" t="s">
        <v>360</v>
      </c>
      <c r="G4" s="115" t="s">
        <v>65</v>
      </c>
      <c r="H4" s="116"/>
      <c r="I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361</v>
      </c>
      <c r="B7" s="1"/>
    </row>
    <row r="8" spans="1:22" ht="12.75" customHeight="1">
      <c r="A8" s="2" t="s">
        <v>362</v>
      </c>
      <c r="C8" s="109">
        <v>160</v>
      </c>
      <c r="E8" s="109">
        <f>+C8</f>
        <v>160</v>
      </c>
      <c r="G8" s="109">
        <f>+E8</f>
        <v>160</v>
      </c>
      <c r="I8" s="109">
        <f>+G8</f>
        <v>160</v>
      </c>
      <c r="K8" s="109">
        <f>+I8</f>
        <v>160</v>
      </c>
      <c r="M8" s="109">
        <f>+K8</f>
        <v>160</v>
      </c>
      <c r="O8" s="109">
        <f>+M8</f>
        <v>160</v>
      </c>
      <c r="Q8" s="109">
        <f>+O8</f>
        <v>160</v>
      </c>
      <c r="S8" s="109">
        <f>+Q8</f>
        <v>160</v>
      </c>
      <c r="U8" s="109">
        <f>+S8</f>
        <v>160</v>
      </c>
    </row>
    <row r="10" spans="1:22" ht="12.75" customHeight="1">
      <c r="A10" s="2" t="s">
        <v>462</v>
      </c>
      <c r="C10" s="201">
        <f>+C14/C8/C12</f>
        <v>448.875</v>
      </c>
      <c r="D10" s="202"/>
      <c r="E10" s="201">
        <f>+E14/E8/E12</f>
        <v>463.68740795287187</v>
      </c>
      <c r="F10" s="202"/>
      <c r="G10" s="201">
        <f>+G14/G8/G12</f>
        <v>480.50458715596329</v>
      </c>
      <c r="H10" s="202"/>
      <c r="I10" s="201">
        <f>+I14/I8/I12</f>
        <v>497.26277372262768</v>
      </c>
      <c r="J10" s="202"/>
      <c r="K10" s="201">
        <f>+K14/K8/K12</f>
        <v>509.30127041742287</v>
      </c>
      <c r="L10" s="202"/>
      <c r="M10" s="201">
        <f>+M14/M8/M12</f>
        <v>522.3375451263538</v>
      </c>
      <c r="N10" s="202"/>
      <c r="O10" s="201">
        <f>+O14/O8/O12</f>
        <v>534.11131059245963</v>
      </c>
      <c r="P10" s="202"/>
      <c r="Q10" s="201">
        <f>+Q14/Q8/Q12</f>
        <v>547.99107142857144</v>
      </c>
      <c r="R10" s="202"/>
      <c r="S10" s="201">
        <f>+S14/S8/S12</f>
        <v>560.61278863232678</v>
      </c>
      <c r="T10" s="202"/>
      <c r="U10" s="201">
        <f>+U14/U8/U12</f>
        <v>575.30918727915196</v>
      </c>
    </row>
    <row r="12" spans="1:22" ht="12.75" customHeight="1">
      <c r="A12" s="2" t="s">
        <v>463</v>
      </c>
      <c r="C12" s="110">
        <v>5.4</v>
      </c>
      <c r="E12" s="110">
        <v>5.4320000000000004</v>
      </c>
      <c r="G12" s="110">
        <v>5.45</v>
      </c>
      <c r="I12" s="110">
        <v>5.48</v>
      </c>
      <c r="K12" s="110">
        <v>5.51</v>
      </c>
      <c r="M12" s="110">
        <v>5.54</v>
      </c>
      <c r="O12" s="110">
        <v>5.57</v>
      </c>
      <c r="Q12" s="110">
        <v>5.6</v>
      </c>
      <c r="S12" s="110">
        <v>5.63</v>
      </c>
      <c r="U12" s="110">
        <v>5.66</v>
      </c>
    </row>
    <row r="14" spans="1:22" ht="12.75" customHeight="1">
      <c r="A14" s="2" t="s">
        <v>464</v>
      </c>
      <c r="C14" s="198">
        <v>387828</v>
      </c>
      <c r="D14" s="12"/>
      <c r="E14" s="198">
        <v>403000</v>
      </c>
      <c r="F14" s="12"/>
      <c r="G14" s="198">
        <v>419000</v>
      </c>
      <c r="H14" s="12"/>
      <c r="I14" s="198">
        <v>436000</v>
      </c>
      <c r="J14" s="12"/>
      <c r="K14" s="198">
        <v>449000</v>
      </c>
      <c r="L14" s="12"/>
      <c r="M14" s="198">
        <v>463000</v>
      </c>
      <c r="N14" s="12"/>
      <c r="O14" s="198">
        <v>476000</v>
      </c>
      <c r="P14" s="12"/>
      <c r="Q14" s="198">
        <v>491000</v>
      </c>
      <c r="R14" s="12"/>
      <c r="S14" s="198">
        <v>505000</v>
      </c>
      <c r="T14" s="12"/>
      <c r="U14" s="198">
        <v>521000</v>
      </c>
    </row>
    <row r="15" spans="1:22" ht="12.75" customHeight="1">
      <c r="A15" s="39">
        <v>0.05</v>
      </c>
    </row>
    <row r="16" spans="1:22" ht="12.75" customHeight="1">
      <c r="B16" s="35"/>
      <c r="C16" s="86" t="str">
        <f>C6</f>
        <v>FY 2018-19</v>
      </c>
      <c r="D16" s="86" t="s">
        <v>366</v>
      </c>
      <c r="E16" s="86" t="str">
        <f>E6</f>
        <v>FY 2019-20</v>
      </c>
      <c r="F16" s="86" t="s">
        <v>366</v>
      </c>
      <c r="G16" s="86" t="str">
        <f>G6</f>
        <v>FY 2020-21</v>
      </c>
      <c r="H16" s="86" t="s">
        <v>366</v>
      </c>
      <c r="I16" s="86" t="str">
        <f>I6</f>
        <v>FY 2021-22</v>
      </c>
      <c r="J16" s="86" t="s">
        <v>366</v>
      </c>
      <c r="K16" s="86" t="str">
        <f>K6</f>
        <v>FY 2022-23</v>
      </c>
      <c r="L16" s="86" t="s">
        <v>366</v>
      </c>
      <c r="M16" s="86" t="str">
        <f>M6</f>
        <v>FY 2023-24</v>
      </c>
      <c r="N16" s="86" t="s">
        <v>366</v>
      </c>
      <c r="O16" s="86" t="str">
        <f>O6</f>
        <v>FY 2024-25</v>
      </c>
      <c r="P16" s="86" t="s">
        <v>366</v>
      </c>
      <c r="Q16" s="86" t="str">
        <f>Q6</f>
        <v>FY 2025-26</v>
      </c>
      <c r="R16" s="86" t="s">
        <v>366</v>
      </c>
      <c r="S16" s="86" t="str">
        <f>S6</f>
        <v>FY 2026-27</v>
      </c>
      <c r="T16" s="86" t="s">
        <v>366</v>
      </c>
      <c r="U16" s="86" t="str">
        <f>U6</f>
        <v>FY 2027-28</v>
      </c>
      <c r="V16" s="86" t="s">
        <v>366</v>
      </c>
    </row>
    <row r="17" spans="1:24" ht="12.75" customHeight="1">
      <c r="A17" s="1" t="s">
        <v>367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368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369</v>
      </c>
      <c r="B19" s="35"/>
      <c r="C19" s="196">
        <f>+C14-C20-C21</f>
        <v>334773.12959999999</v>
      </c>
      <c r="D19" s="80">
        <f>IFERROR(C19/C$28,0)</f>
        <v>0.86319999999999997</v>
      </c>
      <c r="E19" s="196">
        <f>+E14-E20-E21</f>
        <v>334490</v>
      </c>
      <c r="F19" s="80">
        <f>IFERROR(E19/E$28,0)</f>
        <v>0.83</v>
      </c>
      <c r="G19" s="196">
        <f>+G14-G20-G21</f>
        <v>349040.4</v>
      </c>
      <c r="H19" s="80">
        <f>IFERROR(G19/G$28,0)</f>
        <v>0.83303198090692132</v>
      </c>
      <c r="I19" s="196">
        <f>+I14-I20-I21</f>
        <v>364555.00799999997</v>
      </c>
      <c r="J19" s="80">
        <f>IFERROR(I19/I$28,0)</f>
        <v>0.83613533944954122</v>
      </c>
      <c r="K19" s="196">
        <f>+K14-K20-K21</f>
        <v>376083.30816000002</v>
      </c>
      <c r="L19" s="80">
        <f>IFERROR(K19/K$28,0)</f>
        <v>0.83760202262806238</v>
      </c>
      <c r="M19" s="196">
        <f>+M14-M20-M21</f>
        <v>386259.77432319999</v>
      </c>
      <c r="N19" s="80">
        <f>IFERROR(M19/M$28,0)</f>
        <v>0.83425437218833687</v>
      </c>
      <c r="O19" s="196">
        <f>+O14-O20-O21</f>
        <v>397668.86980966397</v>
      </c>
      <c r="P19" s="80">
        <f>IFERROR(O19/O$28,0)</f>
        <v>0.83543880212114274</v>
      </c>
      <c r="Q19" s="196">
        <f>+Q14-Q20-Q21</f>
        <v>411020.04720585723</v>
      </c>
      <c r="R19" s="80">
        <f>IFERROR(Q19/Q$28,0)</f>
        <v>0.8371080391157989</v>
      </c>
      <c r="S19" s="196">
        <f>+S14-S20-S21</f>
        <v>423357.74814997439</v>
      </c>
      <c r="T19" s="80">
        <f>IFERROR(S19/S$28,0)</f>
        <v>0.83833217455440467</v>
      </c>
      <c r="U19" s="196">
        <f>+U14-U20-U21</f>
        <v>437636.4031129739</v>
      </c>
      <c r="V19" s="80">
        <f>IFERROR(U19/U$28,0)</f>
        <v>0.83999309618613038</v>
      </c>
    </row>
    <row r="20" spans="1:24" ht="12.75" customHeight="1">
      <c r="A20" s="2" t="s">
        <v>370</v>
      </c>
      <c r="B20" s="35"/>
      <c r="C20" s="111">
        <f>+C14*12.38%</f>
        <v>48013.106400000004</v>
      </c>
      <c r="D20" s="80">
        <f>IFERROR(C20/C$28,0)</f>
        <v>0.12380000000000001</v>
      </c>
      <c r="E20" s="111">
        <f>+E14*16%</f>
        <v>64480</v>
      </c>
      <c r="F20" s="80">
        <f>IFERROR(E20/E$28,0)</f>
        <v>0.16</v>
      </c>
      <c r="G20" s="111">
        <f t="shared" ref="G20:U20" si="0">E20*1.02</f>
        <v>65769.600000000006</v>
      </c>
      <c r="H20" s="80">
        <f>IFERROR(G20/G$28,0)</f>
        <v>0.15696801909307878</v>
      </c>
      <c r="I20" s="111">
        <f t="shared" si="0"/>
        <v>67084.992000000013</v>
      </c>
      <c r="J20" s="80">
        <f>IFERROR(I20/I$28,0)</f>
        <v>0.15386466055045875</v>
      </c>
      <c r="K20" s="111">
        <f t="shared" si="0"/>
        <v>68426.691840000014</v>
      </c>
      <c r="L20" s="80">
        <f>IFERROR(K20/K$28,0)</f>
        <v>0.15239797737193767</v>
      </c>
      <c r="M20" s="111">
        <f t="shared" si="0"/>
        <v>69795.225676800022</v>
      </c>
      <c r="N20" s="80">
        <f>IFERROR(M20/M$28,0)</f>
        <v>0.15074562781166312</v>
      </c>
      <c r="O20" s="111">
        <f t="shared" si="0"/>
        <v>71191.130190336029</v>
      </c>
      <c r="P20" s="80">
        <f>IFERROR(O20/O$28,0)</f>
        <v>0.14956119787885722</v>
      </c>
      <c r="Q20" s="111">
        <f t="shared" si="0"/>
        <v>72614.952794142751</v>
      </c>
      <c r="R20" s="80">
        <f>IFERROR(Q20/Q$28,0)</f>
        <v>0.14789196088420112</v>
      </c>
      <c r="S20" s="111">
        <f t="shared" si="0"/>
        <v>74067.251850025612</v>
      </c>
      <c r="T20" s="80">
        <f>IFERROR(S20/S$28,0)</f>
        <v>0.14666782544559528</v>
      </c>
      <c r="U20" s="111">
        <f t="shared" si="0"/>
        <v>75548.596887026128</v>
      </c>
      <c r="V20" s="80">
        <f>IFERROR(U20/U$28,0)</f>
        <v>0.14500690381386971</v>
      </c>
    </row>
    <row r="21" spans="1:24" ht="12.75" customHeight="1">
      <c r="A21" s="186" t="s">
        <v>371</v>
      </c>
      <c r="B21" s="195"/>
      <c r="C21" s="111">
        <f>+C14*0.013</f>
        <v>5041.7640000000001</v>
      </c>
      <c r="D21" s="80">
        <f>IFERROR(C21/C$28,0)</f>
        <v>1.3000000000000001E-2</v>
      </c>
      <c r="E21" s="111">
        <f>+E14*0.01</f>
        <v>4030</v>
      </c>
      <c r="F21" s="80">
        <f>IFERROR(E21/E$28,0)</f>
        <v>0.01</v>
      </c>
      <c r="G21" s="111">
        <f>+G14*0.01</f>
        <v>4190</v>
      </c>
      <c r="H21" s="80">
        <f>IFERROR(G21/G$28,0)</f>
        <v>0.01</v>
      </c>
      <c r="I21" s="111">
        <f>+I14*0.01</f>
        <v>4360</v>
      </c>
      <c r="J21" s="80">
        <f>IFERROR(I21/I$28,0)</f>
        <v>0.01</v>
      </c>
      <c r="K21" s="111">
        <f>+K14*0.01</f>
        <v>4490</v>
      </c>
      <c r="L21" s="80">
        <f>IFERROR(K21/K$28,0)</f>
        <v>0.01</v>
      </c>
      <c r="M21" s="111">
        <f>+M14*0.015</f>
        <v>6945</v>
      </c>
      <c r="N21" s="80">
        <f>IFERROR(M21/M$28,0)</f>
        <v>1.4999999999999999E-2</v>
      </c>
      <c r="O21" s="111">
        <f>+O14*0.015</f>
        <v>7140</v>
      </c>
      <c r="P21" s="80">
        <f>IFERROR(O21/O$28,0)</f>
        <v>1.4999999999999999E-2</v>
      </c>
      <c r="Q21" s="111">
        <f>+Q14*0.015</f>
        <v>7365</v>
      </c>
      <c r="R21" s="80">
        <f>IFERROR(Q21/Q$28,0)</f>
        <v>1.4999999999999999E-2</v>
      </c>
      <c r="S21" s="111">
        <f>+S14*0.015</f>
        <v>7575</v>
      </c>
      <c r="T21" s="80">
        <f>IFERROR(S21/S$28,0)</f>
        <v>1.4999999999999999E-2</v>
      </c>
      <c r="U21" s="111">
        <f>+U14*0.015</f>
        <v>7815</v>
      </c>
      <c r="V21" s="80">
        <f>IFERROR(U21/U$28,0)</f>
        <v>1.4999999999999999E-2</v>
      </c>
    </row>
    <row r="22" spans="1:24" ht="12.75" customHeight="1">
      <c r="A22" s="2" t="s">
        <v>372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373</v>
      </c>
      <c r="B23" s="123"/>
      <c r="C23" s="79"/>
      <c r="D23" s="80">
        <f t="shared" ref="D23:D28" si="1">IFERROR(C23/C$28,0)</f>
        <v>0</v>
      </c>
      <c r="E23" s="79"/>
      <c r="F23" s="80">
        <f t="shared" ref="F23:F28" si="2">IFERROR(E23/E$28,0)</f>
        <v>0</v>
      </c>
      <c r="G23" s="79"/>
      <c r="H23" s="80">
        <f t="shared" ref="H23:H28" si="3">IFERROR(G23/G$28,0)</f>
        <v>0</v>
      </c>
      <c r="I23" s="79"/>
      <c r="J23" s="80">
        <f t="shared" ref="J23:J28" si="4">IFERROR(I23/I$28,0)</f>
        <v>0</v>
      </c>
      <c r="K23" s="79"/>
      <c r="L23" s="80">
        <f t="shared" ref="L23:L28" si="5">IFERROR(K23/K$28,0)</f>
        <v>0</v>
      </c>
      <c r="M23" s="79"/>
      <c r="N23" s="80">
        <f t="shared" ref="N23:N28" si="6">IFERROR(M23/M$28,0)</f>
        <v>0</v>
      </c>
      <c r="O23" s="79"/>
      <c r="P23" s="80">
        <f t="shared" ref="P23:P28" si="7">IFERROR(O23/O$28,0)</f>
        <v>0</v>
      </c>
      <c r="Q23" s="79"/>
      <c r="R23" s="80">
        <f t="shared" ref="R23:R28" si="8">IFERROR(Q23/Q$28,0)</f>
        <v>0</v>
      </c>
      <c r="S23" s="79"/>
      <c r="T23" s="80">
        <f t="shared" ref="T23:T28" si="9">IFERROR(S23/S$28,0)</f>
        <v>0</v>
      </c>
      <c r="U23" s="79"/>
      <c r="V23" s="80">
        <f t="shared" ref="V23:V28" si="10">IFERROR(U23/U$28,0)</f>
        <v>0</v>
      </c>
    </row>
    <row r="24" spans="1:24" ht="12.75" customHeight="1">
      <c r="A24" s="122" t="s">
        <v>374</v>
      </c>
      <c r="B24" s="123"/>
      <c r="C24" s="79"/>
      <c r="D24" s="80">
        <f t="shared" si="1"/>
        <v>0</v>
      </c>
      <c r="E24" s="79"/>
      <c r="F24" s="80">
        <f t="shared" si="2"/>
        <v>0</v>
      </c>
      <c r="G24" s="79"/>
      <c r="H24" s="80">
        <f t="shared" si="3"/>
        <v>0</v>
      </c>
      <c r="I24" s="79"/>
      <c r="J24" s="80">
        <f t="shared" si="4"/>
        <v>0</v>
      </c>
      <c r="K24" s="79"/>
      <c r="L24" s="80">
        <f t="shared" si="5"/>
        <v>0</v>
      </c>
      <c r="M24" s="79"/>
      <c r="N24" s="80">
        <f t="shared" si="6"/>
        <v>0</v>
      </c>
      <c r="O24" s="79"/>
      <c r="P24" s="80">
        <f t="shared" si="7"/>
        <v>0</v>
      </c>
      <c r="Q24" s="79"/>
      <c r="R24" s="80">
        <f t="shared" si="8"/>
        <v>0</v>
      </c>
      <c r="S24" s="79"/>
      <c r="T24" s="80">
        <f t="shared" si="9"/>
        <v>0</v>
      </c>
      <c r="U24" s="79"/>
      <c r="V24" s="80">
        <f t="shared" si="10"/>
        <v>0</v>
      </c>
      <c r="X24" s="79"/>
    </row>
    <row r="25" spans="1:24" ht="12.75" customHeight="1">
      <c r="A25" s="2" t="s">
        <v>375</v>
      </c>
      <c r="B25" s="35"/>
      <c r="C25" s="111"/>
      <c r="D25" s="80">
        <f t="shared" si="1"/>
        <v>0</v>
      </c>
      <c r="E25" s="111"/>
      <c r="F25" s="80">
        <f t="shared" si="2"/>
        <v>0</v>
      </c>
      <c r="G25" s="111"/>
      <c r="H25" s="80">
        <f t="shared" si="3"/>
        <v>0</v>
      </c>
      <c r="I25" s="111"/>
      <c r="J25" s="80">
        <f t="shared" si="4"/>
        <v>0</v>
      </c>
      <c r="K25" s="111"/>
      <c r="L25" s="80">
        <f t="shared" si="5"/>
        <v>0</v>
      </c>
      <c r="M25" s="111"/>
      <c r="N25" s="80">
        <f t="shared" si="6"/>
        <v>0</v>
      </c>
      <c r="O25" s="111"/>
      <c r="P25" s="80">
        <f t="shared" si="7"/>
        <v>0</v>
      </c>
      <c r="Q25" s="111"/>
      <c r="R25" s="80">
        <f t="shared" si="8"/>
        <v>0</v>
      </c>
      <c r="S25" s="111"/>
      <c r="T25" s="80">
        <f t="shared" si="9"/>
        <v>0</v>
      </c>
      <c r="U25" s="111"/>
      <c r="V25" s="80">
        <f t="shared" si="10"/>
        <v>0</v>
      </c>
      <c r="X25" s="79"/>
    </row>
    <row r="26" spans="1:24" ht="12.75" customHeight="1">
      <c r="A26" s="122" t="s">
        <v>376</v>
      </c>
      <c r="B26" s="35"/>
      <c r="C26" s="79"/>
      <c r="D26" s="80">
        <f t="shared" si="1"/>
        <v>0</v>
      </c>
      <c r="E26" s="79"/>
      <c r="F26" s="80">
        <f t="shared" si="2"/>
        <v>0</v>
      </c>
      <c r="G26" s="79"/>
      <c r="H26" s="80">
        <f t="shared" si="3"/>
        <v>0</v>
      </c>
      <c r="I26" s="79"/>
      <c r="J26" s="80">
        <f t="shared" si="4"/>
        <v>0</v>
      </c>
      <c r="K26" s="79"/>
      <c r="L26" s="80">
        <f t="shared" si="5"/>
        <v>0</v>
      </c>
      <c r="M26" s="79"/>
      <c r="N26" s="80">
        <f t="shared" si="6"/>
        <v>0</v>
      </c>
      <c r="O26" s="79"/>
      <c r="P26" s="80">
        <f t="shared" si="7"/>
        <v>0</v>
      </c>
      <c r="Q26" s="79"/>
      <c r="R26" s="80">
        <f t="shared" si="8"/>
        <v>0</v>
      </c>
      <c r="S26" s="79"/>
      <c r="T26" s="80">
        <f t="shared" si="9"/>
        <v>0</v>
      </c>
      <c r="U26" s="79"/>
      <c r="V26" s="80">
        <f t="shared" si="10"/>
        <v>0</v>
      </c>
    </row>
    <row r="27" spans="1:24" ht="12.75" customHeight="1">
      <c r="A27" s="2" t="s">
        <v>377</v>
      </c>
      <c r="B27" s="35"/>
      <c r="C27" s="112"/>
      <c r="D27" s="80">
        <f t="shared" si="1"/>
        <v>0</v>
      </c>
      <c r="E27" s="112"/>
      <c r="F27" s="80">
        <f t="shared" si="2"/>
        <v>0</v>
      </c>
      <c r="G27" s="112"/>
      <c r="H27" s="80">
        <f t="shared" si="3"/>
        <v>0</v>
      </c>
      <c r="I27" s="112"/>
      <c r="J27" s="80">
        <f t="shared" si="4"/>
        <v>0</v>
      </c>
      <c r="K27" s="112"/>
      <c r="L27" s="80">
        <f t="shared" si="5"/>
        <v>0</v>
      </c>
      <c r="M27" s="112"/>
      <c r="N27" s="80">
        <f t="shared" si="6"/>
        <v>0</v>
      </c>
      <c r="O27" s="112"/>
      <c r="P27" s="80">
        <f t="shared" si="7"/>
        <v>0</v>
      </c>
      <c r="Q27" s="112"/>
      <c r="R27" s="80">
        <f t="shared" si="8"/>
        <v>0</v>
      </c>
      <c r="S27" s="112"/>
      <c r="T27" s="80">
        <f t="shared" si="9"/>
        <v>0</v>
      </c>
      <c r="U27" s="112"/>
      <c r="V27" s="80">
        <f t="shared" si="10"/>
        <v>0</v>
      </c>
    </row>
    <row r="28" spans="1:24" ht="12.75" customHeight="1">
      <c r="A28" s="1" t="s">
        <v>378</v>
      </c>
      <c r="B28" s="53"/>
      <c r="C28" s="82">
        <f>SUM(C19:C27)</f>
        <v>387828</v>
      </c>
      <c r="D28" s="83">
        <f t="shared" si="1"/>
        <v>1</v>
      </c>
      <c r="E28" s="82">
        <f>SUM(E19:E27)</f>
        <v>403000</v>
      </c>
      <c r="F28" s="83">
        <f t="shared" si="2"/>
        <v>1</v>
      </c>
      <c r="G28" s="82">
        <f>SUM(G19:G27)</f>
        <v>419000</v>
      </c>
      <c r="H28" s="83">
        <f t="shared" si="3"/>
        <v>1</v>
      </c>
      <c r="I28" s="82">
        <f>SUM(I19:I27)</f>
        <v>436000</v>
      </c>
      <c r="J28" s="83">
        <f t="shared" si="4"/>
        <v>1</v>
      </c>
      <c r="K28" s="82">
        <f>SUM(K19:K27)</f>
        <v>449000</v>
      </c>
      <c r="L28" s="83">
        <f t="shared" si="5"/>
        <v>1</v>
      </c>
      <c r="M28" s="82">
        <f>SUM(M19:M27)</f>
        <v>463000</v>
      </c>
      <c r="N28" s="83">
        <f t="shared" si="6"/>
        <v>1</v>
      </c>
      <c r="O28" s="82">
        <f>SUM(O19:O27)</f>
        <v>476000</v>
      </c>
      <c r="P28" s="83">
        <f t="shared" si="7"/>
        <v>1</v>
      </c>
      <c r="Q28" s="82">
        <f>SUM(Q19:Q27)</f>
        <v>491000</v>
      </c>
      <c r="R28" s="83">
        <f t="shared" si="8"/>
        <v>1</v>
      </c>
      <c r="S28" s="82">
        <f>SUM(S19:S27)</f>
        <v>505000</v>
      </c>
      <c r="T28" s="83">
        <f t="shared" si="9"/>
        <v>1</v>
      </c>
      <c r="U28" s="82">
        <f>SUM(U19:U27)</f>
        <v>521000</v>
      </c>
      <c r="V28" s="83">
        <f t="shared" si="10"/>
        <v>1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379</v>
      </c>
      <c r="B30" s="53"/>
      <c r="C30" s="197">
        <v>0.33</v>
      </c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380</v>
      </c>
      <c r="B31" s="35"/>
      <c r="C31" s="178">
        <f>$C$30*C14</f>
        <v>127983.24</v>
      </c>
      <c r="D31" s="80">
        <f>IFERROR(C31/C$28,0)</f>
        <v>0.33</v>
      </c>
      <c r="E31" s="178">
        <f>$C$30*E14</f>
        <v>132990</v>
      </c>
      <c r="F31" s="80">
        <f>IFERROR(E31/E$28,0)</f>
        <v>0.33</v>
      </c>
      <c r="G31" s="178">
        <f>$C$30*G14</f>
        <v>138270</v>
      </c>
      <c r="H31" s="80">
        <f>IFERROR(G31/G$28,0)</f>
        <v>0.33</v>
      </c>
      <c r="I31" s="178">
        <f>$C$30*I14</f>
        <v>143880</v>
      </c>
      <c r="J31" s="80">
        <f>IFERROR(I31/I$28,0)</f>
        <v>0.33</v>
      </c>
      <c r="K31" s="178">
        <f>$C$30*K14</f>
        <v>148170</v>
      </c>
      <c r="L31" s="80">
        <f>IFERROR(K31/K$28,0)</f>
        <v>0.33</v>
      </c>
      <c r="M31" s="178">
        <f>$C$30*M14</f>
        <v>152790</v>
      </c>
      <c r="N31" s="80">
        <f>IFERROR(M31/M$28,0)</f>
        <v>0.33</v>
      </c>
      <c r="O31" s="178">
        <f>$C$30*O14</f>
        <v>157080</v>
      </c>
      <c r="P31" s="80">
        <f>IFERROR(O31/O$28,0)</f>
        <v>0.33</v>
      </c>
      <c r="Q31" s="178">
        <f>$C$30*Q14</f>
        <v>162030</v>
      </c>
      <c r="R31" s="80">
        <f>IFERROR(Q31/Q$28,0)</f>
        <v>0.33</v>
      </c>
      <c r="S31" s="178">
        <f>$C$30*S14</f>
        <v>166650</v>
      </c>
      <c r="T31" s="80">
        <f>IFERROR(S31/S$28,0)</f>
        <v>0.33</v>
      </c>
      <c r="U31" s="178">
        <f>$C$30*U14</f>
        <v>171930</v>
      </c>
      <c r="V31" s="80">
        <f>IFERROR(U31/U$28,0)</f>
        <v>0.33</v>
      </c>
    </row>
    <row r="32" spans="1:24" ht="12.75" customHeight="1">
      <c r="A32" s="8" t="s">
        <v>381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382</v>
      </c>
      <c r="B33" s="53"/>
      <c r="C33" s="82">
        <f>SUM(C31:C32)</f>
        <v>127983.24</v>
      </c>
      <c r="D33" s="83">
        <f>IFERROR(C33/C$28,0)</f>
        <v>0.33</v>
      </c>
      <c r="E33" s="82">
        <f>SUM(E31:E32)</f>
        <v>132990</v>
      </c>
      <c r="F33" s="83">
        <f>IFERROR(E33/E$28,0)</f>
        <v>0.33</v>
      </c>
      <c r="G33" s="82">
        <f>SUM(G31:G32)</f>
        <v>138270</v>
      </c>
      <c r="H33" s="83">
        <f>IFERROR(G33/G$28,0)</f>
        <v>0.33</v>
      </c>
      <c r="I33" s="82">
        <f>SUM(I31:I32)</f>
        <v>143880</v>
      </c>
      <c r="J33" s="83">
        <f>IFERROR(I33/I$28,0)</f>
        <v>0.33</v>
      </c>
      <c r="K33" s="82">
        <f>SUM(K31:K32)</f>
        <v>148170</v>
      </c>
      <c r="L33" s="83">
        <f>IFERROR(K33/K$28,0)</f>
        <v>0.33</v>
      </c>
      <c r="M33" s="82">
        <f>SUM(M31:M32)</f>
        <v>152790</v>
      </c>
      <c r="N33" s="83">
        <f>IFERROR(M33/M$28,0)</f>
        <v>0.33</v>
      </c>
      <c r="O33" s="82">
        <f>SUM(O31:O32)</f>
        <v>157080</v>
      </c>
      <c r="P33" s="83">
        <f>IFERROR(O33/O$28,0)</f>
        <v>0.33</v>
      </c>
      <c r="Q33" s="82">
        <f>SUM(Q31:Q32)</f>
        <v>162030</v>
      </c>
      <c r="R33" s="83">
        <f>IFERROR(Q33/Q$28,0)</f>
        <v>0.33</v>
      </c>
      <c r="S33" s="82">
        <f>SUM(S31:S32)</f>
        <v>166650</v>
      </c>
      <c r="T33" s="83">
        <f>IFERROR(S33/S$28,0)</f>
        <v>0.33</v>
      </c>
      <c r="U33" s="82">
        <f>SUM(U31:U32)</f>
        <v>171930</v>
      </c>
      <c r="V33" s="83">
        <f>IFERROR(U33/U$28,0)</f>
        <v>0.33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383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384</v>
      </c>
      <c r="B36" s="35"/>
      <c r="C36" s="178"/>
      <c r="D36" s="80">
        <f t="shared" ref="D36:D46" si="11">IFERROR(C36/C$28,0)</f>
        <v>0</v>
      </c>
      <c r="E36" s="178"/>
      <c r="F36" s="80">
        <f t="shared" ref="F36:F46" si="12">IFERROR(E36/E$28,0)</f>
        <v>0</v>
      </c>
      <c r="G36" s="178"/>
      <c r="H36" s="80">
        <f t="shared" ref="H36:H46" si="13">IFERROR(G36/G$28,0)</f>
        <v>0</v>
      </c>
      <c r="I36" s="178"/>
      <c r="J36" s="80">
        <f t="shared" ref="J36:J46" si="14">IFERROR(I36/I$28,0)</f>
        <v>0</v>
      </c>
      <c r="K36" s="178"/>
      <c r="L36" s="80">
        <f t="shared" ref="L36:L46" si="15">IFERROR(K36/K$28,0)</f>
        <v>0</v>
      </c>
      <c r="M36" s="178"/>
      <c r="N36" s="80">
        <f t="shared" ref="N36:N46" si="16">IFERROR(M36/M$28,0)</f>
        <v>0</v>
      </c>
      <c r="O36" s="178"/>
      <c r="P36" s="80">
        <f t="shared" ref="P36:P46" si="17">IFERROR(O36/O$28,0)</f>
        <v>0</v>
      </c>
      <c r="Q36" s="178"/>
      <c r="R36" s="80">
        <f t="shared" ref="R36:R46" si="18">IFERROR(Q36/Q$28,0)</f>
        <v>0</v>
      </c>
      <c r="S36" s="178"/>
      <c r="T36" s="80">
        <f t="shared" ref="T36:T46" si="19">IFERROR(S36/S$28,0)</f>
        <v>0</v>
      </c>
      <c r="U36" s="178"/>
      <c r="V36" s="80">
        <f t="shared" ref="V36:V46" si="20">IFERROR(U36/U$28,0)</f>
        <v>0</v>
      </c>
    </row>
    <row r="37" spans="1:22" ht="12.75" customHeight="1">
      <c r="A37" s="2" t="s">
        <v>385</v>
      </c>
      <c r="B37" s="35"/>
      <c r="C37" s="178">
        <v>110467</v>
      </c>
      <c r="D37" s="80">
        <f t="shared" si="11"/>
        <v>0.2848350299617356</v>
      </c>
      <c r="E37" s="178">
        <f>+C37*1.12</f>
        <v>123723.04000000001</v>
      </c>
      <c r="F37" s="80">
        <f t="shared" si="12"/>
        <v>0.30700506203473948</v>
      </c>
      <c r="G37" s="178">
        <f>+E37*1.035</f>
        <v>128053.34639999999</v>
      </c>
      <c r="H37" s="80">
        <f t="shared" si="13"/>
        <v>0.3056165785202864</v>
      </c>
      <c r="I37" s="178">
        <f>+G37*1.032</f>
        <v>132151.05348480001</v>
      </c>
      <c r="J37" s="80">
        <f t="shared" si="14"/>
        <v>0.30309874652477065</v>
      </c>
      <c r="K37" s="178">
        <f>+I37*1.025</f>
        <v>135454.82982191999</v>
      </c>
      <c r="L37" s="80">
        <f t="shared" si="15"/>
        <v>0.30168113546084629</v>
      </c>
      <c r="M37" s="178">
        <f>+K37*1.025</f>
        <v>138841.20056746798</v>
      </c>
      <c r="N37" s="80">
        <f t="shared" si="16"/>
        <v>0.29987300338546002</v>
      </c>
      <c r="O37" s="178">
        <f>+M37*1.025</f>
        <v>142312.23058165467</v>
      </c>
      <c r="P37" s="80">
        <f t="shared" si="17"/>
        <v>0.2989752743312073</v>
      </c>
      <c r="Q37" s="178">
        <f>+O37*1.025</f>
        <v>145870.03634619602</v>
      </c>
      <c r="R37" s="80">
        <f t="shared" si="18"/>
        <v>0.29708765039958457</v>
      </c>
      <c r="S37" s="178">
        <f>+Q37*1.02</f>
        <v>148787.43707311995</v>
      </c>
      <c r="T37" s="80">
        <f t="shared" si="19"/>
        <v>0.29462858826360383</v>
      </c>
      <c r="U37" s="178">
        <f>+S37*1.025</f>
        <v>152507.12299994793</v>
      </c>
      <c r="V37" s="80">
        <f t="shared" si="20"/>
        <v>0.29272000575805746</v>
      </c>
    </row>
    <row r="38" spans="1:22" ht="12.75" customHeight="1">
      <c r="A38" s="2" t="s">
        <v>386</v>
      </c>
      <c r="B38" s="35"/>
      <c r="C38" s="178">
        <v>13255</v>
      </c>
      <c r="D38" s="80">
        <f t="shared" si="11"/>
        <v>3.4177521994286128E-2</v>
      </c>
      <c r="E38" s="178">
        <f t="shared" ref="E38:E39" si="21">+C38*1.112</f>
        <v>14739.560000000001</v>
      </c>
      <c r="F38" s="80">
        <f t="shared" si="12"/>
        <v>3.6574590570719608E-2</v>
      </c>
      <c r="G38" s="178">
        <f>+E38*1.035</f>
        <v>15255.444600000001</v>
      </c>
      <c r="H38" s="80">
        <f t="shared" si="13"/>
        <v>3.6409175656324587E-2</v>
      </c>
      <c r="I38" s="178">
        <f>+G38*1.032</f>
        <v>15743.618827200002</v>
      </c>
      <c r="J38" s="80">
        <f t="shared" si="14"/>
        <v>3.6109217493577983E-2</v>
      </c>
      <c r="K38" s="178">
        <f>+I38*1.025</f>
        <v>16137.209297880001</v>
      </c>
      <c r="L38" s="80">
        <f t="shared" si="15"/>
        <v>3.5940332511982184E-2</v>
      </c>
      <c r="M38" s="178">
        <f>+K38*1.025</f>
        <v>16540.639530327</v>
      </c>
      <c r="N38" s="80">
        <f t="shared" si="16"/>
        <v>3.5724923391634987E-2</v>
      </c>
      <c r="O38" s="178">
        <f>+M38*1.025</f>
        <v>16954.155518585172</v>
      </c>
      <c r="P38" s="80">
        <f t="shared" si="17"/>
        <v>3.5617973778540278E-2</v>
      </c>
      <c r="Q38" s="178">
        <f>+O38*1.025</f>
        <v>17378.009406549801</v>
      </c>
      <c r="R38" s="80">
        <f t="shared" si="18"/>
        <v>3.5393094514358049E-2</v>
      </c>
      <c r="S38" s="178">
        <f>+Q38*1.02</f>
        <v>17725.569594680797</v>
      </c>
      <c r="T38" s="80">
        <f t="shared" si="19"/>
        <v>3.5100137811249106E-2</v>
      </c>
      <c r="U38" s="178">
        <f>+S38*1.025</f>
        <v>18168.708834547815</v>
      </c>
      <c r="V38" s="80">
        <f t="shared" si="20"/>
        <v>3.4872761678594655E-2</v>
      </c>
    </row>
    <row r="39" spans="1:22" ht="12.75" customHeight="1">
      <c r="A39" s="2" t="s">
        <v>387</v>
      </c>
      <c r="B39" s="35"/>
      <c r="C39" s="178">
        <v>19643</v>
      </c>
      <c r="D39" s="80">
        <f t="shared" si="11"/>
        <v>5.0648741194550165E-2</v>
      </c>
      <c r="E39" s="178">
        <f t="shared" si="21"/>
        <v>21843.016000000003</v>
      </c>
      <c r="F39" s="80">
        <f t="shared" si="12"/>
        <v>5.4201032258064524E-2</v>
      </c>
      <c r="G39" s="178">
        <f>+E39*1.035</f>
        <v>22607.521560000001</v>
      </c>
      <c r="H39" s="80">
        <f t="shared" si="13"/>
        <v>5.3955898711217185E-2</v>
      </c>
      <c r="I39" s="178">
        <f>+G39*1.032</f>
        <v>23330.962249920001</v>
      </c>
      <c r="J39" s="80">
        <f t="shared" si="14"/>
        <v>5.3511381307155964E-2</v>
      </c>
      <c r="K39" s="178">
        <f>+I39*1.025</f>
        <v>23914.236306168001</v>
      </c>
      <c r="L39" s="80">
        <f t="shared" si="15"/>
        <v>5.3261105358948777E-2</v>
      </c>
      <c r="M39" s="178">
        <f>+K39*1.025</f>
        <v>24512.092213822198</v>
      </c>
      <c r="N39" s="80">
        <f t="shared" si="16"/>
        <v>5.2941883831149457E-2</v>
      </c>
      <c r="O39" s="178">
        <f>+M39*1.025</f>
        <v>25124.894519167752</v>
      </c>
      <c r="P39" s="80">
        <f t="shared" si="17"/>
        <v>5.2783391846991073E-2</v>
      </c>
      <c r="Q39" s="178">
        <f>+O39*1.025</f>
        <v>25753.016882146945</v>
      </c>
      <c r="R39" s="80">
        <f t="shared" si="18"/>
        <v>5.2450136216185224E-2</v>
      </c>
      <c r="S39" s="178">
        <f>+Q39*1.02</f>
        <v>26268.077219789884</v>
      </c>
      <c r="T39" s="80">
        <f t="shared" si="19"/>
        <v>5.2015994494633434E-2</v>
      </c>
      <c r="U39" s="178">
        <f>+S39*1.025</f>
        <v>26924.77915028463</v>
      </c>
      <c r="V39" s="80">
        <f t="shared" si="20"/>
        <v>5.1679038676170116E-2</v>
      </c>
    </row>
    <row r="40" spans="1:22" ht="12.75" customHeight="1">
      <c r="A40" s="2" t="s">
        <v>388</v>
      </c>
      <c r="B40" s="35"/>
      <c r="C40" s="178">
        <f>C36*0.124</f>
        <v>0</v>
      </c>
      <c r="D40" s="80">
        <f t="shared" si="11"/>
        <v>0</v>
      </c>
      <c r="E40" s="178">
        <f>E36*0.124</f>
        <v>0</v>
      </c>
      <c r="F40" s="80">
        <f t="shared" si="12"/>
        <v>0</v>
      </c>
      <c r="G40" s="178">
        <f>G36*0.124</f>
        <v>0</v>
      </c>
      <c r="H40" s="80">
        <f t="shared" si="13"/>
        <v>0</v>
      </c>
      <c r="I40" s="178">
        <f>I36*0.124</f>
        <v>0</v>
      </c>
      <c r="J40" s="80">
        <f t="shared" si="14"/>
        <v>0</v>
      </c>
      <c r="K40" s="178">
        <f>K36*0.124</f>
        <v>0</v>
      </c>
      <c r="L40" s="80">
        <f t="shared" si="15"/>
        <v>0</v>
      </c>
      <c r="M40" s="178">
        <f>M36*0.124</f>
        <v>0</v>
      </c>
      <c r="N40" s="80">
        <f t="shared" si="16"/>
        <v>0</v>
      </c>
      <c r="O40" s="178">
        <f>O36*0.124</f>
        <v>0</v>
      </c>
      <c r="P40" s="80">
        <f t="shared" si="17"/>
        <v>0</v>
      </c>
      <c r="Q40" s="178">
        <f>Q36*0.124</f>
        <v>0</v>
      </c>
      <c r="R40" s="80">
        <f t="shared" si="18"/>
        <v>0</v>
      </c>
      <c r="S40" s="178">
        <f>S36*0.124</f>
        <v>0</v>
      </c>
      <c r="T40" s="80">
        <f t="shared" si="19"/>
        <v>0</v>
      </c>
      <c r="U40" s="178">
        <f>U36*0.124</f>
        <v>0</v>
      </c>
      <c r="V40" s="80">
        <f t="shared" si="20"/>
        <v>0</v>
      </c>
    </row>
    <row r="41" spans="1:22" ht="12.75" customHeight="1">
      <c r="A41" s="2" t="s">
        <v>389</v>
      </c>
      <c r="B41" s="35"/>
      <c r="C41" s="178">
        <f>C37*0.124</f>
        <v>13697.907999999999</v>
      </c>
      <c r="D41" s="80">
        <f t="shared" si="11"/>
        <v>3.5319543715255218E-2</v>
      </c>
      <c r="E41" s="178">
        <f>E37*0.124</f>
        <v>15341.65696</v>
      </c>
      <c r="F41" s="80">
        <f t="shared" si="12"/>
        <v>3.8068627692307691E-2</v>
      </c>
      <c r="G41" s="178">
        <f>G37*0.124</f>
        <v>15878.614953599999</v>
      </c>
      <c r="H41" s="80">
        <f t="shared" si="13"/>
        <v>3.7896455736515511E-2</v>
      </c>
      <c r="I41" s="178">
        <f>I37*0.124</f>
        <v>16386.730632115203</v>
      </c>
      <c r="J41" s="80">
        <f t="shared" si="14"/>
        <v>3.7584244569071563E-2</v>
      </c>
      <c r="K41" s="178">
        <f>K37*0.124</f>
        <v>16796.398897918079</v>
      </c>
      <c r="L41" s="80">
        <f t="shared" si="15"/>
        <v>3.7408460797144945E-2</v>
      </c>
      <c r="M41" s="178">
        <f>M37*0.124</f>
        <v>17216.308870366029</v>
      </c>
      <c r="N41" s="80">
        <f t="shared" si="16"/>
        <v>3.7184252419797038E-2</v>
      </c>
      <c r="O41" s="178">
        <f>O37*0.124</f>
        <v>17646.71659212518</v>
      </c>
      <c r="P41" s="80">
        <f t="shared" si="17"/>
        <v>3.7072934017069709E-2</v>
      </c>
      <c r="Q41" s="178">
        <f>Q37*0.124</f>
        <v>18087.884506928305</v>
      </c>
      <c r="R41" s="80">
        <f t="shared" si="18"/>
        <v>3.6838868649548481E-2</v>
      </c>
      <c r="S41" s="178">
        <f>S37*0.124</f>
        <v>18449.642197066874</v>
      </c>
      <c r="T41" s="80">
        <f t="shared" si="19"/>
        <v>3.6533944944686883E-2</v>
      </c>
      <c r="U41" s="178">
        <f>U37*0.124</f>
        <v>18910.883251993542</v>
      </c>
      <c r="V41" s="80">
        <f t="shared" si="20"/>
        <v>3.6297280713999118E-2</v>
      </c>
    </row>
    <row r="42" spans="1:22" ht="12.75" customHeight="1">
      <c r="A42" s="2" t="s">
        <v>390</v>
      </c>
      <c r="B42" s="35"/>
      <c r="C42" s="178"/>
      <c r="D42" s="80">
        <f t="shared" si="11"/>
        <v>0</v>
      </c>
      <c r="E42" s="178"/>
      <c r="F42" s="80">
        <f t="shared" si="12"/>
        <v>0</v>
      </c>
      <c r="G42" s="178"/>
      <c r="H42" s="80">
        <f t="shared" si="13"/>
        <v>0</v>
      </c>
      <c r="I42" s="178"/>
      <c r="J42" s="80">
        <f t="shared" si="14"/>
        <v>0</v>
      </c>
      <c r="K42" s="178"/>
      <c r="L42" s="80">
        <f t="shared" si="15"/>
        <v>0</v>
      </c>
      <c r="M42" s="178"/>
      <c r="N42" s="80">
        <f t="shared" si="16"/>
        <v>0</v>
      </c>
      <c r="O42" s="178"/>
      <c r="P42" s="80">
        <f t="shared" si="17"/>
        <v>0</v>
      </c>
      <c r="Q42" s="178"/>
      <c r="R42" s="80">
        <f t="shared" si="18"/>
        <v>0</v>
      </c>
      <c r="S42" s="178"/>
      <c r="T42" s="80">
        <f t="shared" si="19"/>
        <v>0</v>
      </c>
      <c r="U42" s="178"/>
      <c r="V42" s="80">
        <f t="shared" si="20"/>
        <v>0</v>
      </c>
    </row>
    <row r="43" spans="1:22" ht="12.75" customHeight="1">
      <c r="A43" s="2" t="s">
        <v>391</v>
      </c>
      <c r="B43" s="35"/>
      <c r="C43" s="178"/>
      <c r="D43" s="80">
        <f t="shared" si="11"/>
        <v>0</v>
      </c>
      <c r="E43" s="178"/>
      <c r="F43" s="80">
        <f t="shared" si="12"/>
        <v>0</v>
      </c>
      <c r="G43" s="178"/>
      <c r="H43" s="80">
        <f t="shared" si="13"/>
        <v>0</v>
      </c>
      <c r="I43" s="178"/>
      <c r="J43" s="80">
        <f t="shared" si="14"/>
        <v>0</v>
      </c>
      <c r="K43" s="178"/>
      <c r="L43" s="80">
        <f t="shared" si="15"/>
        <v>0</v>
      </c>
      <c r="M43" s="178"/>
      <c r="N43" s="80">
        <f t="shared" si="16"/>
        <v>0</v>
      </c>
      <c r="O43" s="178"/>
      <c r="P43" s="80">
        <f t="shared" si="17"/>
        <v>0</v>
      </c>
      <c r="Q43" s="178"/>
      <c r="R43" s="80">
        <f t="shared" si="18"/>
        <v>0</v>
      </c>
      <c r="S43" s="178"/>
      <c r="T43" s="80">
        <f t="shared" si="19"/>
        <v>0</v>
      </c>
      <c r="U43" s="178"/>
      <c r="V43" s="80">
        <f t="shared" si="20"/>
        <v>0</v>
      </c>
    </row>
    <row r="44" spans="1:22" ht="12.75" customHeight="1">
      <c r="A44" s="2" t="s">
        <v>392</v>
      </c>
      <c r="B44" s="35"/>
      <c r="C44" s="178"/>
      <c r="D44" s="80">
        <f t="shared" si="11"/>
        <v>0</v>
      </c>
      <c r="E44" s="178"/>
      <c r="F44" s="80">
        <f t="shared" si="12"/>
        <v>0</v>
      </c>
      <c r="G44" s="178"/>
      <c r="H44" s="80">
        <f t="shared" si="13"/>
        <v>0</v>
      </c>
      <c r="I44" s="178"/>
      <c r="J44" s="80">
        <f t="shared" si="14"/>
        <v>0</v>
      </c>
      <c r="K44" s="178"/>
      <c r="L44" s="80">
        <f t="shared" si="15"/>
        <v>0</v>
      </c>
      <c r="M44" s="178"/>
      <c r="N44" s="80">
        <f t="shared" si="16"/>
        <v>0</v>
      </c>
      <c r="O44" s="178"/>
      <c r="P44" s="80">
        <f t="shared" si="17"/>
        <v>0</v>
      </c>
      <c r="Q44" s="178"/>
      <c r="R44" s="80">
        <f t="shared" si="18"/>
        <v>0</v>
      </c>
      <c r="S44" s="178"/>
      <c r="T44" s="80">
        <f t="shared" si="19"/>
        <v>0</v>
      </c>
      <c r="U44" s="178"/>
      <c r="V44" s="80">
        <f t="shared" si="20"/>
        <v>0</v>
      </c>
    </row>
    <row r="45" spans="1:22" ht="12.75" customHeight="1">
      <c r="A45" s="2" t="s">
        <v>393</v>
      </c>
      <c r="B45" s="35"/>
      <c r="C45" s="181">
        <f>SUM(C36:C39)*0.094</f>
        <v>13476.31</v>
      </c>
      <c r="D45" s="80">
        <f t="shared" si="11"/>
        <v>3.4748161556153755E-2</v>
      </c>
      <c r="E45" s="181">
        <f>SUM(E36:E39)*0.094</f>
        <v>15068.727904000001</v>
      </c>
      <c r="F45" s="80">
        <f t="shared" si="12"/>
        <v>3.7391384377171218E-2</v>
      </c>
      <c r="G45" s="181">
        <f>SUM(G36:G39)*0.094</f>
        <v>15596.13338064</v>
      </c>
      <c r="H45" s="80">
        <f t="shared" si="13"/>
        <v>3.7222275371455844E-2</v>
      </c>
      <c r="I45" s="181">
        <f>SUM(I36:I39)*0.094</f>
        <v>16095.209648820481</v>
      </c>
      <c r="J45" s="80">
        <f t="shared" si="14"/>
        <v>3.6915618460597432E-2</v>
      </c>
      <c r="K45" s="181">
        <f>SUM(K36:K39)*0.094</f>
        <v>16497.589890040992</v>
      </c>
      <c r="L45" s="80">
        <f t="shared" si="15"/>
        <v>3.6742961893187064E-2</v>
      </c>
      <c r="M45" s="181">
        <f>SUM(M36:M39)*0.094</f>
        <v>16910.029637292017</v>
      </c>
      <c r="N45" s="80">
        <f t="shared" si="16"/>
        <v>3.6522742197174982E-2</v>
      </c>
      <c r="O45" s="181">
        <f>SUM(O36:O39)*0.094</f>
        <v>17332.780378224314</v>
      </c>
      <c r="P45" s="80">
        <f t="shared" si="17"/>
        <v>3.6413404155933429E-2</v>
      </c>
      <c r="Q45" s="181">
        <f>SUM(Q36:Q39)*0.094</f>
        <v>17766.09988767992</v>
      </c>
      <c r="R45" s="80">
        <f t="shared" si="18"/>
        <v>3.618350282623202E-2</v>
      </c>
      <c r="S45" s="181">
        <f>SUM(S36:S39)*0.094</f>
        <v>18121.421885433519</v>
      </c>
      <c r="T45" s="80">
        <f t="shared" si="19"/>
        <v>3.5884003733531719E-2</v>
      </c>
      <c r="U45" s="181">
        <f>SUM(U36:U39)*0.094</f>
        <v>18574.457432569354</v>
      </c>
      <c r="V45" s="80">
        <f t="shared" si="20"/>
        <v>3.5651549774605287E-2</v>
      </c>
    </row>
    <row r="46" spans="1:22" ht="12.75" customHeight="1">
      <c r="A46" s="1" t="s">
        <v>394</v>
      </c>
      <c r="B46" s="53"/>
      <c r="C46" s="82">
        <f>SUM(C36:C45)</f>
        <v>170539.21799999999</v>
      </c>
      <c r="D46" s="83">
        <f t="shared" si="11"/>
        <v>0.43972899842198088</v>
      </c>
      <c r="E46" s="82">
        <f>SUM(E36:E45)</f>
        <v>190716.000864</v>
      </c>
      <c r="F46" s="83">
        <f t="shared" si="12"/>
        <v>0.47324069693300247</v>
      </c>
      <c r="G46" s="82">
        <f>SUM(G36:G45)</f>
        <v>197391.06089423998</v>
      </c>
      <c r="H46" s="83">
        <f t="shared" si="13"/>
        <v>0.47110038399579951</v>
      </c>
      <c r="I46" s="82">
        <f>SUM(I36:I45)</f>
        <v>203707.57484285571</v>
      </c>
      <c r="J46" s="83">
        <f t="shared" si="14"/>
        <v>0.46721920835517367</v>
      </c>
      <c r="K46" s="82">
        <f>SUM(K36:K45)</f>
        <v>208800.26421392706</v>
      </c>
      <c r="L46" s="83">
        <f t="shared" si="15"/>
        <v>0.46503399602210926</v>
      </c>
      <c r="M46" s="82">
        <f>SUM(M36:M45)</f>
        <v>214020.27081927523</v>
      </c>
      <c r="N46" s="83">
        <f t="shared" si="16"/>
        <v>0.46224680522521649</v>
      </c>
      <c r="O46" s="82">
        <f>SUM(O36:O45)</f>
        <v>219370.77758975711</v>
      </c>
      <c r="P46" s="83">
        <f t="shared" si="17"/>
        <v>0.46086297812974181</v>
      </c>
      <c r="Q46" s="82">
        <f>SUM(Q36:Q45)</f>
        <v>224855.04702950097</v>
      </c>
      <c r="R46" s="83">
        <f t="shared" si="18"/>
        <v>0.4579532526059083</v>
      </c>
      <c r="S46" s="82">
        <f>SUM(S36:S45)</f>
        <v>229352.147970091</v>
      </c>
      <c r="T46" s="83">
        <f t="shared" si="19"/>
        <v>0.45416266924770493</v>
      </c>
      <c r="U46" s="82">
        <f>SUM(U36:U45)</f>
        <v>235085.95166934325</v>
      </c>
      <c r="V46" s="83">
        <f t="shared" si="20"/>
        <v>0.45122063660142658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366</v>
      </c>
      <c r="E50" s="86" t="str">
        <f>E6</f>
        <v>FY 2019-20</v>
      </c>
      <c r="F50" s="86" t="s">
        <v>366</v>
      </c>
      <c r="G50" s="86" t="str">
        <f>G6</f>
        <v>FY 2020-21</v>
      </c>
      <c r="H50" s="86" t="s">
        <v>366</v>
      </c>
      <c r="I50" s="86" t="str">
        <f>I6</f>
        <v>FY 2021-22</v>
      </c>
      <c r="J50" s="86" t="s">
        <v>366</v>
      </c>
      <c r="K50" s="86" t="str">
        <f>K6</f>
        <v>FY 2022-23</v>
      </c>
      <c r="L50" s="86" t="s">
        <v>366</v>
      </c>
      <c r="M50" s="86" t="str">
        <f>M6</f>
        <v>FY 2023-24</v>
      </c>
      <c r="N50" s="86" t="s">
        <v>366</v>
      </c>
      <c r="O50" s="86" t="str">
        <f>O6</f>
        <v>FY 2024-25</v>
      </c>
      <c r="P50" s="86" t="s">
        <v>366</v>
      </c>
      <c r="Q50" s="86" t="str">
        <f>Q6</f>
        <v>FY 2025-26</v>
      </c>
      <c r="R50" s="86" t="s">
        <v>366</v>
      </c>
      <c r="S50" s="86" t="str">
        <f>S6</f>
        <v>FY 2026-27</v>
      </c>
      <c r="T50" s="86" t="s">
        <v>366</v>
      </c>
      <c r="U50" s="86" t="str">
        <f>U6</f>
        <v>FY 2027-28</v>
      </c>
      <c r="V50" s="86" t="s">
        <v>366</v>
      </c>
    </row>
    <row r="51" spans="1:24" ht="12.75" customHeight="1">
      <c r="A51" s="1" t="s">
        <v>395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396</v>
      </c>
      <c r="B52" s="35"/>
      <c r="C52" s="178">
        <v>0</v>
      </c>
      <c r="D52" s="80">
        <f t="shared" ref="D52:D104" si="22">IFERROR(C52/C$28,0)</f>
        <v>0</v>
      </c>
      <c r="E52" s="178">
        <v>0</v>
      </c>
      <c r="F52" s="80">
        <f t="shared" ref="F52:F104" si="23">IFERROR(E52/E$28,0)</f>
        <v>0</v>
      </c>
      <c r="G52" s="178">
        <v>0</v>
      </c>
      <c r="H52" s="80">
        <f t="shared" ref="H52:H104" si="24">IFERROR(G52/G$28,0)</f>
        <v>0</v>
      </c>
      <c r="I52" s="178">
        <v>0</v>
      </c>
      <c r="J52" s="80">
        <f t="shared" ref="J52:J104" si="25">IFERROR(I52/I$28,0)</f>
        <v>0</v>
      </c>
      <c r="K52" s="178">
        <v>0</v>
      </c>
      <c r="L52" s="80">
        <f t="shared" ref="L52:L104" si="26">IFERROR(K52/K$28,0)</f>
        <v>0</v>
      </c>
      <c r="M52" s="178">
        <v>0</v>
      </c>
      <c r="N52" s="80">
        <f t="shared" ref="N52:N104" si="27">IFERROR(M52/M$28,0)</f>
        <v>0</v>
      </c>
      <c r="O52" s="178">
        <v>0</v>
      </c>
      <c r="P52" s="80">
        <f t="shared" ref="P52:P104" si="28">IFERROR(O52/O$28,0)</f>
        <v>0</v>
      </c>
      <c r="Q52" s="178">
        <v>0</v>
      </c>
      <c r="R52" s="80">
        <f t="shared" ref="R52:R104" si="29">IFERROR(Q52/Q$28,0)</f>
        <v>0</v>
      </c>
      <c r="S52" s="178">
        <v>0</v>
      </c>
      <c r="T52" s="80">
        <f t="shared" ref="T52:T104" si="30">IFERROR(S52/S$28,0)</f>
        <v>0</v>
      </c>
      <c r="U52" s="178">
        <v>0</v>
      </c>
      <c r="V52" s="80">
        <f t="shared" ref="V52:V105" si="31">IFERROR(U52/U$28,0)</f>
        <v>0</v>
      </c>
      <c r="X52" s="192"/>
    </row>
    <row r="53" spans="1:24" ht="12.75" customHeight="1">
      <c r="A53" s="2" t="s">
        <v>397</v>
      </c>
      <c r="B53" s="35"/>
      <c r="C53" s="178">
        <v>0</v>
      </c>
      <c r="D53" s="80">
        <f t="shared" si="22"/>
        <v>0</v>
      </c>
      <c r="E53" s="178">
        <v>0</v>
      </c>
      <c r="F53" s="80">
        <f t="shared" si="23"/>
        <v>0</v>
      </c>
      <c r="G53" s="178">
        <v>0</v>
      </c>
      <c r="H53" s="80">
        <f t="shared" si="24"/>
        <v>0</v>
      </c>
      <c r="I53" s="178">
        <v>0</v>
      </c>
      <c r="J53" s="80">
        <f t="shared" si="25"/>
        <v>0</v>
      </c>
      <c r="K53" s="178">
        <v>0</v>
      </c>
      <c r="L53" s="80">
        <f t="shared" si="26"/>
        <v>0</v>
      </c>
      <c r="M53" s="178">
        <v>0</v>
      </c>
      <c r="N53" s="80">
        <f t="shared" si="27"/>
        <v>0</v>
      </c>
      <c r="O53" s="178">
        <v>0</v>
      </c>
      <c r="P53" s="80">
        <f t="shared" si="28"/>
        <v>0</v>
      </c>
      <c r="Q53" s="178">
        <v>0</v>
      </c>
      <c r="R53" s="80">
        <f t="shared" si="29"/>
        <v>0</v>
      </c>
      <c r="S53" s="178">
        <v>0</v>
      </c>
      <c r="T53" s="80">
        <f t="shared" si="30"/>
        <v>0</v>
      </c>
      <c r="U53" s="178">
        <v>0</v>
      </c>
      <c r="V53" s="80">
        <f t="shared" si="31"/>
        <v>0</v>
      </c>
      <c r="X53" s="192"/>
    </row>
    <row r="54" spans="1:24" ht="12.75" customHeight="1">
      <c r="A54" s="2" t="s">
        <v>398</v>
      </c>
      <c r="B54" s="35"/>
      <c r="C54" s="178">
        <v>271.4796</v>
      </c>
      <c r="D54" s="80">
        <f t="shared" si="22"/>
        <v>6.9999999999999999E-4</v>
      </c>
      <c r="E54" s="178">
        <v>282.09999999999997</v>
      </c>
      <c r="F54" s="80">
        <f t="shared" si="23"/>
        <v>6.9999999999999988E-4</v>
      </c>
      <c r="G54" s="178">
        <v>293.3</v>
      </c>
      <c r="H54" s="80">
        <f t="shared" si="24"/>
        <v>6.9999999999999999E-4</v>
      </c>
      <c r="I54" s="178">
        <v>305.2</v>
      </c>
      <c r="J54" s="80">
        <f t="shared" si="25"/>
        <v>6.9999999999999999E-4</v>
      </c>
      <c r="K54" s="178">
        <v>314.29999999999995</v>
      </c>
      <c r="L54" s="80">
        <f t="shared" si="26"/>
        <v>6.9999999999999988E-4</v>
      </c>
      <c r="M54" s="178">
        <v>324.10000000000002</v>
      </c>
      <c r="N54" s="80">
        <f t="shared" si="27"/>
        <v>7.000000000000001E-4</v>
      </c>
      <c r="O54" s="178">
        <v>333.2</v>
      </c>
      <c r="P54" s="80">
        <f t="shared" si="28"/>
        <v>6.9999999999999999E-4</v>
      </c>
      <c r="Q54" s="178">
        <v>343.70000000000005</v>
      </c>
      <c r="R54" s="80">
        <f t="shared" si="29"/>
        <v>7.000000000000001E-4</v>
      </c>
      <c r="S54" s="178">
        <v>353.5</v>
      </c>
      <c r="T54" s="80">
        <f t="shared" si="30"/>
        <v>6.9999999999999999E-4</v>
      </c>
      <c r="U54" s="178">
        <v>364.7</v>
      </c>
      <c r="V54" s="80">
        <f t="shared" si="31"/>
        <v>6.9999999999999999E-4</v>
      </c>
      <c r="X54" s="192"/>
    </row>
    <row r="55" spans="1:24" ht="12.75" customHeight="1">
      <c r="A55" s="2" t="s">
        <v>399</v>
      </c>
      <c r="B55" s="35"/>
      <c r="C55" s="178">
        <v>27147.960000000003</v>
      </c>
      <c r="D55" s="80">
        <f t="shared" si="22"/>
        <v>7.0000000000000007E-2</v>
      </c>
      <c r="E55" s="178">
        <v>28210.000000000004</v>
      </c>
      <c r="F55" s="80">
        <f t="shared" si="23"/>
        <v>7.0000000000000007E-2</v>
      </c>
      <c r="G55" s="178">
        <v>29330.000000000004</v>
      </c>
      <c r="H55" s="80">
        <f t="shared" si="24"/>
        <v>7.0000000000000007E-2</v>
      </c>
      <c r="I55" s="178">
        <v>30520.000000000004</v>
      </c>
      <c r="J55" s="80">
        <f t="shared" si="25"/>
        <v>7.0000000000000007E-2</v>
      </c>
      <c r="K55" s="178">
        <v>31430.000000000004</v>
      </c>
      <c r="L55" s="80">
        <f t="shared" si="26"/>
        <v>7.0000000000000007E-2</v>
      </c>
      <c r="M55" s="178">
        <v>32410.000000000004</v>
      </c>
      <c r="N55" s="80">
        <f t="shared" si="27"/>
        <v>7.0000000000000007E-2</v>
      </c>
      <c r="O55" s="178">
        <v>33320</v>
      </c>
      <c r="P55" s="80">
        <f t="shared" si="28"/>
        <v>7.0000000000000007E-2</v>
      </c>
      <c r="Q55" s="178">
        <v>34370</v>
      </c>
      <c r="R55" s="80">
        <f t="shared" si="29"/>
        <v>7.0000000000000007E-2</v>
      </c>
      <c r="S55" s="178">
        <v>35350</v>
      </c>
      <c r="T55" s="80">
        <f t="shared" si="30"/>
        <v>7.0000000000000007E-2</v>
      </c>
      <c r="U55" s="178">
        <v>36470</v>
      </c>
      <c r="V55" s="80">
        <f t="shared" si="31"/>
        <v>7.0000000000000007E-2</v>
      </c>
      <c r="X55" s="192"/>
    </row>
    <row r="56" spans="1:24" ht="12.75" customHeight="1">
      <c r="A56" s="2" t="s">
        <v>400</v>
      </c>
      <c r="B56" s="35"/>
      <c r="C56" s="178">
        <v>197.79228000000001</v>
      </c>
      <c r="D56" s="80">
        <f t="shared" si="22"/>
        <v>5.1000000000000004E-4</v>
      </c>
      <c r="E56" s="178">
        <v>205.53</v>
      </c>
      <c r="F56" s="80">
        <f t="shared" si="23"/>
        <v>5.1000000000000004E-4</v>
      </c>
      <c r="G56" s="178">
        <v>213.69</v>
      </c>
      <c r="H56" s="80">
        <f t="shared" si="24"/>
        <v>5.1000000000000004E-4</v>
      </c>
      <c r="I56" s="178">
        <v>222.36</v>
      </c>
      <c r="J56" s="80">
        <f t="shared" si="25"/>
        <v>5.1000000000000004E-4</v>
      </c>
      <c r="K56" s="178">
        <v>228.98999999999998</v>
      </c>
      <c r="L56" s="80">
        <f t="shared" si="26"/>
        <v>5.0999999999999993E-4</v>
      </c>
      <c r="M56" s="178">
        <v>236.13000000000002</v>
      </c>
      <c r="N56" s="80">
        <f t="shared" si="27"/>
        <v>5.1000000000000004E-4</v>
      </c>
      <c r="O56" s="178">
        <v>242.76000000000002</v>
      </c>
      <c r="P56" s="80">
        <f t="shared" si="28"/>
        <v>5.1000000000000004E-4</v>
      </c>
      <c r="Q56" s="178">
        <v>250.41000000000003</v>
      </c>
      <c r="R56" s="80">
        <f t="shared" si="29"/>
        <v>5.1000000000000004E-4</v>
      </c>
      <c r="S56" s="178">
        <v>257.55</v>
      </c>
      <c r="T56" s="80">
        <f t="shared" si="30"/>
        <v>5.1000000000000004E-4</v>
      </c>
      <c r="U56" s="178">
        <v>265.70999999999998</v>
      </c>
      <c r="V56" s="80">
        <f t="shared" si="31"/>
        <v>5.0999999999999993E-4</v>
      </c>
      <c r="X56" s="192"/>
    </row>
    <row r="57" spans="1:24" ht="12.75" customHeight="1">
      <c r="A57" s="2" t="s">
        <v>401</v>
      </c>
      <c r="B57" s="35"/>
      <c r="C57" s="178">
        <v>0</v>
      </c>
      <c r="D57" s="80">
        <f t="shared" si="22"/>
        <v>0</v>
      </c>
      <c r="E57" s="178">
        <v>0</v>
      </c>
      <c r="F57" s="80">
        <f t="shared" si="23"/>
        <v>0</v>
      </c>
      <c r="G57" s="178">
        <v>0</v>
      </c>
      <c r="H57" s="80">
        <f t="shared" si="24"/>
        <v>0</v>
      </c>
      <c r="I57" s="178">
        <v>0</v>
      </c>
      <c r="J57" s="80">
        <f t="shared" si="25"/>
        <v>0</v>
      </c>
      <c r="K57" s="178">
        <v>0</v>
      </c>
      <c r="L57" s="80">
        <f t="shared" si="26"/>
        <v>0</v>
      </c>
      <c r="M57" s="178">
        <v>0</v>
      </c>
      <c r="N57" s="80">
        <f t="shared" si="27"/>
        <v>0</v>
      </c>
      <c r="O57" s="178">
        <v>0</v>
      </c>
      <c r="P57" s="80">
        <f t="shared" si="28"/>
        <v>0</v>
      </c>
      <c r="Q57" s="178">
        <v>0</v>
      </c>
      <c r="R57" s="80">
        <f t="shared" si="29"/>
        <v>0</v>
      </c>
      <c r="S57" s="178">
        <v>0</v>
      </c>
      <c r="T57" s="80">
        <f t="shared" si="30"/>
        <v>0</v>
      </c>
      <c r="U57" s="178">
        <v>0</v>
      </c>
      <c r="V57" s="80">
        <f t="shared" si="31"/>
        <v>0</v>
      </c>
      <c r="X57" s="192"/>
    </row>
    <row r="58" spans="1:24" ht="12.75" customHeight="1">
      <c r="A58" s="2" t="s">
        <v>402</v>
      </c>
      <c r="B58" s="35"/>
      <c r="C58" s="178">
        <v>0</v>
      </c>
      <c r="D58" s="80">
        <f t="shared" si="22"/>
        <v>0</v>
      </c>
      <c r="E58" s="178">
        <v>0</v>
      </c>
      <c r="F58" s="80">
        <f t="shared" si="23"/>
        <v>0</v>
      </c>
      <c r="G58" s="178">
        <v>0</v>
      </c>
      <c r="H58" s="80">
        <f t="shared" si="24"/>
        <v>0</v>
      </c>
      <c r="I58" s="178">
        <v>0</v>
      </c>
      <c r="J58" s="80">
        <f t="shared" si="25"/>
        <v>0</v>
      </c>
      <c r="K58" s="178">
        <v>0</v>
      </c>
      <c r="L58" s="80">
        <f t="shared" si="26"/>
        <v>0</v>
      </c>
      <c r="M58" s="178">
        <v>0</v>
      </c>
      <c r="N58" s="80">
        <f t="shared" si="27"/>
        <v>0</v>
      </c>
      <c r="O58" s="178">
        <v>0</v>
      </c>
      <c r="P58" s="80">
        <f t="shared" si="28"/>
        <v>0</v>
      </c>
      <c r="Q58" s="178">
        <v>0</v>
      </c>
      <c r="R58" s="80">
        <f t="shared" si="29"/>
        <v>0</v>
      </c>
      <c r="S58" s="178">
        <v>0</v>
      </c>
      <c r="T58" s="80">
        <f t="shared" si="30"/>
        <v>0</v>
      </c>
      <c r="U58" s="178">
        <v>0</v>
      </c>
      <c r="V58" s="80">
        <f t="shared" si="31"/>
        <v>0</v>
      </c>
      <c r="X58" s="192"/>
    </row>
    <row r="59" spans="1:24" ht="12.75" customHeight="1">
      <c r="A59" s="2" t="s">
        <v>403</v>
      </c>
      <c r="B59" s="35"/>
      <c r="C59" s="178"/>
      <c r="D59" s="80">
        <f t="shared" si="22"/>
        <v>0</v>
      </c>
      <c r="E59" s="178"/>
      <c r="F59" s="80">
        <f t="shared" si="23"/>
        <v>0</v>
      </c>
      <c r="G59" s="178"/>
      <c r="H59" s="80">
        <f t="shared" si="24"/>
        <v>0</v>
      </c>
      <c r="I59" s="178"/>
      <c r="J59" s="80">
        <f t="shared" si="25"/>
        <v>0</v>
      </c>
      <c r="K59" s="178"/>
      <c r="L59" s="80">
        <f t="shared" si="26"/>
        <v>0</v>
      </c>
      <c r="M59" s="178"/>
      <c r="N59" s="80">
        <f t="shared" si="27"/>
        <v>0</v>
      </c>
      <c r="O59" s="178"/>
      <c r="P59" s="80">
        <f t="shared" si="28"/>
        <v>0</v>
      </c>
      <c r="Q59" s="178"/>
      <c r="R59" s="80">
        <f t="shared" si="29"/>
        <v>0</v>
      </c>
      <c r="S59" s="178"/>
      <c r="T59" s="80">
        <f t="shared" si="30"/>
        <v>0</v>
      </c>
      <c r="U59" s="178"/>
      <c r="V59" s="80">
        <f t="shared" si="31"/>
        <v>0</v>
      </c>
      <c r="X59" s="192"/>
    </row>
    <row r="60" spans="1:24" ht="12.75" customHeight="1">
      <c r="A60" s="2" t="s">
        <v>404</v>
      </c>
      <c r="B60" s="35"/>
      <c r="C60" s="178">
        <v>0</v>
      </c>
      <c r="D60" s="80">
        <f t="shared" si="22"/>
        <v>0</v>
      </c>
      <c r="E60" s="178">
        <v>0</v>
      </c>
      <c r="F60" s="80">
        <f t="shared" si="23"/>
        <v>0</v>
      </c>
      <c r="G60" s="178">
        <v>0</v>
      </c>
      <c r="H60" s="80">
        <f t="shared" si="24"/>
        <v>0</v>
      </c>
      <c r="I60" s="178">
        <v>0</v>
      </c>
      <c r="J60" s="80">
        <f t="shared" si="25"/>
        <v>0</v>
      </c>
      <c r="K60" s="178">
        <v>0</v>
      </c>
      <c r="L60" s="80">
        <f t="shared" si="26"/>
        <v>0</v>
      </c>
      <c r="M60" s="178">
        <v>0</v>
      </c>
      <c r="N60" s="80">
        <f t="shared" si="27"/>
        <v>0</v>
      </c>
      <c r="O60" s="178">
        <v>0</v>
      </c>
      <c r="P60" s="80">
        <f t="shared" si="28"/>
        <v>0</v>
      </c>
      <c r="Q60" s="178">
        <v>0</v>
      </c>
      <c r="R60" s="80">
        <f t="shared" si="29"/>
        <v>0</v>
      </c>
      <c r="S60" s="178">
        <v>0</v>
      </c>
      <c r="T60" s="80">
        <f t="shared" si="30"/>
        <v>0</v>
      </c>
      <c r="U60" s="178">
        <v>0</v>
      </c>
      <c r="V60" s="80">
        <f t="shared" si="31"/>
        <v>0</v>
      </c>
      <c r="X60" s="192"/>
    </row>
    <row r="61" spans="1:24" ht="12.75" customHeight="1">
      <c r="A61" s="2" t="s">
        <v>405</v>
      </c>
      <c r="B61" s="35"/>
      <c r="C61" s="178">
        <v>0</v>
      </c>
      <c r="D61" s="80">
        <f t="shared" si="22"/>
        <v>0</v>
      </c>
      <c r="E61" s="178">
        <v>0</v>
      </c>
      <c r="F61" s="80">
        <f t="shared" si="23"/>
        <v>0</v>
      </c>
      <c r="G61" s="178">
        <v>0</v>
      </c>
      <c r="H61" s="80">
        <f t="shared" si="24"/>
        <v>0</v>
      </c>
      <c r="I61" s="178">
        <v>0</v>
      </c>
      <c r="J61" s="80">
        <f t="shared" si="25"/>
        <v>0</v>
      </c>
      <c r="K61" s="178">
        <v>0</v>
      </c>
      <c r="L61" s="80">
        <f t="shared" si="26"/>
        <v>0</v>
      </c>
      <c r="M61" s="178">
        <v>0</v>
      </c>
      <c r="N61" s="80">
        <f t="shared" si="27"/>
        <v>0</v>
      </c>
      <c r="O61" s="178">
        <v>0</v>
      </c>
      <c r="P61" s="80">
        <f t="shared" si="28"/>
        <v>0</v>
      </c>
      <c r="Q61" s="178">
        <v>0</v>
      </c>
      <c r="R61" s="80">
        <f t="shared" si="29"/>
        <v>0</v>
      </c>
      <c r="S61" s="178">
        <v>0</v>
      </c>
      <c r="T61" s="80">
        <f t="shared" si="30"/>
        <v>0</v>
      </c>
      <c r="U61" s="178">
        <v>0</v>
      </c>
      <c r="V61" s="80">
        <f t="shared" si="31"/>
        <v>0</v>
      </c>
      <c r="X61" s="192"/>
    </row>
    <row r="62" spans="1:24" ht="12.75" customHeight="1">
      <c r="A62" s="2" t="s">
        <v>406</v>
      </c>
      <c r="B62" s="35"/>
      <c r="C62" s="178">
        <v>0</v>
      </c>
      <c r="D62" s="80">
        <f t="shared" si="22"/>
        <v>0</v>
      </c>
      <c r="E62" s="178">
        <v>0</v>
      </c>
      <c r="F62" s="80">
        <f t="shared" si="23"/>
        <v>0</v>
      </c>
      <c r="G62" s="178">
        <v>0</v>
      </c>
      <c r="H62" s="80">
        <f t="shared" si="24"/>
        <v>0</v>
      </c>
      <c r="I62" s="178">
        <v>0</v>
      </c>
      <c r="J62" s="80">
        <f t="shared" si="25"/>
        <v>0</v>
      </c>
      <c r="K62" s="178">
        <v>0</v>
      </c>
      <c r="L62" s="80">
        <f t="shared" si="26"/>
        <v>0</v>
      </c>
      <c r="M62" s="178">
        <v>0</v>
      </c>
      <c r="N62" s="80">
        <f t="shared" si="27"/>
        <v>0</v>
      </c>
      <c r="O62" s="178">
        <v>0</v>
      </c>
      <c r="P62" s="80">
        <f t="shared" si="28"/>
        <v>0</v>
      </c>
      <c r="Q62" s="178">
        <v>0</v>
      </c>
      <c r="R62" s="80">
        <f t="shared" si="29"/>
        <v>0</v>
      </c>
      <c r="S62" s="178">
        <v>0</v>
      </c>
      <c r="T62" s="80">
        <f t="shared" si="30"/>
        <v>0</v>
      </c>
      <c r="U62" s="178">
        <v>0</v>
      </c>
      <c r="V62" s="80">
        <f t="shared" si="31"/>
        <v>0</v>
      </c>
      <c r="X62" s="192"/>
    </row>
    <row r="63" spans="1:24" ht="12.75" customHeight="1">
      <c r="A63" s="2" t="s">
        <v>407</v>
      </c>
      <c r="B63" s="35"/>
      <c r="C63" s="178">
        <v>4718.1912823955236</v>
      </c>
      <c r="D63" s="80">
        <f t="shared" si="22"/>
        <v>1.2165679843630485E-2</v>
      </c>
      <c r="E63" s="178">
        <v>4975.1522845086256</v>
      </c>
      <c r="F63" s="80">
        <f t="shared" si="23"/>
        <v>1.2345291028557383E-2</v>
      </c>
      <c r="G63" s="178">
        <v>5117.9242133270272</v>
      </c>
      <c r="H63" s="80">
        <f t="shared" si="24"/>
        <v>1.2214616260923693E-2</v>
      </c>
      <c r="I63" s="178">
        <v>5339.2475590481617</v>
      </c>
      <c r="J63" s="80">
        <f t="shared" si="25"/>
        <v>1.224598064001872E-2</v>
      </c>
      <c r="K63" s="178">
        <v>5481.4993003771569</v>
      </c>
      <c r="L63" s="80">
        <f t="shared" si="26"/>
        <v>1.2208238976341107E-2</v>
      </c>
      <c r="M63" s="178">
        <v>5661.9440545842526</v>
      </c>
      <c r="N63" s="80">
        <f t="shared" si="27"/>
        <v>1.2228820852233807E-2</v>
      </c>
      <c r="O63" s="178">
        <v>5832.9191776513126</v>
      </c>
      <c r="P63" s="80">
        <f t="shared" si="28"/>
        <v>1.2254031885822084E-2</v>
      </c>
      <c r="Q63" s="178">
        <v>6034.3997324744596</v>
      </c>
      <c r="R63" s="80">
        <f t="shared" si="29"/>
        <v>1.2290019821740243E-2</v>
      </c>
      <c r="S63" s="178">
        <v>6224.1900584051691</v>
      </c>
      <c r="T63" s="80">
        <f t="shared" si="30"/>
        <v>1.2325128828525087E-2</v>
      </c>
      <c r="U63" s="178">
        <v>6440.9384418075688</v>
      </c>
      <c r="V63" s="80">
        <f t="shared" si="31"/>
        <v>1.2362645761626812E-2</v>
      </c>
      <c r="X63" s="192"/>
    </row>
    <row r="64" spans="1:24" ht="12.75" customHeight="1">
      <c r="A64" s="2" t="s">
        <v>408</v>
      </c>
      <c r="B64" s="35"/>
      <c r="C64" s="178">
        <v>1861.5744</v>
      </c>
      <c r="D64" s="80">
        <f t="shared" si="22"/>
        <v>4.7999999999999996E-3</v>
      </c>
      <c r="E64" s="178">
        <v>1934.3999999999996</v>
      </c>
      <c r="F64" s="80">
        <f t="shared" si="23"/>
        <v>4.7999999999999987E-3</v>
      </c>
      <c r="G64" s="178">
        <v>2011.1999999999998</v>
      </c>
      <c r="H64" s="80">
        <f t="shared" si="24"/>
        <v>4.7999999999999996E-3</v>
      </c>
      <c r="I64" s="178">
        <v>2092.7999999999997</v>
      </c>
      <c r="J64" s="80">
        <f t="shared" si="25"/>
        <v>4.7999999999999996E-3</v>
      </c>
      <c r="K64" s="178">
        <v>2155.1999999999998</v>
      </c>
      <c r="L64" s="80">
        <f t="shared" si="26"/>
        <v>4.7999999999999996E-3</v>
      </c>
      <c r="M64" s="178">
        <v>2222.3999999999996</v>
      </c>
      <c r="N64" s="80">
        <f t="shared" si="27"/>
        <v>4.7999999999999996E-3</v>
      </c>
      <c r="O64" s="178">
        <v>2284.7999999999997</v>
      </c>
      <c r="P64" s="80">
        <f t="shared" si="28"/>
        <v>4.7999999999999996E-3</v>
      </c>
      <c r="Q64" s="178">
        <v>2356.7999999999997</v>
      </c>
      <c r="R64" s="80">
        <f t="shared" si="29"/>
        <v>4.7999999999999996E-3</v>
      </c>
      <c r="S64" s="178">
        <v>2423.9999999999995</v>
      </c>
      <c r="T64" s="80">
        <f t="shared" si="30"/>
        <v>4.7999999999999987E-3</v>
      </c>
      <c r="U64" s="178">
        <v>2500.7999999999997</v>
      </c>
      <c r="V64" s="80">
        <f t="shared" si="31"/>
        <v>4.7999999999999996E-3</v>
      </c>
      <c r="X64" s="192"/>
    </row>
    <row r="65" spans="1:24" ht="12.75" customHeight="1">
      <c r="A65" s="2" t="s">
        <v>409</v>
      </c>
      <c r="B65" s="35"/>
      <c r="C65" s="178">
        <v>193.91400000000002</v>
      </c>
      <c r="D65" s="80">
        <f t="shared" si="22"/>
        <v>5.0000000000000001E-4</v>
      </c>
      <c r="E65" s="178">
        <v>201.5</v>
      </c>
      <c r="F65" s="80">
        <f t="shared" si="23"/>
        <v>5.0000000000000001E-4</v>
      </c>
      <c r="G65" s="178">
        <v>209.5</v>
      </c>
      <c r="H65" s="80">
        <f t="shared" si="24"/>
        <v>5.0000000000000001E-4</v>
      </c>
      <c r="I65" s="178">
        <v>218</v>
      </c>
      <c r="J65" s="80">
        <f t="shared" si="25"/>
        <v>5.0000000000000001E-4</v>
      </c>
      <c r="K65" s="178">
        <v>224.49999999999997</v>
      </c>
      <c r="L65" s="80">
        <f t="shared" si="26"/>
        <v>4.999999999999999E-4</v>
      </c>
      <c r="M65" s="178">
        <v>231.5</v>
      </c>
      <c r="N65" s="80">
        <f t="shared" si="27"/>
        <v>5.0000000000000001E-4</v>
      </c>
      <c r="O65" s="178">
        <v>238</v>
      </c>
      <c r="P65" s="80">
        <f t="shared" si="28"/>
        <v>5.0000000000000001E-4</v>
      </c>
      <c r="Q65" s="178">
        <v>245.5</v>
      </c>
      <c r="R65" s="80">
        <f t="shared" si="29"/>
        <v>5.0000000000000001E-4</v>
      </c>
      <c r="S65" s="178">
        <v>252.5</v>
      </c>
      <c r="T65" s="80">
        <f t="shared" si="30"/>
        <v>5.0000000000000001E-4</v>
      </c>
      <c r="U65" s="178">
        <v>260.5</v>
      </c>
      <c r="V65" s="80">
        <f t="shared" si="31"/>
        <v>5.0000000000000001E-4</v>
      </c>
      <c r="X65" s="192"/>
    </row>
    <row r="66" spans="1:24" ht="12.75" customHeight="1">
      <c r="A66" s="2" t="s">
        <v>410</v>
      </c>
      <c r="B66" s="35"/>
      <c r="C66" s="178">
        <v>1085.9184</v>
      </c>
      <c r="D66" s="80">
        <f t="shared" si="22"/>
        <v>2.8E-3</v>
      </c>
      <c r="E66" s="178">
        <v>1128.3999999999999</v>
      </c>
      <c r="F66" s="80">
        <f t="shared" si="23"/>
        <v>2.7999999999999995E-3</v>
      </c>
      <c r="G66" s="178">
        <v>1173.2</v>
      </c>
      <c r="H66" s="80">
        <f t="shared" si="24"/>
        <v>2.8E-3</v>
      </c>
      <c r="I66" s="178">
        <v>1220.8</v>
      </c>
      <c r="J66" s="80">
        <f t="shared" si="25"/>
        <v>2.8E-3</v>
      </c>
      <c r="K66" s="178">
        <v>1257.1999999999998</v>
      </c>
      <c r="L66" s="80">
        <f t="shared" si="26"/>
        <v>2.7999999999999995E-3</v>
      </c>
      <c r="M66" s="178">
        <v>1296.4000000000001</v>
      </c>
      <c r="N66" s="80">
        <f t="shared" si="27"/>
        <v>2.8000000000000004E-3</v>
      </c>
      <c r="O66" s="178">
        <v>1332.8</v>
      </c>
      <c r="P66" s="80">
        <f t="shared" si="28"/>
        <v>2.8E-3</v>
      </c>
      <c r="Q66" s="178">
        <v>1374.8000000000002</v>
      </c>
      <c r="R66" s="80">
        <f t="shared" si="29"/>
        <v>2.8000000000000004E-3</v>
      </c>
      <c r="S66" s="178">
        <v>1414</v>
      </c>
      <c r="T66" s="80">
        <f t="shared" si="30"/>
        <v>2.8E-3</v>
      </c>
      <c r="U66" s="178">
        <v>1458.8</v>
      </c>
      <c r="V66" s="80">
        <f t="shared" si="31"/>
        <v>2.8E-3</v>
      </c>
      <c r="X66" s="192"/>
    </row>
    <row r="67" spans="1:24" ht="12.75" customHeight="1">
      <c r="A67" s="2" t="s">
        <v>411</v>
      </c>
      <c r="B67" s="35"/>
      <c r="C67" s="178">
        <v>5817.42</v>
      </c>
      <c r="D67" s="80">
        <f t="shared" si="22"/>
        <v>1.4999999999999999E-2</v>
      </c>
      <c r="E67" s="178">
        <v>6045</v>
      </c>
      <c r="F67" s="80">
        <f t="shared" si="23"/>
        <v>1.4999999999999999E-2</v>
      </c>
      <c r="G67" s="178">
        <v>6285</v>
      </c>
      <c r="H67" s="80">
        <f t="shared" si="24"/>
        <v>1.4999999999999999E-2</v>
      </c>
      <c r="I67" s="178">
        <v>6539.9999999999991</v>
      </c>
      <c r="J67" s="80">
        <f t="shared" si="25"/>
        <v>1.4999999999999998E-2</v>
      </c>
      <c r="K67" s="178">
        <v>6734.9999999999991</v>
      </c>
      <c r="L67" s="80">
        <f t="shared" si="26"/>
        <v>1.4999999999999998E-2</v>
      </c>
      <c r="M67" s="178">
        <v>6945</v>
      </c>
      <c r="N67" s="80">
        <f t="shared" si="27"/>
        <v>1.4999999999999999E-2</v>
      </c>
      <c r="O67" s="178">
        <v>7139.9999999999991</v>
      </c>
      <c r="P67" s="80">
        <f t="shared" si="28"/>
        <v>1.4999999999999998E-2</v>
      </c>
      <c r="Q67" s="178">
        <v>7364.9999999999991</v>
      </c>
      <c r="R67" s="80">
        <f t="shared" si="29"/>
        <v>1.4999999999999998E-2</v>
      </c>
      <c r="S67" s="178">
        <v>7575</v>
      </c>
      <c r="T67" s="80">
        <f t="shared" si="30"/>
        <v>1.4999999999999999E-2</v>
      </c>
      <c r="U67" s="178">
        <v>7815</v>
      </c>
      <c r="V67" s="80">
        <f t="shared" si="31"/>
        <v>1.4999999999999999E-2</v>
      </c>
      <c r="X67" s="192"/>
    </row>
    <row r="68" spans="1:24" ht="12.75" customHeight="1">
      <c r="A68" s="2" t="s">
        <v>412</v>
      </c>
      <c r="B68" s="35"/>
      <c r="C68" s="178">
        <v>659.30759999999998</v>
      </c>
      <c r="D68" s="80">
        <f t="shared" si="22"/>
        <v>1.6999999999999999E-3</v>
      </c>
      <c r="E68" s="178">
        <v>685.09999999999991</v>
      </c>
      <c r="F68" s="80">
        <f t="shared" si="23"/>
        <v>1.6999999999999997E-3</v>
      </c>
      <c r="G68" s="178">
        <v>712.3</v>
      </c>
      <c r="H68" s="80">
        <f t="shared" si="24"/>
        <v>1.6999999999999999E-3</v>
      </c>
      <c r="I68" s="178">
        <v>741.19999999999993</v>
      </c>
      <c r="J68" s="80">
        <f t="shared" si="25"/>
        <v>1.6999999999999999E-3</v>
      </c>
      <c r="K68" s="178">
        <v>763.29999999999984</v>
      </c>
      <c r="L68" s="80">
        <f t="shared" si="26"/>
        <v>1.6999999999999997E-3</v>
      </c>
      <c r="M68" s="178">
        <v>787.09999999999991</v>
      </c>
      <c r="N68" s="80">
        <f t="shared" si="27"/>
        <v>1.6999999999999999E-3</v>
      </c>
      <c r="O68" s="178">
        <v>809.19999999999993</v>
      </c>
      <c r="P68" s="80">
        <f t="shared" si="28"/>
        <v>1.6999999999999999E-3</v>
      </c>
      <c r="Q68" s="178">
        <v>834.69999999999993</v>
      </c>
      <c r="R68" s="80">
        <f t="shared" si="29"/>
        <v>1.6999999999999999E-3</v>
      </c>
      <c r="S68" s="178">
        <v>858.49999999999989</v>
      </c>
      <c r="T68" s="80">
        <f t="shared" si="30"/>
        <v>1.6999999999999997E-3</v>
      </c>
      <c r="U68" s="178">
        <v>885.69999999999993</v>
      </c>
      <c r="V68" s="80">
        <f t="shared" si="31"/>
        <v>1.6999999999999999E-3</v>
      </c>
      <c r="X68" s="192"/>
    </row>
    <row r="69" spans="1:24" ht="12.75" customHeight="1">
      <c r="A69" s="2" t="s">
        <v>413</v>
      </c>
      <c r="B69" s="35"/>
      <c r="C69" s="178">
        <v>0</v>
      </c>
      <c r="D69" s="80">
        <f t="shared" si="22"/>
        <v>0</v>
      </c>
      <c r="E69" s="178">
        <v>0</v>
      </c>
      <c r="F69" s="80">
        <f t="shared" si="23"/>
        <v>0</v>
      </c>
      <c r="G69" s="178">
        <v>0</v>
      </c>
      <c r="H69" s="80">
        <f t="shared" si="24"/>
        <v>0</v>
      </c>
      <c r="I69" s="178">
        <v>0</v>
      </c>
      <c r="J69" s="80">
        <f t="shared" si="25"/>
        <v>0</v>
      </c>
      <c r="K69" s="178">
        <v>0</v>
      </c>
      <c r="L69" s="80">
        <f t="shared" si="26"/>
        <v>0</v>
      </c>
      <c r="M69" s="178">
        <v>0</v>
      </c>
      <c r="N69" s="80">
        <f t="shared" si="27"/>
        <v>0</v>
      </c>
      <c r="O69" s="178">
        <v>0</v>
      </c>
      <c r="P69" s="80">
        <f t="shared" si="28"/>
        <v>0</v>
      </c>
      <c r="Q69" s="178">
        <v>0</v>
      </c>
      <c r="R69" s="80">
        <f t="shared" si="29"/>
        <v>0</v>
      </c>
      <c r="S69" s="178">
        <v>0</v>
      </c>
      <c r="T69" s="80">
        <f t="shared" si="30"/>
        <v>0</v>
      </c>
      <c r="U69" s="178">
        <v>0</v>
      </c>
      <c r="V69" s="80">
        <f t="shared" si="31"/>
        <v>0</v>
      </c>
      <c r="X69" s="192"/>
    </row>
    <row r="70" spans="1:24" ht="12.75" customHeight="1">
      <c r="A70" s="2" t="s">
        <v>414</v>
      </c>
      <c r="B70" s="35"/>
      <c r="C70" s="178">
        <v>38.782800000000002</v>
      </c>
      <c r="D70" s="80">
        <f t="shared" si="22"/>
        <v>1E-4</v>
      </c>
      <c r="E70" s="178">
        <v>40.300000000000004</v>
      </c>
      <c r="F70" s="80">
        <f t="shared" si="23"/>
        <v>1E-4</v>
      </c>
      <c r="G70" s="178">
        <v>41.900000000000006</v>
      </c>
      <c r="H70" s="80">
        <f t="shared" si="24"/>
        <v>1.0000000000000002E-4</v>
      </c>
      <c r="I70" s="178">
        <v>43.6</v>
      </c>
      <c r="J70" s="80">
        <f t="shared" si="25"/>
        <v>1E-4</v>
      </c>
      <c r="K70" s="178">
        <v>44.9</v>
      </c>
      <c r="L70" s="80">
        <f t="shared" si="26"/>
        <v>9.9999999999999991E-5</v>
      </c>
      <c r="M70" s="178">
        <v>46.300000000000004</v>
      </c>
      <c r="N70" s="80">
        <f t="shared" si="27"/>
        <v>1E-4</v>
      </c>
      <c r="O70" s="178">
        <v>47.6</v>
      </c>
      <c r="P70" s="80">
        <f t="shared" si="28"/>
        <v>1E-4</v>
      </c>
      <c r="Q70" s="178">
        <v>49.1</v>
      </c>
      <c r="R70" s="80">
        <f t="shared" si="29"/>
        <v>1E-4</v>
      </c>
      <c r="S70" s="178">
        <v>50.500000000000007</v>
      </c>
      <c r="T70" s="80">
        <f t="shared" si="30"/>
        <v>1.0000000000000002E-4</v>
      </c>
      <c r="U70" s="178">
        <v>52.1</v>
      </c>
      <c r="V70" s="80">
        <f t="shared" si="31"/>
        <v>1E-4</v>
      </c>
      <c r="X70" s="192"/>
    </row>
    <row r="71" spans="1:24" ht="12.75" customHeight="1">
      <c r="A71" s="2" t="s">
        <v>415</v>
      </c>
      <c r="B71" s="35"/>
      <c r="C71" s="178">
        <v>0</v>
      </c>
      <c r="D71" s="80">
        <f t="shared" si="22"/>
        <v>0</v>
      </c>
      <c r="E71" s="178">
        <v>0</v>
      </c>
      <c r="F71" s="80">
        <f t="shared" si="23"/>
        <v>0</v>
      </c>
      <c r="G71" s="178">
        <v>0</v>
      </c>
      <c r="H71" s="80">
        <f t="shared" si="24"/>
        <v>0</v>
      </c>
      <c r="I71" s="178">
        <v>0</v>
      </c>
      <c r="J71" s="80">
        <f t="shared" si="25"/>
        <v>0</v>
      </c>
      <c r="K71" s="178">
        <v>0</v>
      </c>
      <c r="L71" s="80">
        <f t="shared" si="26"/>
        <v>0</v>
      </c>
      <c r="M71" s="178">
        <v>0</v>
      </c>
      <c r="N71" s="80">
        <f t="shared" si="27"/>
        <v>0</v>
      </c>
      <c r="O71" s="178">
        <v>0</v>
      </c>
      <c r="P71" s="80">
        <f t="shared" si="28"/>
        <v>0</v>
      </c>
      <c r="Q71" s="178">
        <v>0</v>
      </c>
      <c r="R71" s="80">
        <f t="shared" si="29"/>
        <v>0</v>
      </c>
      <c r="S71" s="178">
        <v>0</v>
      </c>
      <c r="T71" s="80">
        <f t="shared" si="30"/>
        <v>0</v>
      </c>
      <c r="U71" s="178">
        <v>0</v>
      </c>
      <c r="V71" s="80">
        <f t="shared" si="31"/>
        <v>0</v>
      </c>
      <c r="X71" s="192"/>
    </row>
    <row r="72" spans="1:24" ht="12.75" customHeight="1">
      <c r="A72" s="2" t="s">
        <v>416</v>
      </c>
      <c r="B72" s="35"/>
      <c r="C72" s="178">
        <v>0</v>
      </c>
      <c r="D72" s="80">
        <f t="shared" si="22"/>
        <v>0</v>
      </c>
      <c r="E72" s="178">
        <v>0</v>
      </c>
      <c r="F72" s="80">
        <f t="shared" si="23"/>
        <v>0</v>
      </c>
      <c r="G72" s="178">
        <v>0</v>
      </c>
      <c r="H72" s="80">
        <f t="shared" si="24"/>
        <v>0</v>
      </c>
      <c r="I72" s="178">
        <v>0</v>
      </c>
      <c r="J72" s="80">
        <f t="shared" si="25"/>
        <v>0</v>
      </c>
      <c r="K72" s="178">
        <v>0</v>
      </c>
      <c r="L72" s="80">
        <f t="shared" si="26"/>
        <v>0</v>
      </c>
      <c r="M72" s="178">
        <v>0</v>
      </c>
      <c r="N72" s="80">
        <f t="shared" si="27"/>
        <v>0</v>
      </c>
      <c r="O72" s="178">
        <v>0</v>
      </c>
      <c r="P72" s="80">
        <f t="shared" si="28"/>
        <v>0</v>
      </c>
      <c r="Q72" s="178">
        <v>0</v>
      </c>
      <c r="R72" s="80">
        <f t="shared" si="29"/>
        <v>0</v>
      </c>
      <c r="S72" s="178">
        <v>0</v>
      </c>
      <c r="T72" s="80">
        <f t="shared" si="30"/>
        <v>0</v>
      </c>
      <c r="U72" s="178">
        <v>0</v>
      </c>
      <c r="V72" s="80">
        <f t="shared" si="31"/>
        <v>0</v>
      </c>
      <c r="X72" s="192"/>
    </row>
    <row r="73" spans="1:24" ht="12.75" customHeight="1">
      <c r="A73" s="2" t="s">
        <v>417</v>
      </c>
      <c r="B73" s="35"/>
      <c r="C73" s="178">
        <v>0</v>
      </c>
      <c r="D73" s="80">
        <f t="shared" si="22"/>
        <v>0</v>
      </c>
      <c r="E73" s="178">
        <v>0</v>
      </c>
      <c r="F73" s="80">
        <f t="shared" si="23"/>
        <v>0</v>
      </c>
      <c r="G73" s="178">
        <v>0</v>
      </c>
      <c r="H73" s="80">
        <f t="shared" si="24"/>
        <v>0</v>
      </c>
      <c r="I73" s="178">
        <v>0</v>
      </c>
      <c r="J73" s="80">
        <f t="shared" si="25"/>
        <v>0</v>
      </c>
      <c r="K73" s="178">
        <v>0</v>
      </c>
      <c r="L73" s="80">
        <f t="shared" si="26"/>
        <v>0</v>
      </c>
      <c r="M73" s="178">
        <v>0</v>
      </c>
      <c r="N73" s="80">
        <f t="shared" si="27"/>
        <v>0</v>
      </c>
      <c r="O73" s="178">
        <v>0</v>
      </c>
      <c r="P73" s="80">
        <f t="shared" si="28"/>
        <v>0</v>
      </c>
      <c r="Q73" s="178">
        <v>0</v>
      </c>
      <c r="R73" s="80">
        <f t="shared" si="29"/>
        <v>0</v>
      </c>
      <c r="S73" s="178">
        <v>0</v>
      </c>
      <c r="T73" s="80">
        <f t="shared" si="30"/>
        <v>0</v>
      </c>
      <c r="U73" s="178">
        <v>0</v>
      </c>
      <c r="V73" s="80">
        <f t="shared" si="31"/>
        <v>0</v>
      </c>
      <c r="X73" s="192"/>
    </row>
    <row r="74" spans="1:24" ht="12.75" customHeight="1">
      <c r="A74" s="2" t="s">
        <v>418</v>
      </c>
      <c r="B74" s="35"/>
      <c r="C74" s="178">
        <v>0</v>
      </c>
      <c r="D74" s="80">
        <f t="shared" si="22"/>
        <v>0</v>
      </c>
      <c r="E74" s="178">
        <v>0</v>
      </c>
      <c r="F74" s="80">
        <f t="shared" si="23"/>
        <v>0</v>
      </c>
      <c r="G74" s="178">
        <v>0</v>
      </c>
      <c r="H74" s="80">
        <f t="shared" si="24"/>
        <v>0</v>
      </c>
      <c r="I74" s="178">
        <v>0</v>
      </c>
      <c r="J74" s="80">
        <f t="shared" si="25"/>
        <v>0</v>
      </c>
      <c r="K74" s="178">
        <v>0</v>
      </c>
      <c r="L74" s="80">
        <f t="shared" si="26"/>
        <v>0</v>
      </c>
      <c r="M74" s="178">
        <v>0</v>
      </c>
      <c r="N74" s="80">
        <f t="shared" si="27"/>
        <v>0</v>
      </c>
      <c r="O74" s="178">
        <v>0</v>
      </c>
      <c r="P74" s="80">
        <f t="shared" si="28"/>
        <v>0</v>
      </c>
      <c r="Q74" s="178">
        <v>0</v>
      </c>
      <c r="R74" s="80">
        <f t="shared" si="29"/>
        <v>0</v>
      </c>
      <c r="S74" s="178">
        <v>0</v>
      </c>
      <c r="T74" s="80">
        <f t="shared" si="30"/>
        <v>0</v>
      </c>
      <c r="U74" s="178">
        <v>0</v>
      </c>
      <c r="V74" s="80">
        <f t="shared" si="31"/>
        <v>0</v>
      </c>
      <c r="X74" s="192"/>
    </row>
    <row r="75" spans="1:24" ht="12.75" customHeight="1">
      <c r="A75" s="2" t="s">
        <v>419</v>
      </c>
      <c r="B75" s="35"/>
      <c r="C75" s="178">
        <v>1745.2260000000001</v>
      </c>
      <c r="D75" s="80">
        <f t="shared" si="22"/>
        <v>4.5000000000000005E-3</v>
      </c>
      <c r="E75" s="178">
        <v>1813.4999999999998</v>
      </c>
      <c r="F75" s="80">
        <f t="shared" si="23"/>
        <v>4.4999999999999997E-3</v>
      </c>
      <c r="G75" s="178">
        <v>1885.4999999999998</v>
      </c>
      <c r="H75" s="80">
        <f t="shared" si="24"/>
        <v>4.4999999999999997E-3</v>
      </c>
      <c r="I75" s="178">
        <v>1961.9999999999998</v>
      </c>
      <c r="J75" s="80">
        <f t="shared" si="25"/>
        <v>4.4999999999999997E-3</v>
      </c>
      <c r="K75" s="178">
        <v>2020.4999999999998</v>
      </c>
      <c r="L75" s="80">
        <f t="shared" si="26"/>
        <v>4.4999999999999997E-3</v>
      </c>
      <c r="M75" s="178">
        <v>2083.5</v>
      </c>
      <c r="N75" s="80">
        <f t="shared" si="27"/>
        <v>4.4999999999999997E-3</v>
      </c>
      <c r="O75" s="178">
        <v>2142</v>
      </c>
      <c r="P75" s="80">
        <f t="shared" si="28"/>
        <v>4.4999999999999997E-3</v>
      </c>
      <c r="Q75" s="178">
        <v>2209.5</v>
      </c>
      <c r="R75" s="80">
        <f t="shared" si="29"/>
        <v>4.4999999999999997E-3</v>
      </c>
      <c r="S75" s="178">
        <v>2272.5</v>
      </c>
      <c r="T75" s="80">
        <f t="shared" si="30"/>
        <v>4.4999999999999997E-3</v>
      </c>
      <c r="U75" s="178">
        <v>2344.5</v>
      </c>
      <c r="V75" s="80">
        <f t="shared" si="31"/>
        <v>4.4999999999999997E-3</v>
      </c>
      <c r="X75" s="192"/>
    </row>
    <row r="76" spans="1:24" ht="12.75" customHeight="1">
      <c r="A76" s="2" t="s">
        <v>420</v>
      </c>
      <c r="B76" s="35"/>
      <c r="C76" s="178">
        <v>155.13120000000001</v>
      </c>
      <c r="D76" s="80">
        <f t="shared" si="22"/>
        <v>4.0000000000000002E-4</v>
      </c>
      <c r="E76" s="178">
        <v>161.20000000000002</v>
      </c>
      <c r="F76" s="80">
        <f t="shared" si="23"/>
        <v>4.0000000000000002E-4</v>
      </c>
      <c r="G76" s="178">
        <v>167.60000000000002</v>
      </c>
      <c r="H76" s="80">
        <f t="shared" si="24"/>
        <v>4.0000000000000007E-4</v>
      </c>
      <c r="I76" s="178">
        <v>174.4</v>
      </c>
      <c r="J76" s="80">
        <f t="shared" si="25"/>
        <v>4.0000000000000002E-4</v>
      </c>
      <c r="K76" s="178">
        <v>179.6</v>
      </c>
      <c r="L76" s="80">
        <f t="shared" si="26"/>
        <v>3.9999999999999996E-4</v>
      </c>
      <c r="M76" s="178">
        <v>185.20000000000002</v>
      </c>
      <c r="N76" s="80">
        <f t="shared" si="27"/>
        <v>4.0000000000000002E-4</v>
      </c>
      <c r="O76" s="178">
        <v>190.4</v>
      </c>
      <c r="P76" s="80">
        <f t="shared" si="28"/>
        <v>4.0000000000000002E-4</v>
      </c>
      <c r="Q76" s="178">
        <v>196.4</v>
      </c>
      <c r="R76" s="80">
        <f t="shared" si="29"/>
        <v>4.0000000000000002E-4</v>
      </c>
      <c r="S76" s="178">
        <v>202.00000000000003</v>
      </c>
      <c r="T76" s="80">
        <f t="shared" si="30"/>
        <v>4.0000000000000007E-4</v>
      </c>
      <c r="U76" s="178">
        <v>208.4</v>
      </c>
      <c r="V76" s="80">
        <f t="shared" si="31"/>
        <v>4.0000000000000002E-4</v>
      </c>
      <c r="X76" s="192"/>
    </row>
    <row r="77" spans="1:24" ht="12.75" customHeight="1">
      <c r="A77" s="2" t="s">
        <v>421</v>
      </c>
      <c r="B77" s="35"/>
      <c r="C77" s="178">
        <v>504.1764</v>
      </c>
      <c r="D77" s="80">
        <f t="shared" si="22"/>
        <v>1.2999999999999999E-3</v>
      </c>
      <c r="E77" s="178">
        <v>523.9</v>
      </c>
      <c r="F77" s="80">
        <f t="shared" si="23"/>
        <v>1.2999999999999999E-3</v>
      </c>
      <c r="G77" s="178">
        <v>544.69999999999993</v>
      </c>
      <c r="H77" s="80">
        <f t="shared" si="24"/>
        <v>1.2999999999999999E-3</v>
      </c>
      <c r="I77" s="178">
        <v>566.79999999999995</v>
      </c>
      <c r="J77" s="80">
        <f t="shared" si="25"/>
        <v>1.2999999999999999E-3</v>
      </c>
      <c r="K77" s="178">
        <v>583.69999999999993</v>
      </c>
      <c r="L77" s="80">
        <f t="shared" si="26"/>
        <v>1.2999999999999999E-3</v>
      </c>
      <c r="M77" s="178">
        <v>601.9</v>
      </c>
      <c r="N77" s="80">
        <f t="shared" si="27"/>
        <v>1.2999999999999999E-3</v>
      </c>
      <c r="O77" s="178">
        <v>618.79999999999995</v>
      </c>
      <c r="P77" s="80">
        <f t="shared" si="28"/>
        <v>1.2999999999999999E-3</v>
      </c>
      <c r="Q77" s="178">
        <v>638.29999999999995</v>
      </c>
      <c r="R77" s="80">
        <f t="shared" si="29"/>
        <v>1.2999999999999999E-3</v>
      </c>
      <c r="S77" s="178">
        <v>656.5</v>
      </c>
      <c r="T77" s="80">
        <f t="shared" si="30"/>
        <v>1.2999999999999999E-3</v>
      </c>
      <c r="U77" s="178">
        <v>677.3</v>
      </c>
      <c r="V77" s="80">
        <f t="shared" si="31"/>
        <v>1.2999999999999999E-3</v>
      </c>
      <c r="X77" s="192"/>
    </row>
    <row r="78" spans="1:24" ht="12.75" customHeight="1">
      <c r="A78" s="2" t="s">
        <v>422</v>
      </c>
      <c r="B78" s="35"/>
      <c r="C78" s="178">
        <v>8532.2160000000003</v>
      </c>
      <c r="D78" s="80">
        <f t="shared" si="22"/>
        <v>2.2000000000000002E-2</v>
      </c>
      <c r="E78" s="178">
        <v>8865.9999999999982</v>
      </c>
      <c r="F78" s="80">
        <f t="shared" si="23"/>
        <v>2.1999999999999995E-2</v>
      </c>
      <c r="G78" s="178">
        <v>9218</v>
      </c>
      <c r="H78" s="80">
        <f t="shared" si="24"/>
        <v>2.1999999999999999E-2</v>
      </c>
      <c r="I78" s="178">
        <v>9591.9999999999982</v>
      </c>
      <c r="J78" s="80">
        <f t="shared" si="25"/>
        <v>2.1999999999999995E-2</v>
      </c>
      <c r="K78" s="178">
        <v>9877.9999999999982</v>
      </c>
      <c r="L78" s="80">
        <f t="shared" si="26"/>
        <v>2.1999999999999995E-2</v>
      </c>
      <c r="M78" s="178">
        <v>10186</v>
      </c>
      <c r="N78" s="80">
        <f t="shared" si="27"/>
        <v>2.1999999999999999E-2</v>
      </c>
      <c r="O78" s="178">
        <v>10471.999999999998</v>
      </c>
      <c r="P78" s="80">
        <f t="shared" si="28"/>
        <v>2.1999999999999995E-2</v>
      </c>
      <c r="Q78" s="178">
        <v>10801.999999999998</v>
      </c>
      <c r="R78" s="80">
        <f t="shared" si="29"/>
        <v>2.1999999999999995E-2</v>
      </c>
      <c r="S78" s="178">
        <v>11110</v>
      </c>
      <c r="T78" s="80">
        <f t="shared" si="30"/>
        <v>2.1999999999999999E-2</v>
      </c>
      <c r="U78" s="178">
        <v>11462</v>
      </c>
      <c r="V78" s="80">
        <f t="shared" si="31"/>
        <v>2.1999999999999999E-2</v>
      </c>
      <c r="X78" s="192"/>
    </row>
    <row r="79" spans="1:24" ht="12.75" customHeight="1">
      <c r="A79" s="2" t="s">
        <v>423</v>
      </c>
      <c r="B79" s="35"/>
      <c r="C79" s="178">
        <v>0</v>
      </c>
      <c r="D79" s="80">
        <f t="shared" si="22"/>
        <v>0</v>
      </c>
      <c r="E79" s="178">
        <v>0</v>
      </c>
      <c r="F79" s="80">
        <f t="shared" si="23"/>
        <v>0</v>
      </c>
      <c r="G79" s="178">
        <v>0</v>
      </c>
      <c r="H79" s="80">
        <f t="shared" si="24"/>
        <v>0</v>
      </c>
      <c r="I79" s="178">
        <v>0</v>
      </c>
      <c r="J79" s="80">
        <f t="shared" si="25"/>
        <v>0</v>
      </c>
      <c r="K79" s="178">
        <v>0</v>
      </c>
      <c r="L79" s="80">
        <f t="shared" si="26"/>
        <v>0</v>
      </c>
      <c r="M79" s="178">
        <v>0</v>
      </c>
      <c r="N79" s="80">
        <f t="shared" si="27"/>
        <v>0</v>
      </c>
      <c r="O79" s="178">
        <v>0</v>
      </c>
      <c r="P79" s="80">
        <f t="shared" si="28"/>
        <v>0</v>
      </c>
      <c r="Q79" s="178">
        <v>0</v>
      </c>
      <c r="R79" s="80">
        <f t="shared" si="29"/>
        <v>0</v>
      </c>
      <c r="S79" s="178">
        <v>0</v>
      </c>
      <c r="T79" s="80">
        <f t="shared" si="30"/>
        <v>0</v>
      </c>
      <c r="U79" s="178">
        <v>0</v>
      </c>
      <c r="V79" s="80">
        <f t="shared" si="31"/>
        <v>0</v>
      </c>
      <c r="X79" s="192"/>
    </row>
    <row r="80" spans="1:24" ht="12.75" customHeight="1">
      <c r="A80" s="2" t="s">
        <v>424</v>
      </c>
      <c r="B80" s="35"/>
      <c r="C80" s="178">
        <v>0</v>
      </c>
      <c r="D80" s="80">
        <f t="shared" si="22"/>
        <v>0</v>
      </c>
      <c r="E80" s="178">
        <v>0</v>
      </c>
      <c r="F80" s="80">
        <f t="shared" si="23"/>
        <v>0</v>
      </c>
      <c r="G80" s="178">
        <v>0</v>
      </c>
      <c r="H80" s="80">
        <f t="shared" si="24"/>
        <v>0</v>
      </c>
      <c r="I80" s="178">
        <v>0</v>
      </c>
      <c r="J80" s="80">
        <f t="shared" si="25"/>
        <v>0</v>
      </c>
      <c r="K80" s="178">
        <v>0</v>
      </c>
      <c r="L80" s="80">
        <f t="shared" si="26"/>
        <v>0</v>
      </c>
      <c r="M80" s="178">
        <v>0</v>
      </c>
      <c r="N80" s="80">
        <f t="shared" si="27"/>
        <v>0</v>
      </c>
      <c r="O80" s="178">
        <v>0</v>
      </c>
      <c r="P80" s="80">
        <f t="shared" si="28"/>
        <v>0</v>
      </c>
      <c r="Q80" s="178">
        <v>0</v>
      </c>
      <c r="R80" s="80">
        <f t="shared" si="29"/>
        <v>0</v>
      </c>
      <c r="S80" s="178">
        <v>0</v>
      </c>
      <c r="T80" s="80">
        <f t="shared" si="30"/>
        <v>0</v>
      </c>
      <c r="U80" s="178">
        <v>0</v>
      </c>
      <c r="V80" s="80">
        <f t="shared" si="31"/>
        <v>0</v>
      </c>
      <c r="X80" s="192"/>
    </row>
    <row r="81" spans="1:24" ht="12.75" customHeight="1">
      <c r="A81" s="2" t="s">
        <v>425</v>
      </c>
      <c r="B81" s="35"/>
      <c r="C81" s="178">
        <v>0</v>
      </c>
      <c r="D81" s="80">
        <f t="shared" si="22"/>
        <v>0</v>
      </c>
      <c r="E81" s="178">
        <v>0</v>
      </c>
      <c r="F81" s="80">
        <f t="shared" si="23"/>
        <v>0</v>
      </c>
      <c r="G81" s="178">
        <v>0</v>
      </c>
      <c r="H81" s="80">
        <f t="shared" si="24"/>
        <v>0</v>
      </c>
      <c r="I81" s="178">
        <v>0</v>
      </c>
      <c r="J81" s="80">
        <f t="shared" si="25"/>
        <v>0</v>
      </c>
      <c r="K81" s="178">
        <v>0</v>
      </c>
      <c r="L81" s="80">
        <f t="shared" si="26"/>
        <v>0</v>
      </c>
      <c r="M81" s="178">
        <v>0</v>
      </c>
      <c r="N81" s="80">
        <f t="shared" si="27"/>
        <v>0</v>
      </c>
      <c r="O81" s="178">
        <v>0</v>
      </c>
      <c r="P81" s="80">
        <f t="shared" si="28"/>
        <v>0</v>
      </c>
      <c r="Q81" s="178">
        <v>0</v>
      </c>
      <c r="R81" s="80">
        <f t="shared" si="29"/>
        <v>0</v>
      </c>
      <c r="S81" s="178">
        <v>0</v>
      </c>
      <c r="T81" s="80">
        <f t="shared" si="30"/>
        <v>0</v>
      </c>
      <c r="U81" s="178">
        <v>0</v>
      </c>
      <c r="V81" s="80">
        <f t="shared" si="31"/>
        <v>0</v>
      </c>
      <c r="X81" s="192"/>
    </row>
    <row r="82" spans="1:24" ht="12.75" customHeight="1">
      <c r="A82" s="2" t="s">
        <v>426</v>
      </c>
      <c r="B82" s="35"/>
      <c r="C82" s="178">
        <v>0</v>
      </c>
      <c r="D82" s="80">
        <f t="shared" si="22"/>
        <v>0</v>
      </c>
      <c r="E82" s="178">
        <v>0</v>
      </c>
      <c r="F82" s="80">
        <f t="shared" si="23"/>
        <v>0</v>
      </c>
      <c r="G82" s="178">
        <v>0</v>
      </c>
      <c r="H82" s="80">
        <f t="shared" si="24"/>
        <v>0</v>
      </c>
      <c r="I82" s="178">
        <v>0</v>
      </c>
      <c r="J82" s="80">
        <f t="shared" si="25"/>
        <v>0</v>
      </c>
      <c r="K82" s="178">
        <v>0</v>
      </c>
      <c r="L82" s="80">
        <f t="shared" si="26"/>
        <v>0</v>
      </c>
      <c r="M82" s="178">
        <v>0</v>
      </c>
      <c r="N82" s="80">
        <f t="shared" si="27"/>
        <v>0</v>
      </c>
      <c r="O82" s="178">
        <v>0</v>
      </c>
      <c r="P82" s="80">
        <f t="shared" si="28"/>
        <v>0</v>
      </c>
      <c r="Q82" s="178">
        <v>0</v>
      </c>
      <c r="R82" s="80">
        <f t="shared" si="29"/>
        <v>0</v>
      </c>
      <c r="S82" s="178">
        <v>0</v>
      </c>
      <c r="T82" s="80">
        <f t="shared" si="30"/>
        <v>0</v>
      </c>
      <c r="U82" s="178">
        <v>0</v>
      </c>
      <c r="V82" s="80">
        <f t="shared" si="31"/>
        <v>0</v>
      </c>
      <c r="X82" s="192"/>
    </row>
    <row r="83" spans="1:24" ht="12.75" customHeight="1">
      <c r="A83" s="2" t="s">
        <v>427</v>
      </c>
      <c r="B83" s="35"/>
      <c r="C83" s="178">
        <v>0</v>
      </c>
      <c r="D83" s="80">
        <f t="shared" si="22"/>
        <v>0</v>
      </c>
      <c r="E83" s="178">
        <v>0</v>
      </c>
      <c r="F83" s="80">
        <f t="shared" si="23"/>
        <v>0</v>
      </c>
      <c r="G83" s="178">
        <v>0</v>
      </c>
      <c r="H83" s="80">
        <f t="shared" si="24"/>
        <v>0</v>
      </c>
      <c r="I83" s="178">
        <v>0</v>
      </c>
      <c r="J83" s="80">
        <f t="shared" si="25"/>
        <v>0</v>
      </c>
      <c r="K83" s="178">
        <v>0</v>
      </c>
      <c r="L83" s="80">
        <f t="shared" si="26"/>
        <v>0</v>
      </c>
      <c r="M83" s="178">
        <v>0</v>
      </c>
      <c r="N83" s="80">
        <f t="shared" si="27"/>
        <v>0</v>
      </c>
      <c r="O83" s="178">
        <v>0</v>
      </c>
      <c r="P83" s="80">
        <f t="shared" si="28"/>
        <v>0</v>
      </c>
      <c r="Q83" s="178">
        <v>0</v>
      </c>
      <c r="R83" s="80">
        <f t="shared" si="29"/>
        <v>0</v>
      </c>
      <c r="S83" s="178">
        <v>0</v>
      </c>
      <c r="T83" s="80">
        <f t="shared" si="30"/>
        <v>0</v>
      </c>
      <c r="U83" s="178">
        <v>0</v>
      </c>
      <c r="V83" s="80">
        <f t="shared" si="31"/>
        <v>0</v>
      </c>
      <c r="X83" s="192"/>
    </row>
    <row r="84" spans="1:24" ht="12.75" customHeight="1">
      <c r="A84" s="2" t="s">
        <v>428</v>
      </c>
      <c r="B84" s="35"/>
      <c r="C84" s="178">
        <v>0</v>
      </c>
      <c r="D84" s="80">
        <f t="shared" si="22"/>
        <v>0</v>
      </c>
      <c r="E84" s="178">
        <v>0</v>
      </c>
      <c r="F84" s="80">
        <f t="shared" si="23"/>
        <v>0</v>
      </c>
      <c r="G84" s="178">
        <v>0</v>
      </c>
      <c r="H84" s="80">
        <f t="shared" si="24"/>
        <v>0</v>
      </c>
      <c r="I84" s="178">
        <v>0</v>
      </c>
      <c r="J84" s="80">
        <f t="shared" si="25"/>
        <v>0</v>
      </c>
      <c r="K84" s="178">
        <v>0</v>
      </c>
      <c r="L84" s="80">
        <f t="shared" si="26"/>
        <v>0</v>
      </c>
      <c r="M84" s="178">
        <v>0</v>
      </c>
      <c r="N84" s="80">
        <f t="shared" si="27"/>
        <v>0</v>
      </c>
      <c r="O84" s="178">
        <v>0</v>
      </c>
      <c r="P84" s="80">
        <f t="shared" si="28"/>
        <v>0</v>
      </c>
      <c r="Q84" s="178">
        <v>0</v>
      </c>
      <c r="R84" s="80">
        <f t="shared" si="29"/>
        <v>0</v>
      </c>
      <c r="S84" s="178">
        <v>0</v>
      </c>
      <c r="T84" s="80">
        <f t="shared" si="30"/>
        <v>0</v>
      </c>
      <c r="U84" s="178">
        <v>0</v>
      </c>
      <c r="V84" s="80">
        <f t="shared" si="31"/>
        <v>0</v>
      </c>
      <c r="X84" s="192"/>
    </row>
    <row r="85" spans="1:24" ht="12.75" customHeight="1">
      <c r="A85" s="2" t="s">
        <v>429</v>
      </c>
      <c r="B85" s="35"/>
      <c r="C85" s="178">
        <v>0</v>
      </c>
      <c r="D85" s="80">
        <f t="shared" si="22"/>
        <v>0</v>
      </c>
      <c r="E85" s="178">
        <v>0</v>
      </c>
      <c r="F85" s="80">
        <f t="shared" si="23"/>
        <v>0</v>
      </c>
      <c r="G85" s="178">
        <v>0</v>
      </c>
      <c r="H85" s="80">
        <f t="shared" si="24"/>
        <v>0</v>
      </c>
      <c r="I85" s="178">
        <v>0</v>
      </c>
      <c r="J85" s="80">
        <f t="shared" si="25"/>
        <v>0</v>
      </c>
      <c r="K85" s="178">
        <v>0</v>
      </c>
      <c r="L85" s="80">
        <f t="shared" si="26"/>
        <v>0</v>
      </c>
      <c r="M85" s="178">
        <v>0</v>
      </c>
      <c r="N85" s="80">
        <f t="shared" si="27"/>
        <v>0</v>
      </c>
      <c r="O85" s="178">
        <v>0</v>
      </c>
      <c r="P85" s="80">
        <f t="shared" si="28"/>
        <v>0</v>
      </c>
      <c r="Q85" s="178">
        <v>0</v>
      </c>
      <c r="R85" s="80">
        <f t="shared" si="29"/>
        <v>0</v>
      </c>
      <c r="S85" s="178">
        <v>0</v>
      </c>
      <c r="T85" s="80">
        <f t="shared" si="30"/>
        <v>0</v>
      </c>
      <c r="U85" s="178">
        <v>0</v>
      </c>
      <c r="V85" s="80">
        <f t="shared" si="31"/>
        <v>0</v>
      </c>
      <c r="X85" s="192"/>
    </row>
    <row r="86" spans="1:24" ht="12.75" customHeight="1">
      <c r="A86" s="2" t="s">
        <v>430</v>
      </c>
      <c r="B86" s="35"/>
      <c r="C86" s="178">
        <v>1551.3120000000001</v>
      </c>
      <c r="D86" s="80">
        <f t="shared" si="22"/>
        <v>4.0000000000000001E-3</v>
      </c>
      <c r="E86" s="178">
        <v>1612</v>
      </c>
      <c r="F86" s="80">
        <f t="shared" si="23"/>
        <v>4.0000000000000001E-3</v>
      </c>
      <c r="G86" s="178">
        <v>1676</v>
      </c>
      <c r="H86" s="80">
        <f t="shared" si="24"/>
        <v>4.0000000000000001E-3</v>
      </c>
      <c r="I86" s="178">
        <v>1744</v>
      </c>
      <c r="J86" s="80">
        <f t="shared" si="25"/>
        <v>4.0000000000000001E-3</v>
      </c>
      <c r="K86" s="178">
        <v>1795.9999999999998</v>
      </c>
      <c r="L86" s="80">
        <f t="shared" si="26"/>
        <v>3.9999999999999992E-3</v>
      </c>
      <c r="M86" s="178">
        <v>1852</v>
      </c>
      <c r="N86" s="80">
        <f t="shared" si="27"/>
        <v>4.0000000000000001E-3</v>
      </c>
      <c r="O86" s="178">
        <v>1904</v>
      </c>
      <c r="P86" s="80">
        <f t="shared" si="28"/>
        <v>4.0000000000000001E-3</v>
      </c>
      <c r="Q86" s="178">
        <v>1964</v>
      </c>
      <c r="R86" s="80">
        <f t="shared" si="29"/>
        <v>4.0000000000000001E-3</v>
      </c>
      <c r="S86" s="178">
        <v>2020</v>
      </c>
      <c r="T86" s="80">
        <f t="shared" si="30"/>
        <v>4.0000000000000001E-3</v>
      </c>
      <c r="U86" s="178">
        <v>2084</v>
      </c>
      <c r="V86" s="80">
        <f t="shared" si="31"/>
        <v>4.0000000000000001E-3</v>
      </c>
      <c r="X86" s="192"/>
    </row>
    <row r="87" spans="1:24" ht="12.75" customHeight="1">
      <c r="A87" s="2" t="s">
        <v>431</v>
      </c>
      <c r="B87" s="35"/>
      <c r="C87" s="178">
        <v>0</v>
      </c>
      <c r="D87" s="80">
        <f t="shared" si="22"/>
        <v>0</v>
      </c>
      <c r="E87" s="178">
        <v>0</v>
      </c>
      <c r="F87" s="80">
        <f t="shared" si="23"/>
        <v>0</v>
      </c>
      <c r="G87" s="178">
        <v>0</v>
      </c>
      <c r="H87" s="80">
        <f t="shared" si="24"/>
        <v>0</v>
      </c>
      <c r="I87" s="178">
        <v>0</v>
      </c>
      <c r="J87" s="80">
        <f t="shared" si="25"/>
        <v>0</v>
      </c>
      <c r="K87" s="178">
        <v>0</v>
      </c>
      <c r="L87" s="80">
        <f t="shared" si="26"/>
        <v>0</v>
      </c>
      <c r="M87" s="178">
        <v>0</v>
      </c>
      <c r="N87" s="80">
        <f t="shared" si="27"/>
        <v>0</v>
      </c>
      <c r="O87" s="178">
        <v>0</v>
      </c>
      <c r="P87" s="80">
        <f t="shared" si="28"/>
        <v>0</v>
      </c>
      <c r="Q87" s="178">
        <v>0</v>
      </c>
      <c r="R87" s="80">
        <f t="shared" si="29"/>
        <v>0</v>
      </c>
      <c r="S87" s="178">
        <v>0</v>
      </c>
      <c r="T87" s="80">
        <f t="shared" si="30"/>
        <v>0</v>
      </c>
      <c r="U87" s="178">
        <v>0</v>
      </c>
      <c r="V87" s="80">
        <f t="shared" si="31"/>
        <v>0</v>
      </c>
      <c r="X87" s="192"/>
    </row>
    <row r="88" spans="1:24" ht="12.75" customHeight="1">
      <c r="A88" s="2" t="s">
        <v>432</v>
      </c>
      <c r="B88" s="35"/>
      <c r="C88" s="178">
        <v>1977.9228000000003</v>
      </c>
      <c r="D88" s="80">
        <f t="shared" si="22"/>
        <v>5.1000000000000004E-3</v>
      </c>
      <c r="E88" s="178">
        <v>2055.3000000000002</v>
      </c>
      <c r="F88" s="80">
        <f t="shared" si="23"/>
        <v>5.1000000000000004E-3</v>
      </c>
      <c r="G88" s="178">
        <v>2136.9</v>
      </c>
      <c r="H88" s="80">
        <f t="shared" si="24"/>
        <v>5.1000000000000004E-3</v>
      </c>
      <c r="I88" s="178">
        <v>2223.6</v>
      </c>
      <c r="J88" s="80">
        <f t="shared" si="25"/>
        <v>5.0999999999999995E-3</v>
      </c>
      <c r="K88" s="178">
        <v>2289.9</v>
      </c>
      <c r="L88" s="80">
        <f t="shared" si="26"/>
        <v>5.1000000000000004E-3</v>
      </c>
      <c r="M88" s="178">
        <v>2361.3000000000002</v>
      </c>
      <c r="N88" s="80">
        <f t="shared" si="27"/>
        <v>5.1000000000000004E-3</v>
      </c>
      <c r="O88" s="178">
        <v>2427.6</v>
      </c>
      <c r="P88" s="80">
        <f t="shared" si="28"/>
        <v>5.0999999999999995E-3</v>
      </c>
      <c r="Q88" s="178">
        <v>2504.1</v>
      </c>
      <c r="R88" s="80">
        <f t="shared" si="29"/>
        <v>5.0999999999999995E-3</v>
      </c>
      <c r="S88" s="178">
        <v>2575.5</v>
      </c>
      <c r="T88" s="80">
        <f t="shared" si="30"/>
        <v>5.1000000000000004E-3</v>
      </c>
      <c r="U88" s="178">
        <v>2657.1</v>
      </c>
      <c r="V88" s="80">
        <f t="shared" si="31"/>
        <v>5.0999999999999995E-3</v>
      </c>
      <c r="X88" s="192"/>
    </row>
    <row r="89" spans="1:24" ht="12.75" customHeight="1">
      <c r="A89" s="2" t="s">
        <v>433</v>
      </c>
      <c r="B89" s="35"/>
      <c r="C89" s="178">
        <v>0</v>
      </c>
      <c r="D89" s="80">
        <f t="shared" si="22"/>
        <v>0</v>
      </c>
      <c r="E89" s="178">
        <v>0</v>
      </c>
      <c r="F89" s="80">
        <f t="shared" si="23"/>
        <v>0</v>
      </c>
      <c r="G89" s="178">
        <v>0</v>
      </c>
      <c r="H89" s="80">
        <f t="shared" si="24"/>
        <v>0</v>
      </c>
      <c r="I89" s="178">
        <v>0</v>
      </c>
      <c r="J89" s="80">
        <f t="shared" si="25"/>
        <v>0</v>
      </c>
      <c r="K89" s="178">
        <v>0</v>
      </c>
      <c r="L89" s="80">
        <f t="shared" si="26"/>
        <v>0</v>
      </c>
      <c r="M89" s="178">
        <v>0</v>
      </c>
      <c r="N89" s="80">
        <f t="shared" si="27"/>
        <v>0</v>
      </c>
      <c r="O89" s="178">
        <v>0</v>
      </c>
      <c r="P89" s="80">
        <f t="shared" si="28"/>
        <v>0</v>
      </c>
      <c r="Q89" s="178">
        <v>0</v>
      </c>
      <c r="R89" s="80">
        <f t="shared" si="29"/>
        <v>0</v>
      </c>
      <c r="S89" s="178">
        <v>0</v>
      </c>
      <c r="T89" s="80">
        <f t="shared" si="30"/>
        <v>0</v>
      </c>
      <c r="U89" s="178">
        <v>0</v>
      </c>
      <c r="V89" s="80">
        <f t="shared" si="31"/>
        <v>0</v>
      </c>
      <c r="X89" s="192"/>
    </row>
    <row r="90" spans="1:24" ht="12.75" customHeight="1">
      <c r="A90" s="2" t="s">
        <v>434</v>
      </c>
      <c r="B90" s="35"/>
      <c r="C90" s="178">
        <v>77.565600000000003</v>
      </c>
      <c r="D90" s="80">
        <f t="shared" si="22"/>
        <v>2.0000000000000001E-4</v>
      </c>
      <c r="E90" s="178">
        <v>80.600000000000009</v>
      </c>
      <c r="F90" s="80">
        <f t="shared" si="23"/>
        <v>2.0000000000000001E-4</v>
      </c>
      <c r="G90" s="178">
        <v>83.800000000000011</v>
      </c>
      <c r="H90" s="80">
        <f t="shared" si="24"/>
        <v>2.0000000000000004E-4</v>
      </c>
      <c r="I90" s="178">
        <v>87.2</v>
      </c>
      <c r="J90" s="80">
        <f t="shared" si="25"/>
        <v>2.0000000000000001E-4</v>
      </c>
      <c r="K90" s="178">
        <v>89.8</v>
      </c>
      <c r="L90" s="80">
        <f t="shared" si="26"/>
        <v>1.9999999999999998E-4</v>
      </c>
      <c r="M90" s="178">
        <v>92.600000000000009</v>
      </c>
      <c r="N90" s="80">
        <f t="shared" si="27"/>
        <v>2.0000000000000001E-4</v>
      </c>
      <c r="O90" s="178">
        <v>95.2</v>
      </c>
      <c r="P90" s="80">
        <f t="shared" si="28"/>
        <v>2.0000000000000001E-4</v>
      </c>
      <c r="Q90" s="178">
        <v>98.2</v>
      </c>
      <c r="R90" s="80">
        <f t="shared" si="29"/>
        <v>2.0000000000000001E-4</v>
      </c>
      <c r="S90" s="178">
        <v>101.00000000000001</v>
      </c>
      <c r="T90" s="80">
        <f t="shared" si="30"/>
        <v>2.0000000000000004E-4</v>
      </c>
      <c r="U90" s="178">
        <v>104.2</v>
      </c>
      <c r="V90" s="80">
        <f t="shared" si="31"/>
        <v>2.0000000000000001E-4</v>
      </c>
      <c r="X90" s="192"/>
    </row>
    <row r="91" spans="1:24" ht="12.75" customHeight="1">
      <c r="A91" s="2" t="s">
        <v>435</v>
      </c>
      <c r="C91" s="178">
        <v>0</v>
      </c>
      <c r="D91" s="80">
        <f t="shared" si="22"/>
        <v>0</v>
      </c>
      <c r="E91" s="178">
        <v>0</v>
      </c>
      <c r="F91" s="80">
        <f t="shared" si="23"/>
        <v>0</v>
      </c>
      <c r="G91" s="178">
        <v>0</v>
      </c>
      <c r="H91" s="80">
        <f t="shared" si="24"/>
        <v>0</v>
      </c>
      <c r="I91" s="178">
        <v>0</v>
      </c>
      <c r="J91" s="80">
        <f t="shared" si="25"/>
        <v>0</v>
      </c>
      <c r="K91" s="178">
        <v>0</v>
      </c>
      <c r="L91" s="80">
        <f t="shared" si="26"/>
        <v>0</v>
      </c>
      <c r="M91" s="178">
        <v>0</v>
      </c>
      <c r="N91" s="80">
        <f t="shared" si="27"/>
        <v>0</v>
      </c>
      <c r="O91" s="178">
        <v>0</v>
      </c>
      <c r="P91" s="80">
        <f t="shared" si="28"/>
        <v>0</v>
      </c>
      <c r="Q91" s="178">
        <v>0</v>
      </c>
      <c r="R91" s="80">
        <f t="shared" si="29"/>
        <v>0</v>
      </c>
      <c r="S91" s="178">
        <v>0</v>
      </c>
      <c r="T91" s="80">
        <f t="shared" si="30"/>
        <v>0</v>
      </c>
      <c r="U91" s="178">
        <v>0</v>
      </c>
      <c r="V91" s="80">
        <f t="shared" si="31"/>
        <v>0</v>
      </c>
      <c r="X91" s="192"/>
    </row>
    <row r="92" spans="1:24" ht="12.75" customHeight="1">
      <c r="A92" s="2" t="s">
        <v>436</v>
      </c>
      <c r="B92" s="35"/>
      <c r="C92" s="178">
        <v>2016.7056</v>
      </c>
      <c r="D92" s="80">
        <f t="shared" si="22"/>
        <v>5.1999999999999998E-3</v>
      </c>
      <c r="E92" s="178">
        <v>2095.6</v>
      </c>
      <c r="F92" s="80">
        <f t="shared" si="23"/>
        <v>5.1999999999999998E-3</v>
      </c>
      <c r="G92" s="178">
        <v>2178.7999999999997</v>
      </c>
      <c r="H92" s="80">
        <f t="shared" si="24"/>
        <v>5.1999999999999998E-3</v>
      </c>
      <c r="I92" s="178">
        <v>2267.1999999999998</v>
      </c>
      <c r="J92" s="80">
        <f t="shared" si="25"/>
        <v>5.1999999999999998E-3</v>
      </c>
      <c r="K92" s="178">
        <v>2334.7999999999997</v>
      </c>
      <c r="L92" s="80">
        <f t="shared" si="26"/>
        <v>5.1999999999999998E-3</v>
      </c>
      <c r="M92" s="178">
        <v>2407.6</v>
      </c>
      <c r="N92" s="80">
        <f t="shared" si="27"/>
        <v>5.1999999999999998E-3</v>
      </c>
      <c r="O92" s="178">
        <v>2475.1999999999998</v>
      </c>
      <c r="P92" s="80">
        <f t="shared" si="28"/>
        <v>5.1999999999999998E-3</v>
      </c>
      <c r="Q92" s="178">
        <v>2553.1999999999998</v>
      </c>
      <c r="R92" s="80">
        <f t="shared" si="29"/>
        <v>5.1999999999999998E-3</v>
      </c>
      <c r="S92" s="178">
        <v>2626</v>
      </c>
      <c r="T92" s="80">
        <f t="shared" si="30"/>
        <v>5.1999999999999998E-3</v>
      </c>
      <c r="U92" s="178">
        <v>2709.2</v>
      </c>
      <c r="V92" s="80">
        <f t="shared" si="31"/>
        <v>5.1999999999999998E-3</v>
      </c>
      <c r="X92" s="192"/>
    </row>
    <row r="93" spans="1:24" ht="12.75" customHeight="1">
      <c r="A93" s="2" t="s">
        <v>437</v>
      </c>
      <c r="B93" s="35"/>
      <c r="C93" s="178">
        <v>0</v>
      </c>
      <c r="D93" s="80">
        <f t="shared" si="22"/>
        <v>0</v>
      </c>
      <c r="E93" s="178">
        <v>0</v>
      </c>
      <c r="F93" s="80">
        <f t="shared" si="23"/>
        <v>0</v>
      </c>
      <c r="G93" s="178">
        <v>0</v>
      </c>
      <c r="H93" s="80">
        <f t="shared" si="24"/>
        <v>0</v>
      </c>
      <c r="I93" s="178">
        <v>0</v>
      </c>
      <c r="J93" s="80">
        <f t="shared" si="25"/>
        <v>0</v>
      </c>
      <c r="K93" s="178">
        <v>0</v>
      </c>
      <c r="L93" s="80">
        <f t="shared" si="26"/>
        <v>0</v>
      </c>
      <c r="M93" s="178">
        <v>0</v>
      </c>
      <c r="N93" s="80">
        <f t="shared" si="27"/>
        <v>0</v>
      </c>
      <c r="O93" s="178">
        <v>0</v>
      </c>
      <c r="P93" s="80">
        <f t="shared" si="28"/>
        <v>0</v>
      </c>
      <c r="Q93" s="178">
        <v>0</v>
      </c>
      <c r="R93" s="80">
        <f t="shared" si="29"/>
        <v>0</v>
      </c>
      <c r="S93" s="178">
        <v>0</v>
      </c>
      <c r="T93" s="80">
        <f t="shared" si="30"/>
        <v>0</v>
      </c>
      <c r="U93" s="178">
        <v>0</v>
      </c>
      <c r="V93" s="80">
        <f t="shared" si="31"/>
        <v>0</v>
      </c>
      <c r="X93" s="192"/>
    </row>
    <row r="94" spans="1:24" ht="12.75" customHeight="1">
      <c r="A94" s="2" t="s">
        <v>438</v>
      </c>
      <c r="B94" s="35"/>
      <c r="C94" s="178">
        <v>0</v>
      </c>
      <c r="D94" s="80">
        <f t="shared" si="22"/>
        <v>0</v>
      </c>
      <c r="E94" s="178">
        <v>0</v>
      </c>
      <c r="F94" s="80">
        <f t="shared" si="23"/>
        <v>0</v>
      </c>
      <c r="G94" s="178">
        <v>0</v>
      </c>
      <c r="H94" s="80">
        <f t="shared" si="24"/>
        <v>0</v>
      </c>
      <c r="I94" s="178">
        <v>0</v>
      </c>
      <c r="J94" s="80">
        <f t="shared" si="25"/>
        <v>0</v>
      </c>
      <c r="K94" s="178">
        <v>0</v>
      </c>
      <c r="L94" s="80">
        <f t="shared" si="26"/>
        <v>0</v>
      </c>
      <c r="M94" s="178">
        <v>0</v>
      </c>
      <c r="N94" s="80">
        <f t="shared" si="27"/>
        <v>0</v>
      </c>
      <c r="O94" s="178">
        <v>0</v>
      </c>
      <c r="P94" s="80">
        <f t="shared" si="28"/>
        <v>0</v>
      </c>
      <c r="Q94" s="178">
        <v>0</v>
      </c>
      <c r="R94" s="80">
        <f t="shared" si="29"/>
        <v>0</v>
      </c>
      <c r="S94" s="178">
        <v>0</v>
      </c>
      <c r="T94" s="80">
        <f t="shared" si="30"/>
        <v>0</v>
      </c>
      <c r="U94" s="178">
        <v>0</v>
      </c>
      <c r="V94" s="80">
        <f t="shared" si="31"/>
        <v>0</v>
      </c>
      <c r="X94" s="192"/>
    </row>
    <row r="95" spans="1:24" ht="12.75" customHeight="1">
      <c r="A95" s="2" t="s">
        <v>439</v>
      </c>
      <c r="B95" s="35"/>
      <c r="C95" s="178">
        <v>0</v>
      </c>
      <c r="D95" s="80">
        <f t="shared" si="22"/>
        <v>0</v>
      </c>
      <c r="E95" s="178">
        <v>0</v>
      </c>
      <c r="F95" s="80">
        <f t="shared" si="23"/>
        <v>0</v>
      </c>
      <c r="G95" s="178">
        <v>0</v>
      </c>
      <c r="H95" s="80">
        <f t="shared" si="24"/>
        <v>0</v>
      </c>
      <c r="I95" s="178">
        <v>0</v>
      </c>
      <c r="J95" s="80">
        <f t="shared" si="25"/>
        <v>0</v>
      </c>
      <c r="K95" s="178">
        <v>0</v>
      </c>
      <c r="L95" s="80">
        <f t="shared" si="26"/>
        <v>0</v>
      </c>
      <c r="M95" s="178">
        <v>0</v>
      </c>
      <c r="N95" s="80">
        <f t="shared" si="27"/>
        <v>0</v>
      </c>
      <c r="O95" s="178">
        <v>0</v>
      </c>
      <c r="P95" s="80">
        <f t="shared" si="28"/>
        <v>0</v>
      </c>
      <c r="Q95" s="178">
        <v>0</v>
      </c>
      <c r="R95" s="80">
        <f t="shared" si="29"/>
        <v>0</v>
      </c>
      <c r="S95" s="178">
        <v>0</v>
      </c>
      <c r="T95" s="80">
        <f t="shared" si="30"/>
        <v>0</v>
      </c>
      <c r="U95" s="178">
        <v>0</v>
      </c>
      <c r="V95" s="80">
        <f t="shared" si="31"/>
        <v>0</v>
      </c>
      <c r="X95" s="192"/>
    </row>
    <row r="96" spans="1:24" ht="12.75" customHeight="1">
      <c r="A96" s="2" t="s">
        <v>440</v>
      </c>
      <c r="B96" s="35"/>
      <c r="C96" s="178">
        <v>0</v>
      </c>
      <c r="D96" s="80">
        <f t="shared" si="22"/>
        <v>0</v>
      </c>
      <c r="E96" s="178">
        <v>0</v>
      </c>
      <c r="F96" s="80">
        <f t="shared" si="23"/>
        <v>0</v>
      </c>
      <c r="G96" s="178">
        <v>0</v>
      </c>
      <c r="H96" s="80">
        <f t="shared" si="24"/>
        <v>0</v>
      </c>
      <c r="I96" s="178">
        <v>0</v>
      </c>
      <c r="J96" s="80">
        <f t="shared" si="25"/>
        <v>0</v>
      </c>
      <c r="K96" s="178">
        <v>0</v>
      </c>
      <c r="L96" s="80">
        <f t="shared" si="26"/>
        <v>0</v>
      </c>
      <c r="M96" s="178">
        <v>0</v>
      </c>
      <c r="N96" s="80">
        <f t="shared" si="27"/>
        <v>0</v>
      </c>
      <c r="O96" s="178">
        <v>0</v>
      </c>
      <c r="P96" s="80">
        <f t="shared" si="28"/>
        <v>0</v>
      </c>
      <c r="Q96" s="178">
        <v>0</v>
      </c>
      <c r="R96" s="80">
        <f t="shared" si="29"/>
        <v>0</v>
      </c>
      <c r="S96" s="178">
        <v>0</v>
      </c>
      <c r="T96" s="80">
        <f t="shared" si="30"/>
        <v>0</v>
      </c>
      <c r="U96" s="178">
        <v>0</v>
      </c>
      <c r="V96" s="80">
        <f t="shared" si="31"/>
        <v>0</v>
      </c>
      <c r="X96" s="192"/>
    </row>
    <row r="97" spans="1:24" ht="12.75" customHeight="1">
      <c r="A97" s="2" t="s">
        <v>441</v>
      </c>
      <c r="B97" s="35"/>
      <c r="C97" s="178">
        <v>6351.0694999999996</v>
      </c>
      <c r="D97" s="80">
        <f t="shared" si="22"/>
        <v>1.6375995286570334E-2</v>
      </c>
      <c r="E97" s="178">
        <v>7101.5387888000005</v>
      </c>
      <c r="F97" s="80">
        <f t="shared" si="23"/>
        <v>1.7621684339454095E-2</v>
      </c>
      <c r="G97" s="178">
        <v>7350.0926464079994</v>
      </c>
      <c r="H97" s="80">
        <f t="shared" si="24"/>
        <v>1.7541987222930787E-2</v>
      </c>
      <c r="I97" s="178">
        <v>7585.2956110930563</v>
      </c>
      <c r="J97" s="80">
        <f t="shared" si="25"/>
        <v>1.7397466997919855E-2</v>
      </c>
      <c r="K97" s="178">
        <v>7774.9280013703819</v>
      </c>
      <c r="L97" s="80">
        <f t="shared" si="26"/>
        <v>1.7316097998597731E-2</v>
      </c>
      <c r="M97" s="178">
        <v>7969.3012014046408</v>
      </c>
      <c r="N97" s="80">
        <f t="shared" si="27"/>
        <v>1.721231360994523E-2</v>
      </c>
      <c r="O97" s="178">
        <v>8168.5337314397566</v>
      </c>
      <c r="P97" s="80">
        <f t="shared" si="28"/>
        <v>1.7160785150083523E-2</v>
      </c>
      <c r="Q97" s="178">
        <v>8372.7470747257485</v>
      </c>
      <c r="R97" s="80">
        <f t="shared" si="29"/>
        <v>1.705243803406466E-2</v>
      </c>
      <c r="S97" s="178">
        <v>8540.2020162202643</v>
      </c>
      <c r="T97" s="80">
        <f t="shared" si="30"/>
        <v>1.6911291121228245E-2</v>
      </c>
      <c r="U97" s="178">
        <v>8753.7070666257696</v>
      </c>
      <c r="V97" s="80">
        <f t="shared" si="31"/>
        <v>1.6801741010798021E-2</v>
      </c>
      <c r="X97" s="192"/>
    </row>
    <row r="98" spans="1:24" ht="12.75" customHeight="1">
      <c r="A98" s="117" t="s">
        <v>444</v>
      </c>
      <c r="B98" s="35"/>
      <c r="C98" s="178">
        <v>465.39359999999999</v>
      </c>
      <c r="D98" s="80">
        <f t="shared" si="22"/>
        <v>1.1999999999999999E-3</v>
      </c>
      <c r="E98" s="178">
        <v>483.59999999999991</v>
      </c>
      <c r="F98" s="80">
        <f t="shared" si="23"/>
        <v>1.1999999999999997E-3</v>
      </c>
      <c r="G98" s="178">
        <v>502.79999999999995</v>
      </c>
      <c r="H98" s="80">
        <f t="shared" si="24"/>
        <v>1.1999999999999999E-3</v>
      </c>
      <c r="I98" s="178">
        <v>523.19999999999993</v>
      </c>
      <c r="J98" s="80">
        <f t="shared" si="25"/>
        <v>1.1999999999999999E-3</v>
      </c>
      <c r="K98" s="178">
        <v>538.79999999999995</v>
      </c>
      <c r="L98" s="80">
        <f t="shared" si="26"/>
        <v>1.1999999999999999E-3</v>
      </c>
      <c r="M98" s="178">
        <v>555.59999999999991</v>
      </c>
      <c r="N98" s="80">
        <f t="shared" si="27"/>
        <v>1.1999999999999999E-3</v>
      </c>
      <c r="O98" s="178">
        <v>571.19999999999993</v>
      </c>
      <c r="P98" s="80">
        <f t="shared" si="28"/>
        <v>1.1999999999999999E-3</v>
      </c>
      <c r="Q98" s="178">
        <v>589.19999999999993</v>
      </c>
      <c r="R98" s="80">
        <f t="shared" si="29"/>
        <v>1.1999999999999999E-3</v>
      </c>
      <c r="S98" s="178">
        <v>605.99999999999989</v>
      </c>
      <c r="T98" s="80">
        <f t="shared" si="30"/>
        <v>1.1999999999999997E-3</v>
      </c>
      <c r="U98" s="178">
        <v>625.19999999999993</v>
      </c>
      <c r="V98" s="80">
        <f t="shared" si="31"/>
        <v>1.1999999999999999E-3</v>
      </c>
      <c r="X98" s="192"/>
    </row>
    <row r="99" spans="1:24" ht="12.75" customHeight="1">
      <c r="A99" s="117" t="s">
        <v>444</v>
      </c>
      <c r="B99" s="35"/>
      <c r="C99" s="178">
        <v>0</v>
      </c>
      <c r="D99" s="80">
        <f t="shared" si="22"/>
        <v>0</v>
      </c>
      <c r="E99" s="178">
        <v>0</v>
      </c>
      <c r="F99" s="80">
        <f t="shared" si="23"/>
        <v>0</v>
      </c>
      <c r="G99" s="178">
        <v>0</v>
      </c>
      <c r="H99" s="80">
        <f t="shared" si="24"/>
        <v>0</v>
      </c>
      <c r="I99" s="178">
        <v>0</v>
      </c>
      <c r="J99" s="80">
        <f t="shared" si="25"/>
        <v>0</v>
      </c>
      <c r="K99" s="178">
        <v>0</v>
      </c>
      <c r="L99" s="80">
        <f t="shared" si="26"/>
        <v>0</v>
      </c>
      <c r="M99" s="178">
        <v>0</v>
      </c>
      <c r="N99" s="80">
        <f t="shared" si="27"/>
        <v>0</v>
      </c>
      <c r="O99" s="178">
        <v>0</v>
      </c>
      <c r="P99" s="80">
        <f t="shared" si="28"/>
        <v>0</v>
      </c>
      <c r="Q99" s="178">
        <v>0</v>
      </c>
      <c r="R99" s="80">
        <f t="shared" si="29"/>
        <v>0</v>
      </c>
      <c r="S99" s="178">
        <v>0</v>
      </c>
      <c r="T99" s="80">
        <f t="shared" si="30"/>
        <v>0</v>
      </c>
      <c r="U99" s="178">
        <v>0</v>
      </c>
      <c r="V99" s="80">
        <f t="shared" si="31"/>
        <v>0</v>
      </c>
      <c r="X99" s="192"/>
    </row>
    <row r="100" spans="1:24" ht="12.75" customHeight="1">
      <c r="A100" s="117" t="s">
        <v>444</v>
      </c>
      <c r="B100" s="35"/>
      <c r="C100" s="178">
        <v>0</v>
      </c>
      <c r="D100" s="80">
        <f t="shared" si="22"/>
        <v>0</v>
      </c>
      <c r="E100" s="178">
        <v>0</v>
      </c>
      <c r="F100" s="80">
        <f t="shared" si="23"/>
        <v>0</v>
      </c>
      <c r="G100" s="178">
        <v>0</v>
      </c>
      <c r="H100" s="80">
        <f t="shared" si="24"/>
        <v>0</v>
      </c>
      <c r="I100" s="178">
        <v>0</v>
      </c>
      <c r="J100" s="80">
        <f t="shared" si="25"/>
        <v>0</v>
      </c>
      <c r="K100" s="178">
        <v>0</v>
      </c>
      <c r="L100" s="80">
        <f t="shared" si="26"/>
        <v>0</v>
      </c>
      <c r="M100" s="178">
        <v>0</v>
      </c>
      <c r="N100" s="80">
        <f t="shared" si="27"/>
        <v>0</v>
      </c>
      <c r="O100" s="178">
        <v>0</v>
      </c>
      <c r="P100" s="80">
        <f t="shared" si="28"/>
        <v>0</v>
      </c>
      <c r="Q100" s="178">
        <v>0</v>
      </c>
      <c r="R100" s="80">
        <f t="shared" si="29"/>
        <v>0</v>
      </c>
      <c r="S100" s="178">
        <v>0</v>
      </c>
      <c r="T100" s="80">
        <f t="shared" si="30"/>
        <v>0</v>
      </c>
      <c r="U100" s="178">
        <v>0</v>
      </c>
      <c r="V100" s="80">
        <f t="shared" si="31"/>
        <v>0</v>
      </c>
      <c r="X100" s="192"/>
    </row>
    <row r="101" spans="1:24" ht="12.75" customHeight="1">
      <c r="A101" s="2" t="s">
        <v>445</v>
      </c>
      <c r="B101" s="35"/>
      <c r="C101" s="178"/>
      <c r="D101" s="80">
        <f t="shared" si="22"/>
        <v>0</v>
      </c>
      <c r="E101" s="178"/>
      <c r="F101" s="80">
        <f t="shared" si="23"/>
        <v>0</v>
      </c>
      <c r="G101" s="178"/>
      <c r="H101" s="80">
        <f t="shared" si="24"/>
        <v>0</v>
      </c>
      <c r="I101" s="178">
        <v>0</v>
      </c>
      <c r="J101" s="80">
        <f t="shared" si="25"/>
        <v>0</v>
      </c>
      <c r="K101" s="178">
        <v>0</v>
      </c>
      <c r="L101" s="80">
        <f t="shared" si="26"/>
        <v>0</v>
      </c>
      <c r="M101" s="178">
        <v>0</v>
      </c>
      <c r="N101" s="80">
        <f t="shared" si="27"/>
        <v>0</v>
      </c>
      <c r="O101" s="178">
        <v>0</v>
      </c>
      <c r="P101" s="80">
        <f t="shared" si="28"/>
        <v>0</v>
      </c>
      <c r="Q101" s="178">
        <v>0</v>
      </c>
      <c r="R101" s="80">
        <f t="shared" si="29"/>
        <v>0</v>
      </c>
      <c r="S101" s="178">
        <v>0</v>
      </c>
      <c r="T101" s="80">
        <f t="shared" si="30"/>
        <v>0</v>
      </c>
      <c r="U101" s="178">
        <v>0</v>
      </c>
      <c r="V101" s="80">
        <f t="shared" si="31"/>
        <v>0</v>
      </c>
      <c r="X101" s="192"/>
    </row>
    <row r="102" spans="1:24" ht="12.75" customHeight="1">
      <c r="A102" s="117" t="s">
        <v>446</v>
      </c>
      <c r="B102" s="35"/>
      <c r="C102" s="178">
        <v>3878.28</v>
      </c>
      <c r="D102" s="80">
        <f t="shared" si="22"/>
        <v>0.01</v>
      </c>
      <c r="E102" s="178">
        <v>4029.9999999999995</v>
      </c>
      <c r="F102" s="80">
        <f t="shared" si="23"/>
        <v>9.9999999999999985E-3</v>
      </c>
      <c r="G102" s="178">
        <v>4190</v>
      </c>
      <c r="H102" s="80">
        <f t="shared" si="24"/>
        <v>0.01</v>
      </c>
      <c r="I102" s="178">
        <v>4360</v>
      </c>
      <c r="J102" s="80">
        <f t="shared" si="25"/>
        <v>0.01</v>
      </c>
      <c r="K102" s="178">
        <v>4490</v>
      </c>
      <c r="L102" s="80">
        <f t="shared" si="26"/>
        <v>0.01</v>
      </c>
      <c r="M102" s="178">
        <v>4630</v>
      </c>
      <c r="N102" s="80">
        <f t="shared" si="27"/>
        <v>0.01</v>
      </c>
      <c r="O102" s="178">
        <v>4760</v>
      </c>
      <c r="P102" s="80">
        <f t="shared" si="28"/>
        <v>0.01</v>
      </c>
      <c r="Q102" s="178">
        <v>4910</v>
      </c>
      <c r="R102" s="80">
        <f t="shared" si="29"/>
        <v>0.01</v>
      </c>
      <c r="S102" s="178">
        <v>5050</v>
      </c>
      <c r="T102" s="80">
        <f t="shared" si="30"/>
        <v>0.01</v>
      </c>
      <c r="U102" s="178">
        <v>5210</v>
      </c>
      <c r="V102" s="80">
        <f t="shared" si="31"/>
        <v>0.01</v>
      </c>
      <c r="X102" s="192"/>
    </row>
    <row r="103" spans="1:24" ht="12.75" customHeight="1">
      <c r="A103" s="117" t="s">
        <v>446</v>
      </c>
      <c r="B103" s="35"/>
      <c r="C103" s="178">
        <v>0</v>
      </c>
      <c r="D103" s="80">
        <f t="shared" si="22"/>
        <v>0</v>
      </c>
      <c r="E103" s="178">
        <v>0</v>
      </c>
      <c r="F103" s="80">
        <f t="shared" si="23"/>
        <v>0</v>
      </c>
      <c r="G103" s="178">
        <v>0</v>
      </c>
      <c r="H103" s="80">
        <f t="shared" si="24"/>
        <v>0</v>
      </c>
      <c r="I103" s="178">
        <v>0</v>
      </c>
      <c r="J103" s="80">
        <f t="shared" si="25"/>
        <v>0</v>
      </c>
      <c r="K103" s="178">
        <v>0</v>
      </c>
      <c r="L103" s="80">
        <f t="shared" si="26"/>
        <v>0</v>
      </c>
      <c r="M103" s="178">
        <v>0</v>
      </c>
      <c r="N103" s="80">
        <f t="shared" si="27"/>
        <v>0</v>
      </c>
      <c r="O103" s="178">
        <v>0</v>
      </c>
      <c r="P103" s="80">
        <f t="shared" si="28"/>
        <v>0</v>
      </c>
      <c r="Q103" s="178">
        <v>0</v>
      </c>
      <c r="R103" s="80">
        <f t="shared" si="29"/>
        <v>0</v>
      </c>
      <c r="S103" s="178">
        <v>0</v>
      </c>
      <c r="T103" s="80">
        <f t="shared" si="30"/>
        <v>0</v>
      </c>
      <c r="U103" s="178">
        <v>0</v>
      </c>
      <c r="V103" s="80">
        <f t="shared" si="31"/>
        <v>0</v>
      </c>
      <c r="X103" s="192"/>
    </row>
    <row r="104" spans="1:24" ht="12.75" customHeight="1">
      <c r="A104" s="117" t="s">
        <v>446</v>
      </c>
      <c r="B104" s="1"/>
      <c r="C104" s="178">
        <v>0</v>
      </c>
      <c r="D104" s="80">
        <f t="shared" si="22"/>
        <v>0</v>
      </c>
      <c r="E104" s="178">
        <v>0</v>
      </c>
      <c r="F104" s="80">
        <f t="shared" si="23"/>
        <v>0</v>
      </c>
      <c r="G104" s="178">
        <v>0</v>
      </c>
      <c r="H104" s="80">
        <f t="shared" si="24"/>
        <v>0</v>
      </c>
      <c r="I104" s="178">
        <v>0</v>
      </c>
      <c r="J104" s="80">
        <f t="shared" si="25"/>
        <v>0</v>
      </c>
      <c r="K104" s="178">
        <v>0</v>
      </c>
      <c r="L104" s="80">
        <f t="shared" si="26"/>
        <v>0</v>
      </c>
      <c r="M104" s="178">
        <v>0</v>
      </c>
      <c r="N104" s="80">
        <f t="shared" si="27"/>
        <v>0</v>
      </c>
      <c r="O104" s="178">
        <v>0</v>
      </c>
      <c r="P104" s="80">
        <f t="shared" si="28"/>
        <v>0</v>
      </c>
      <c r="Q104" s="178">
        <v>0</v>
      </c>
      <c r="R104" s="80">
        <f t="shared" si="29"/>
        <v>0</v>
      </c>
      <c r="S104" s="178">
        <v>0</v>
      </c>
      <c r="T104" s="80">
        <f t="shared" si="30"/>
        <v>0</v>
      </c>
      <c r="U104" s="178">
        <v>0</v>
      </c>
      <c r="V104" s="80">
        <f t="shared" si="31"/>
        <v>0</v>
      </c>
      <c r="X104" s="192"/>
    </row>
    <row r="105" spans="1:24" ht="12.75" customHeight="1">
      <c r="A105" s="1" t="s">
        <v>447</v>
      </c>
      <c r="B105" s="53"/>
      <c r="C105" s="82">
        <f>SUM(C52:C104)</f>
        <v>69247.339062395535</v>
      </c>
      <c r="D105" s="83">
        <f t="shared" ref="D105" si="32">IFERROR(C105/C$28,0)</f>
        <v>0.17855167513020084</v>
      </c>
      <c r="E105" s="82">
        <f>SUM(E52:E104)</f>
        <v>72530.721073308639</v>
      </c>
      <c r="F105" s="83">
        <f t="shared" ref="F105" si="33">IFERROR(E105/E$28,0)</f>
        <v>0.17997697536801152</v>
      </c>
      <c r="G105" s="82">
        <f>SUM(G52:G104)</f>
        <v>75322.20685973503</v>
      </c>
      <c r="H105" s="83">
        <f t="shared" ref="H105" si="34">IFERROR(G105/G$28,0)</f>
        <v>0.17976660348385448</v>
      </c>
      <c r="I105" s="82">
        <f>SUM(I52:I104)</f>
        <v>78328.903170141217</v>
      </c>
      <c r="J105" s="83">
        <f t="shared" ref="J105" si="35">IFERROR(I105/I$28,0)</f>
        <v>0.17965344763793856</v>
      </c>
      <c r="K105" s="82">
        <f>SUM(K52:K104)</f>
        <v>80610.91730174754</v>
      </c>
      <c r="L105" s="83">
        <f t="shared" ref="L105" si="36">IFERROR(K105/K$28,0)</f>
        <v>0.17953433697493884</v>
      </c>
      <c r="M105" s="82">
        <f>SUM(M52:M104)</f>
        <v>83085.875255988911</v>
      </c>
      <c r="N105" s="83">
        <f t="shared" ref="N105" si="37">IFERROR(M105/M$28,0)</f>
        <v>0.17945113446217908</v>
      </c>
      <c r="O105" s="82">
        <f>SUM(O52:O104)</f>
        <v>85406.212909091075</v>
      </c>
      <c r="P105" s="83">
        <f t="shared" ref="P105" si="38">IFERROR(O105/O$28,0)</f>
        <v>0.17942481703590563</v>
      </c>
      <c r="Q105" s="82">
        <f>SUM(Q52:Q104)</f>
        <v>88062.056807200206</v>
      </c>
      <c r="R105" s="83">
        <f t="shared" ref="R105" si="39">IFERROR(Q105/Q$28,0)</f>
        <v>0.17935245785580489</v>
      </c>
      <c r="S105" s="82">
        <f>SUM(S52:S104)</f>
        <v>90519.442074625447</v>
      </c>
      <c r="T105" s="83">
        <f t="shared" ref="T105" si="40">IFERROR(S105/S$28,0)</f>
        <v>0.17924641994975335</v>
      </c>
      <c r="U105" s="82">
        <f>SUM(U52:U104)</f>
        <v>93349.855508433335</v>
      </c>
      <c r="V105" s="83">
        <f t="shared" si="31"/>
        <v>0.17917438677242484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448</v>
      </c>
      <c r="B107" s="53"/>
      <c r="C107" s="82">
        <f>C28-C33-C46-C105</f>
        <v>20058.202937604481</v>
      </c>
      <c r="D107" s="83">
        <f>IFERROR(C107/C$28,0)</f>
        <v>5.1719326447818313E-2</v>
      </c>
      <c r="E107" s="82">
        <f>E28-E33-E46-E105</f>
        <v>6763.2780626913591</v>
      </c>
      <c r="F107" s="83">
        <f>IFERROR(E107/E$28,0)</f>
        <v>1.6782327698986004E-2</v>
      </c>
      <c r="G107" s="82">
        <f>G28-G33-G46-G105</f>
        <v>8016.7322460249852</v>
      </c>
      <c r="H107" s="83">
        <f>IFERROR(G107/G$28,0)</f>
        <v>1.9133012520346028E-2</v>
      </c>
      <c r="I107" s="82">
        <f>I28-I33-I46-I105</f>
        <v>10083.521987003071</v>
      </c>
      <c r="J107" s="83">
        <f>IFERROR(I107/I$28,0)</f>
        <v>2.3127344006887776E-2</v>
      </c>
      <c r="K107" s="82">
        <f>K28-K33-K46-K105</f>
        <v>11418.818484325398</v>
      </c>
      <c r="L107" s="83">
        <f>IFERROR(K107/K$28,0)</f>
        <v>2.543166700295189E-2</v>
      </c>
      <c r="M107" s="82">
        <f>M28-M33-M46-M105</f>
        <v>13103.853924735857</v>
      </c>
      <c r="N107" s="83">
        <f>IFERROR(M107/M$28,0)</f>
        <v>2.8302060312604443E-2</v>
      </c>
      <c r="O107" s="82">
        <f>O28-O33-O46-O105</f>
        <v>14143.009501151813</v>
      </c>
      <c r="P107" s="83">
        <f>IFERROR(O107/O$28,0)</f>
        <v>2.9712204834352548E-2</v>
      </c>
      <c r="Q107" s="82">
        <f>Q28-Q33-Q46-Q105</f>
        <v>16052.896163298821</v>
      </c>
      <c r="R107" s="83">
        <f>IFERROR(Q107/Q$28,0)</f>
        <v>3.2694289538286805E-2</v>
      </c>
      <c r="S107" s="82">
        <f>S28-S33-S46-S105</f>
        <v>18478.409955283554</v>
      </c>
      <c r="T107" s="83">
        <f>IFERROR(S107/S$28,0)</f>
        <v>3.659091080254169E-2</v>
      </c>
      <c r="U107" s="82">
        <f>U28-U33-U46-U105</f>
        <v>20634.192822223413</v>
      </c>
      <c r="V107" s="83">
        <f>IFERROR(U107/U$28,0)</f>
        <v>3.9604976626148584E-2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449</v>
      </c>
      <c r="B110" s="40"/>
      <c r="C110" s="86" t="str">
        <f>C50</f>
        <v>FY 2018-19</v>
      </c>
      <c r="D110" s="86" t="s">
        <v>366</v>
      </c>
      <c r="E110" s="86" t="str">
        <f>E50</f>
        <v>FY 2019-20</v>
      </c>
      <c r="F110" s="86" t="s">
        <v>366</v>
      </c>
      <c r="G110" s="86" t="str">
        <f>G50</f>
        <v>FY 2020-21</v>
      </c>
      <c r="H110" s="86" t="s">
        <v>366</v>
      </c>
      <c r="I110" s="86" t="str">
        <f>I50</f>
        <v>FY 2021-22</v>
      </c>
      <c r="J110" s="86" t="s">
        <v>366</v>
      </c>
      <c r="K110" s="86" t="str">
        <f>K50</f>
        <v>FY 2022-23</v>
      </c>
      <c r="L110" s="86" t="s">
        <v>366</v>
      </c>
      <c r="M110" s="86" t="str">
        <f>M50</f>
        <v>FY 2023-24</v>
      </c>
      <c r="N110" s="86" t="s">
        <v>366</v>
      </c>
      <c r="O110" s="86" t="str">
        <f>O50</f>
        <v>FY 2024-25</v>
      </c>
      <c r="P110" s="86" t="s">
        <v>366</v>
      </c>
      <c r="Q110" s="86" t="str">
        <f>Q50</f>
        <v>FY 2025-26</v>
      </c>
      <c r="R110" s="86" t="s">
        <v>366</v>
      </c>
      <c r="S110" s="86" t="str">
        <f>S50</f>
        <v>FY 2026-27</v>
      </c>
      <c r="T110" s="86" t="s">
        <v>366</v>
      </c>
      <c r="U110" s="86" t="str">
        <f>U50</f>
        <v>FY 2027-28</v>
      </c>
      <c r="V110" s="86" t="s">
        <v>366</v>
      </c>
    </row>
    <row r="111" spans="1:24" ht="12.75" customHeight="1">
      <c r="A111" s="2" t="s">
        <v>403</v>
      </c>
      <c r="B111" s="35"/>
      <c r="C111" s="79">
        <f>C59</f>
        <v>0</v>
      </c>
      <c r="D111" s="80">
        <f t="shared" ref="D111:D116" si="41">IFERROR(C111/C$28,0)</f>
        <v>0</v>
      </c>
      <c r="E111" s="79">
        <f>E59</f>
        <v>0</v>
      </c>
      <c r="F111" s="80">
        <f t="shared" ref="F111:F116" si="42">IFERROR(E111/E$28,0)</f>
        <v>0</v>
      </c>
      <c r="G111" s="79">
        <f>G59</f>
        <v>0</v>
      </c>
      <c r="H111" s="80">
        <f t="shared" ref="H111:H116" si="43">IFERROR(G111/G$28,0)</f>
        <v>0</v>
      </c>
      <c r="I111" s="79">
        <f>I59</f>
        <v>0</v>
      </c>
      <c r="J111" s="80">
        <f t="shared" ref="J111:J116" si="44">IFERROR(I111/I$28,0)</f>
        <v>0</v>
      </c>
      <c r="K111" s="79">
        <f>K59</f>
        <v>0</v>
      </c>
      <c r="L111" s="80">
        <f t="shared" ref="L111:L116" si="45">IFERROR(K111/K$28,0)</f>
        <v>0</v>
      </c>
      <c r="M111" s="79">
        <f>M59</f>
        <v>0</v>
      </c>
      <c r="N111" s="80">
        <f t="shared" ref="N111:N116" si="46">IFERROR(M111/M$28,0)</f>
        <v>0</v>
      </c>
      <c r="O111" s="79">
        <f>O59</f>
        <v>0</v>
      </c>
      <c r="P111" s="80">
        <f t="shared" ref="P111:P116" si="47">IFERROR(O111/O$28,0)</f>
        <v>0</v>
      </c>
      <c r="Q111" s="79">
        <f>Q59</f>
        <v>0</v>
      </c>
      <c r="R111" s="80">
        <f t="shared" ref="R111:R116" si="48">IFERROR(Q111/Q$28,0)</f>
        <v>0</v>
      </c>
      <c r="S111" s="79">
        <f>S59</f>
        <v>0</v>
      </c>
      <c r="T111" s="80">
        <f t="shared" ref="T111:T116" si="49">IFERROR(S111/S$28,0)</f>
        <v>0</v>
      </c>
      <c r="U111" s="79">
        <f>U59</f>
        <v>0</v>
      </c>
      <c r="V111" s="80">
        <f t="shared" ref="V111:V116" si="50">IFERROR(U111/U$28,0)</f>
        <v>0</v>
      </c>
    </row>
    <row r="112" spans="1:24" ht="12.75" customHeight="1">
      <c r="A112" s="2" t="s">
        <v>450</v>
      </c>
      <c r="B112" s="35"/>
      <c r="C112" s="79">
        <f>C62</f>
        <v>0</v>
      </c>
      <c r="D112" s="80">
        <f t="shared" si="41"/>
        <v>0</v>
      </c>
      <c r="E112" s="79">
        <f>E62</f>
        <v>0</v>
      </c>
      <c r="F112" s="80">
        <f t="shared" si="42"/>
        <v>0</v>
      </c>
      <c r="G112" s="79">
        <f>G62</f>
        <v>0</v>
      </c>
      <c r="H112" s="80">
        <f t="shared" si="43"/>
        <v>0</v>
      </c>
      <c r="I112" s="79">
        <f>I62</f>
        <v>0</v>
      </c>
      <c r="J112" s="80">
        <f t="shared" si="44"/>
        <v>0</v>
      </c>
      <c r="K112" s="79">
        <f>K62</f>
        <v>0</v>
      </c>
      <c r="L112" s="80">
        <f t="shared" si="45"/>
        <v>0</v>
      </c>
      <c r="M112" s="79">
        <f>M62</f>
        <v>0</v>
      </c>
      <c r="N112" s="80">
        <f t="shared" si="46"/>
        <v>0</v>
      </c>
      <c r="O112" s="79">
        <f>O62</f>
        <v>0</v>
      </c>
      <c r="P112" s="80">
        <f t="shared" si="47"/>
        <v>0</v>
      </c>
      <c r="Q112" s="79">
        <f>Q62</f>
        <v>0</v>
      </c>
      <c r="R112" s="80">
        <f t="shared" si="48"/>
        <v>0</v>
      </c>
      <c r="S112" s="79">
        <f>S62</f>
        <v>0</v>
      </c>
      <c r="T112" s="80">
        <f t="shared" si="49"/>
        <v>0</v>
      </c>
      <c r="U112" s="79">
        <f>U62</f>
        <v>0</v>
      </c>
      <c r="V112" s="80">
        <f t="shared" si="50"/>
        <v>0</v>
      </c>
    </row>
    <row r="113" spans="1:22" ht="12.75" customHeight="1">
      <c r="A113" s="117" t="s">
        <v>446</v>
      </c>
      <c r="B113" s="41"/>
      <c r="C113" s="111">
        <v>0</v>
      </c>
      <c r="D113" s="80">
        <f t="shared" si="41"/>
        <v>0</v>
      </c>
      <c r="E113" s="111">
        <v>0</v>
      </c>
      <c r="F113" s="80">
        <f t="shared" si="42"/>
        <v>0</v>
      </c>
      <c r="G113" s="111">
        <v>0</v>
      </c>
      <c r="H113" s="80">
        <f t="shared" si="43"/>
        <v>0</v>
      </c>
      <c r="I113" s="111">
        <v>0</v>
      </c>
      <c r="J113" s="80">
        <f t="shared" si="44"/>
        <v>0</v>
      </c>
      <c r="K113" s="111">
        <v>0</v>
      </c>
      <c r="L113" s="80">
        <f t="shared" si="45"/>
        <v>0</v>
      </c>
      <c r="M113" s="111">
        <v>0</v>
      </c>
      <c r="N113" s="80">
        <f t="shared" si="46"/>
        <v>0</v>
      </c>
      <c r="O113" s="111">
        <v>0</v>
      </c>
      <c r="P113" s="80">
        <f t="shared" si="47"/>
        <v>0</v>
      </c>
      <c r="Q113" s="111">
        <v>0</v>
      </c>
      <c r="R113" s="80">
        <f t="shared" si="48"/>
        <v>0</v>
      </c>
      <c r="S113" s="111">
        <v>0</v>
      </c>
      <c r="T113" s="80">
        <f t="shared" si="49"/>
        <v>0</v>
      </c>
      <c r="U113" s="111">
        <v>0</v>
      </c>
      <c r="V113" s="80">
        <f t="shared" si="50"/>
        <v>0</v>
      </c>
    </row>
    <row r="114" spans="1:22" ht="12.75" customHeight="1">
      <c r="A114" s="117" t="s">
        <v>446</v>
      </c>
      <c r="B114" s="41"/>
      <c r="C114" s="111">
        <v>0</v>
      </c>
      <c r="D114" s="80">
        <f t="shared" si="41"/>
        <v>0</v>
      </c>
      <c r="E114" s="111">
        <v>0</v>
      </c>
      <c r="F114" s="80">
        <f t="shared" si="42"/>
        <v>0</v>
      </c>
      <c r="G114" s="111">
        <v>0</v>
      </c>
      <c r="H114" s="80">
        <f t="shared" si="43"/>
        <v>0</v>
      </c>
      <c r="I114" s="111">
        <v>0</v>
      </c>
      <c r="J114" s="80">
        <f t="shared" si="44"/>
        <v>0</v>
      </c>
      <c r="K114" s="111">
        <v>0</v>
      </c>
      <c r="L114" s="80">
        <f t="shared" si="45"/>
        <v>0</v>
      </c>
      <c r="M114" s="111">
        <v>0</v>
      </c>
      <c r="N114" s="80">
        <f t="shared" si="46"/>
        <v>0</v>
      </c>
      <c r="O114" s="111">
        <v>0</v>
      </c>
      <c r="P114" s="80">
        <f t="shared" si="47"/>
        <v>0</v>
      </c>
      <c r="Q114" s="111">
        <v>0</v>
      </c>
      <c r="R114" s="80">
        <f t="shared" si="48"/>
        <v>0</v>
      </c>
      <c r="S114" s="111">
        <v>0</v>
      </c>
      <c r="T114" s="80">
        <f t="shared" si="49"/>
        <v>0</v>
      </c>
      <c r="U114" s="111">
        <v>0</v>
      </c>
      <c r="V114" s="80">
        <f t="shared" si="50"/>
        <v>0</v>
      </c>
    </row>
    <row r="115" spans="1:22" ht="12.75" customHeight="1">
      <c r="A115" s="117" t="s">
        <v>446</v>
      </c>
      <c r="B115" s="41"/>
      <c r="C115" s="112">
        <v>0</v>
      </c>
      <c r="D115" s="80">
        <f t="shared" si="41"/>
        <v>0</v>
      </c>
      <c r="E115" s="112">
        <v>0</v>
      </c>
      <c r="F115" s="80">
        <f t="shared" si="42"/>
        <v>0</v>
      </c>
      <c r="G115" s="112">
        <v>0</v>
      </c>
      <c r="H115" s="80">
        <f t="shared" si="43"/>
        <v>0</v>
      </c>
      <c r="I115" s="112">
        <v>0</v>
      </c>
      <c r="J115" s="80">
        <f t="shared" si="44"/>
        <v>0</v>
      </c>
      <c r="K115" s="112">
        <v>0</v>
      </c>
      <c r="L115" s="80">
        <f t="shared" si="45"/>
        <v>0</v>
      </c>
      <c r="M115" s="112">
        <v>0</v>
      </c>
      <c r="N115" s="80">
        <f t="shared" si="46"/>
        <v>0</v>
      </c>
      <c r="O115" s="112">
        <v>0</v>
      </c>
      <c r="P115" s="80">
        <f t="shared" si="47"/>
        <v>0</v>
      </c>
      <c r="Q115" s="112">
        <v>0</v>
      </c>
      <c r="R115" s="80">
        <f t="shared" si="48"/>
        <v>0</v>
      </c>
      <c r="S115" s="112">
        <v>0</v>
      </c>
      <c r="T115" s="80">
        <f t="shared" si="49"/>
        <v>0</v>
      </c>
      <c r="U115" s="112">
        <v>0</v>
      </c>
      <c r="V115" s="80">
        <f t="shared" si="50"/>
        <v>0</v>
      </c>
    </row>
    <row r="116" spans="1:22" ht="12.75" customHeight="1">
      <c r="A116" s="40" t="s">
        <v>451</v>
      </c>
      <c r="B116" s="42"/>
      <c r="C116" s="85">
        <f>SUM(C111:C115)</f>
        <v>0</v>
      </c>
      <c r="D116" s="83">
        <f t="shared" si="41"/>
        <v>0</v>
      </c>
      <c r="E116" s="85">
        <f>SUM(E111:E115)</f>
        <v>0</v>
      </c>
      <c r="F116" s="83">
        <f t="shared" si="42"/>
        <v>0</v>
      </c>
      <c r="G116" s="85">
        <f>SUM(G111:G115)</f>
        <v>0</v>
      </c>
      <c r="H116" s="83">
        <f t="shared" si="43"/>
        <v>0</v>
      </c>
      <c r="I116" s="85">
        <f>SUM(I111:I115)</f>
        <v>0</v>
      </c>
      <c r="J116" s="83">
        <f t="shared" si="44"/>
        <v>0</v>
      </c>
      <c r="K116" s="85">
        <f>SUM(K111:K115)</f>
        <v>0</v>
      </c>
      <c r="L116" s="83">
        <f t="shared" si="45"/>
        <v>0</v>
      </c>
      <c r="M116" s="85">
        <f>SUM(M111:M115)</f>
        <v>0</v>
      </c>
      <c r="N116" s="83">
        <f t="shared" si="46"/>
        <v>0</v>
      </c>
      <c r="O116" s="85">
        <f>SUM(O111:O115)</f>
        <v>0</v>
      </c>
      <c r="P116" s="83">
        <f t="shared" si="47"/>
        <v>0</v>
      </c>
      <c r="Q116" s="85">
        <f>SUM(Q111:Q115)</f>
        <v>0</v>
      </c>
      <c r="R116" s="83">
        <f t="shared" si="48"/>
        <v>0</v>
      </c>
      <c r="S116" s="85">
        <f>SUM(S111:S115)</f>
        <v>0</v>
      </c>
      <c r="T116" s="83">
        <f t="shared" si="49"/>
        <v>0</v>
      </c>
      <c r="U116" s="85">
        <f>SUM(U111:U115)</f>
        <v>0</v>
      </c>
      <c r="V116" s="83">
        <f t="shared" si="50"/>
        <v>0</v>
      </c>
    </row>
    <row r="118" spans="1:22" ht="12.75" customHeight="1">
      <c r="A118" s="43" t="s">
        <v>452</v>
      </c>
      <c r="B118" s="43"/>
    </row>
    <row r="119" spans="1:22" ht="12.75" customHeight="1">
      <c r="A119" s="47" t="s">
        <v>453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7" tint="0.59999389629810485"/>
  </sheetPr>
  <dimension ref="A1:X119"/>
  <sheetViews>
    <sheetView topLeftCell="A12" zoomScale="70" zoomScaleNormal="70" workbookViewId="0" xr3:uid="{EE242A16-C6B8-5192-B120-522BC795EE76}">
      <selection activeCell="W59" sqref="W59"/>
    </sheetView>
  </sheetViews>
  <sheetFormatPr defaultColWidth="9.140625" defaultRowHeight="12.75" customHeight="1"/>
  <cols>
    <col min="1" max="1" width="9.5703125" style="2" customWidth="1"/>
    <col min="2" max="2" width="36.140625" style="2" customWidth="1"/>
    <col min="3" max="3" width="12.7109375" style="2" customWidth="1"/>
    <col min="4" max="4" width="8.7109375" style="2" customWidth="1"/>
    <col min="5" max="5" width="12.7109375" style="2" customWidth="1"/>
    <col min="6" max="6" width="8.7109375" style="2" customWidth="1"/>
    <col min="7" max="7" width="12.710937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3.570312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3.570312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355</v>
      </c>
      <c r="G2" s="33" t="s">
        <v>50</v>
      </c>
      <c r="H2" s="34"/>
      <c r="I2" s="34"/>
      <c r="V2" s="32"/>
    </row>
    <row r="3" spans="1:22" ht="12.75" customHeight="1">
      <c r="A3" s="1" t="s">
        <v>357</v>
      </c>
      <c r="D3" s="118" t="s">
        <v>358</v>
      </c>
      <c r="G3" s="115" t="str">
        <f>+G2</f>
        <v>Chick-fil-A (Parking Garage 5)</v>
      </c>
      <c r="H3" s="116"/>
      <c r="I3" s="116"/>
      <c r="V3" s="32"/>
    </row>
    <row r="4" spans="1:22" ht="12.75" customHeight="1">
      <c r="A4" s="1" t="s">
        <v>359</v>
      </c>
      <c r="B4" s="109" t="s">
        <v>221</v>
      </c>
      <c r="D4" s="118" t="s">
        <v>360</v>
      </c>
      <c r="G4" s="115" t="s">
        <v>65</v>
      </c>
      <c r="H4" s="116"/>
      <c r="I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361</v>
      </c>
      <c r="B7" s="1"/>
    </row>
    <row r="8" spans="1:22" ht="12.75" customHeight="1">
      <c r="A8" s="2" t="s">
        <v>362</v>
      </c>
      <c r="C8" s="109">
        <v>190</v>
      </c>
      <c r="E8" s="109">
        <f>+C8</f>
        <v>190</v>
      </c>
      <c r="G8" s="109">
        <f>+E8</f>
        <v>190</v>
      </c>
      <c r="I8" s="109">
        <f>+G8</f>
        <v>190</v>
      </c>
      <c r="K8" s="109">
        <f>+I8</f>
        <v>190</v>
      </c>
      <c r="M8" s="109">
        <f>+K8</f>
        <v>190</v>
      </c>
      <c r="O8" s="109">
        <f>+M8</f>
        <v>190</v>
      </c>
      <c r="Q8" s="109">
        <f>+O8</f>
        <v>190</v>
      </c>
      <c r="S8" s="109">
        <f>+Q8</f>
        <v>190</v>
      </c>
      <c r="U8" s="109">
        <f>+S8</f>
        <v>190</v>
      </c>
    </row>
    <row r="10" spans="1:22" ht="12.75" customHeight="1">
      <c r="A10" s="2" t="s">
        <v>462</v>
      </c>
      <c r="C10" s="201">
        <f>+C14/C8/C12</f>
        <v>696.00000000000011</v>
      </c>
      <c r="D10" s="202"/>
      <c r="E10" s="201">
        <f>+E14/E8/E12</f>
        <v>720.05166289958026</v>
      </c>
      <c r="F10" s="202"/>
      <c r="G10" s="201">
        <f>+G14/G8/G12</f>
        <v>783.41181197267986</v>
      </c>
      <c r="H10" s="202"/>
      <c r="I10" s="201">
        <f>+I14/I8/I12</f>
        <v>811.03362661974086</v>
      </c>
      <c r="J10" s="202"/>
      <c r="K10" s="201">
        <f>+K14/K8/K12</f>
        <v>831.57326793534503</v>
      </c>
      <c r="L10" s="202"/>
      <c r="M10" s="201">
        <f>+M14/M8/M12</f>
        <v>853.93669382868939</v>
      </c>
      <c r="N10" s="202"/>
      <c r="O10" s="201">
        <f>+O14/O8/O12</f>
        <v>876.90951706567478</v>
      </c>
      <c r="P10" s="202"/>
      <c r="Q10" s="201">
        <f>+Q14/Q8/Q12</f>
        <v>899.16043969181737</v>
      </c>
      <c r="R10" s="202"/>
      <c r="S10" s="201">
        <f>+S14/S8/S12</f>
        <v>921.99455875642036</v>
      </c>
      <c r="T10" s="202"/>
      <c r="U10" s="201">
        <f>+U14/U8/U12</f>
        <v>945.42744717110497</v>
      </c>
    </row>
    <row r="12" spans="1:22" ht="12.75" customHeight="1">
      <c r="A12" s="2" t="s">
        <v>463</v>
      </c>
      <c r="C12" s="110">
        <v>6.49</v>
      </c>
      <c r="E12" s="110">
        <v>6.52</v>
      </c>
      <c r="G12" s="110">
        <v>6.55</v>
      </c>
      <c r="I12" s="110">
        <v>6.58</v>
      </c>
      <c r="K12" s="110">
        <v>6.61</v>
      </c>
      <c r="M12" s="110">
        <v>6.63</v>
      </c>
      <c r="O12" s="110">
        <v>6.65</v>
      </c>
      <c r="Q12" s="110">
        <v>6.68</v>
      </c>
      <c r="S12" s="110">
        <v>6.71</v>
      </c>
      <c r="U12" s="110">
        <v>6.74</v>
      </c>
    </row>
    <row r="14" spans="1:22" ht="12.75" customHeight="1">
      <c r="A14" s="2" t="s">
        <v>464</v>
      </c>
      <c r="C14" s="198">
        <v>858237.60000000009</v>
      </c>
      <c r="D14" s="12"/>
      <c r="E14" s="198">
        <v>892000</v>
      </c>
      <c r="F14" s="12"/>
      <c r="G14" s="198">
        <f>+E14*1.093</f>
        <v>974956</v>
      </c>
      <c r="H14" s="12"/>
      <c r="I14" s="198">
        <f>+G14*1.04</f>
        <v>1013954.24</v>
      </c>
      <c r="J14" s="12"/>
      <c r="K14" s="198">
        <f>+I14*1.03</f>
        <v>1044372.8672</v>
      </c>
      <c r="L14" s="12"/>
      <c r="M14" s="198">
        <f>+K14*1.03</f>
        <v>1075704.0532160001</v>
      </c>
      <c r="N14" s="12"/>
      <c r="O14" s="198">
        <f>+M14*1.03</f>
        <v>1107975.1748124801</v>
      </c>
      <c r="P14" s="12"/>
      <c r="Q14" s="198">
        <f>+O14*1.03</f>
        <v>1141214.4300568546</v>
      </c>
      <c r="R14" s="12"/>
      <c r="S14" s="198">
        <f>+Q14*1.03</f>
        <v>1175450.8629585602</v>
      </c>
      <c r="T14" s="12"/>
      <c r="U14" s="198">
        <f>+S14*1.03</f>
        <v>1210714.3888473171</v>
      </c>
    </row>
    <row r="15" spans="1:22" ht="12.75" customHeight="1">
      <c r="A15" s="39">
        <v>0.05</v>
      </c>
    </row>
    <row r="16" spans="1:22" ht="12.75" customHeight="1">
      <c r="B16" s="35"/>
      <c r="C16" s="86" t="str">
        <f>C6</f>
        <v>FY 2018-19</v>
      </c>
      <c r="D16" s="86" t="s">
        <v>366</v>
      </c>
      <c r="E16" s="86" t="str">
        <f>E6</f>
        <v>FY 2019-20</v>
      </c>
      <c r="F16" s="86" t="s">
        <v>366</v>
      </c>
      <c r="G16" s="86" t="str">
        <f>G6</f>
        <v>FY 2020-21</v>
      </c>
      <c r="H16" s="86" t="s">
        <v>366</v>
      </c>
      <c r="I16" s="86" t="str">
        <f>I6</f>
        <v>FY 2021-22</v>
      </c>
      <c r="J16" s="86" t="s">
        <v>366</v>
      </c>
      <c r="K16" s="86" t="str">
        <f>K6</f>
        <v>FY 2022-23</v>
      </c>
      <c r="L16" s="86" t="s">
        <v>366</v>
      </c>
      <c r="M16" s="86" t="str">
        <f>M6</f>
        <v>FY 2023-24</v>
      </c>
      <c r="N16" s="86" t="s">
        <v>366</v>
      </c>
      <c r="O16" s="86" t="str">
        <f>O6</f>
        <v>FY 2024-25</v>
      </c>
      <c r="P16" s="86" t="s">
        <v>366</v>
      </c>
      <c r="Q16" s="86" t="str">
        <f>Q6</f>
        <v>FY 2025-26</v>
      </c>
      <c r="R16" s="86" t="s">
        <v>366</v>
      </c>
      <c r="S16" s="86" t="str">
        <f>S6</f>
        <v>FY 2026-27</v>
      </c>
      <c r="T16" s="86" t="s">
        <v>366</v>
      </c>
      <c r="U16" s="86" t="str">
        <f>U6</f>
        <v>FY 2027-28</v>
      </c>
      <c r="V16" s="86" t="s">
        <v>366</v>
      </c>
    </row>
    <row r="17" spans="1:24" ht="12.75" customHeight="1">
      <c r="A17" s="1" t="s">
        <v>367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368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369</v>
      </c>
      <c r="B19" s="35"/>
      <c r="C19" s="196">
        <f>+C14-C20-C21</f>
        <v>717658.28112000017</v>
      </c>
      <c r="D19" s="80">
        <f>IFERROR(C19/C$28,0)</f>
        <v>0.83620000000000017</v>
      </c>
      <c r="E19" s="196">
        <f>+E14-E20-E21</f>
        <v>731440</v>
      </c>
      <c r="F19" s="80">
        <f>IFERROR(E19/E$28,0)</f>
        <v>0.82</v>
      </c>
      <c r="G19" s="196">
        <f>+G14-G20-G21</f>
        <v>805007.7</v>
      </c>
      <c r="H19" s="80">
        <f>IFERROR(G19/G$28,0)</f>
        <v>0.82568618481244282</v>
      </c>
      <c r="I19" s="196">
        <f>+I14-I20-I21</f>
        <v>835049.72479999997</v>
      </c>
      <c r="J19" s="80">
        <f>IFERROR(I19/I$28,0)</f>
        <v>0.82355760433528047</v>
      </c>
      <c r="K19" s="196">
        <f>+K14-K20-K21</f>
        <v>861586.07542400004</v>
      </c>
      <c r="L19" s="80">
        <f>IFERROR(K19/K$28,0)</f>
        <v>0.82497937516697672</v>
      </c>
      <c r="M19" s="196">
        <f>+M14-M20-M21</f>
        <v>883569.69347824017</v>
      </c>
      <c r="N19" s="80">
        <f>IFERROR(M19/M$28,0)</f>
        <v>0.82138734239836542</v>
      </c>
      <c r="O19" s="196">
        <f>+O14-O20-O21</f>
        <v>911621.6314613393</v>
      </c>
      <c r="P19" s="80">
        <f>IFERROR(O19/O$28,0)</f>
        <v>0.82278164004498311</v>
      </c>
      <c r="Q19" s="196">
        <f>+Q14-Q20-Q21</f>
        <v>940546.02452750655</v>
      </c>
      <c r="R19" s="80">
        <f>IFERROR(Q19/Q$28,0)</f>
        <v>0.82416240082124559</v>
      </c>
      <c r="S19" s="196">
        <f>+S14-S20-S21</f>
        <v>970369.66426810529</v>
      </c>
      <c r="T19" s="80">
        <f>IFERROR(S19/S$28,0)</f>
        <v>0.825529756153078</v>
      </c>
      <c r="U19" s="196">
        <f>+U14-U20-U21</f>
        <v>995066.5864367811</v>
      </c>
      <c r="V19" s="80">
        <f>IFERROR(U19/U$28,0)</f>
        <v>0.82188383619042682</v>
      </c>
    </row>
    <row r="20" spans="1:24" ht="12.75" customHeight="1">
      <c r="A20" s="2" t="s">
        <v>370</v>
      </c>
      <c r="B20" s="35"/>
      <c r="C20" s="111">
        <f>+C14*12.38%</f>
        <v>106249.81488000002</v>
      </c>
      <c r="D20" s="80">
        <f>IFERROR(C20/C$28,0)</f>
        <v>0.12380000000000001</v>
      </c>
      <c r="E20" s="111">
        <f>+E14*16%</f>
        <v>142720</v>
      </c>
      <c r="F20" s="80">
        <f>IFERROR(E20/E$28,0)</f>
        <v>0.16</v>
      </c>
      <c r="G20" s="111">
        <f t="shared" ref="G20:U20" si="0">E20*1.02</f>
        <v>145574.39999999999</v>
      </c>
      <c r="H20" s="80">
        <f>IFERROR(G20/G$28,0)</f>
        <v>0.14931381518755718</v>
      </c>
      <c r="I20" s="111">
        <f t="shared" si="0"/>
        <v>148485.88800000001</v>
      </c>
      <c r="J20" s="80">
        <f>IFERROR(I20/I$28,0)</f>
        <v>0.14644239566471956</v>
      </c>
      <c r="K20" s="111">
        <f t="shared" si="0"/>
        <v>151455.60576000001</v>
      </c>
      <c r="L20" s="80">
        <f>IFERROR(K20/K$28,0)</f>
        <v>0.14502062483302322</v>
      </c>
      <c r="M20" s="111">
        <f t="shared" si="0"/>
        <v>154484.7178752</v>
      </c>
      <c r="N20" s="80">
        <f>IFERROR(M20/M$28,0)</f>
        <v>0.14361265760163466</v>
      </c>
      <c r="O20" s="111">
        <f t="shared" si="0"/>
        <v>157574.41223270399</v>
      </c>
      <c r="P20" s="80">
        <f>IFERROR(O20/O$28,0)</f>
        <v>0.14221835995501683</v>
      </c>
      <c r="Q20" s="111">
        <f t="shared" si="0"/>
        <v>160725.90047735808</v>
      </c>
      <c r="R20" s="80">
        <f>IFERROR(Q20/Q$28,0)</f>
        <v>0.14083759917875455</v>
      </c>
      <c r="S20" s="111">
        <f t="shared" si="0"/>
        <v>163940.41848690526</v>
      </c>
      <c r="T20" s="80">
        <f>IFERROR(S20/S$28,0)</f>
        <v>0.13947024384692197</v>
      </c>
      <c r="U20" s="111">
        <f t="shared" si="0"/>
        <v>167219.22685664336</v>
      </c>
      <c r="V20" s="80">
        <f>IFERROR(U20/U$28,0)</f>
        <v>0.1381161638095732</v>
      </c>
    </row>
    <row r="21" spans="1:24" ht="12.75" customHeight="1">
      <c r="A21" s="186" t="s">
        <v>371</v>
      </c>
      <c r="B21" s="195"/>
      <c r="C21" s="111">
        <f>+C14*0.04</f>
        <v>34329.504000000001</v>
      </c>
      <c r="D21" s="80">
        <f>IFERROR(C21/C$28,0)</f>
        <v>3.9999999999999994E-2</v>
      </c>
      <c r="E21" s="111">
        <f>+E14*0.02</f>
        <v>17840</v>
      </c>
      <c r="F21" s="80">
        <f>IFERROR(E21/E$28,0)</f>
        <v>0.02</v>
      </c>
      <c r="G21" s="111">
        <f>+G14*0.025</f>
        <v>24373.9</v>
      </c>
      <c r="H21" s="80">
        <f>IFERROR(G21/G$28,0)</f>
        <v>2.5000000000000001E-2</v>
      </c>
      <c r="I21" s="111">
        <f>+I14*0.03</f>
        <v>30418.627199999999</v>
      </c>
      <c r="J21" s="80">
        <f>IFERROR(I21/I$28,0)</f>
        <v>0.03</v>
      </c>
      <c r="K21" s="111">
        <f>+K14*0.03</f>
        <v>31331.186016</v>
      </c>
      <c r="L21" s="80">
        <f>IFERROR(K21/K$28,0)</f>
        <v>2.9999999999999995E-2</v>
      </c>
      <c r="M21" s="111">
        <f>+M14*0.035</f>
        <v>37649.641862560005</v>
      </c>
      <c r="N21" s="80">
        <f>IFERROR(M21/M$28,0)</f>
        <v>3.5000000000000003E-2</v>
      </c>
      <c r="O21" s="111">
        <f>+O14*0.035</f>
        <v>38779.13111843681</v>
      </c>
      <c r="P21" s="80">
        <f>IFERROR(O21/O$28,0)</f>
        <v>3.5000000000000003E-2</v>
      </c>
      <c r="Q21" s="111">
        <f>+Q14*0.035</f>
        <v>39942.505051989916</v>
      </c>
      <c r="R21" s="80">
        <f>IFERROR(Q21/Q$28,0)</f>
        <v>3.500000000000001E-2</v>
      </c>
      <c r="S21" s="111">
        <f>+S14*0.035</f>
        <v>41140.780203549613</v>
      </c>
      <c r="T21" s="80">
        <f>IFERROR(S21/S$28,0)</f>
        <v>3.5000000000000003E-2</v>
      </c>
      <c r="U21" s="111">
        <f>+U14*0.04</f>
        <v>48428.575553892682</v>
      </c>
      <c r="V21" s="80">
        <f>IFERROR(U21/U$28,0)</f>
        <v>0.04</v>
      </c>
    </row>
    <row r="22" spans="1:24" ht="12.75" customHeight="1">
      <c r="A22" s="2" t="s">
        <v>372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373</v>
      </c>
      <c r="B23" s="123"/>
      <c r="C23" s="79"/>
      <c r="D23" s="80">
        <f t="shared" ref="D23:D28" si="1">IFERROR(C23/C$28,0)</f>
        <v>0</v>
      </c>
      <c r="E23" s="79"/>
      <c r="F23" s="80">
        <f t="shared" ref="F23:F28" si="2">IFERROR(E23/E$28,0)</f>
        <v>0</v>
      </c>
      <c r="G23" s="79"/>
      <c r="H23" s="80">
        <f t="shared" ref="H23:H28" si="3">IFERROR(G23/G$28,0)</f>
        <v>0</v>
      </c>
      <c r="I23" s="79"/>
      <c r="J23" s="80">
        <f t="shared" ref="J23:J28" si="4">IFERROR(I23/I$28,0)</f>
        <v>0</v>
      </c>
      <c r="K23" s="79"/>
      <c r="L23" s="80">
        <f t="shared" ref="L23:L28" si="5">IFERROR(K23/K$28,0)</f>
        <v>0</v>
      </c>
      <c r="M23" s="79"/>
      <c r="N23" s="80">
        <f t="shared" ref="N23:N28" si="6">IFERROR(M23/M$28,0)</f>
        <v>0</v>
      </c>
      <c r="O23" s="79"/>
      <c r="P23" s="80">
        <f t="shared" ref="P23:P28" si="7">IFERROR(O23/O$28,0)</f>
        <v>0</v>
      </c>
      <c r="Q23" s="79"/>
      <c r="R23" s="80">
        <f t="shared" ref="R23:R28" si="8">IFERROR(Q23/Q$28,0)</f>
        <v>0</v>
      </c>
      <c r="S23" s="79"/>
      <c r="T23" s="80">
        <f t="shared" ref="T23:T28" si="9">IFERROR(S23/S$28,0)</f>
        <v>0</v>
      </c>
      <c r="U23" s="79"/>
      <c r="V23" s="80">
        <f t="shared" ref="V23:V28" si="10">IFERROR(U23/U$28,0)</f>
        <v>0</v>
      </c>
    </row>
    <row r="24" spans="1:24" ht="12.75" customHeight="1">
      <c r="A24" s="122" t="s">
        <v>374</v>
      </c>
      <c r="B24" s="123"/>
      <c r="C24" s="79"/>
      <c r="D24" s="80">
        <f t="shared" si="1"/>
        <v>0</v>
      </c>
      <c r="E24" s="79"/>
      <c r="F24" s="80">
        <f t="shared" si="2"/>
        <v>0</v>
      </c>
      <c r="G24" s="79"/>
      <c r="H24" s="80">
        <f t="shared" si="3"/>
        <v>0</v>
      </c>
      <c r="I24" s="79"/>
      <c r="J24" s="80">
        <f t="shared" si="4"/>
        <v>0</v>
      </c>
      <c r="K24" s="79"/>
      <c r="L24" s="80">
        <f t="shared" si="5"/>
        <v>0</v>
      </c>
      <c r="M24" s="79"/>
      <c r="N24" s="80">
        <f t="shared" si="6"/>
        <v>0</v>
      </c>
      <c r="O24" s="79"/>
      <c r="P24" s="80">
        <f t="shared" si="7"/>
        <v>0</v>
      </c>
      <c r="Q24" s="79"/>
      <c r="R24" s="80">
        <f t="shared" si="8"/>
        <v>0</v>
      </c>
      <c r="S24" s="79"/>
      <c r="T24" s="80">
        <f t="shared" si="9"/>
        <v>0</v>
      </c>
      <c r="U24" s="79"/>
      <c r="V24" s="80">
        <f t="shared" si="10"/>
        <v>0</v>
      </c>
      <c r="X24" s="79"/>
    </row>
    <row r="25" spans="1:24" ht="12.75" customHeight="1">
      <c r="A25" s="2" t="s">
        <v>375</v>
      </c>
      <c r="B25" s="35"/>
      <c r="C25" s="111"/>
      <c r="D25" s="80">
        <f t="shared" si="1"/>
        <v>0</v>
      </c>
      <c r="E25" s="111"/>
      <c r="F25" s="80">
        <f t="shared" si="2"/>
        <v>0</v>
      </c>
      <c r="G25" s="111"/>
      <c r="H25" s="80">
        <f t="shared" si="3"/>
        <v>0</v>
      </c>
      <c r="I25" s="111"/>
      <c r="J25" s="80">
        <f t="shared" si="4"/>
        <v>0</v>
      </c>
      <c r="K25" s="111"/>
      <c r="L25" s="80">
        <f t="shared" si="5"/>
        <v>0</v>
      </c>
      <c r="M25" s="111"/>
      <c r="N25" s="80">
        <f t="shared" si="6"/>
        <v>0</v>
      </c>
      <c r="O25" s="111"/>
      <c r="P25" s="80">
        <f t="shared" si="7"/>
        <v>0</v>
      </c>
      <c r="Q25" s="111"/>
      <c r="R25" s="80">
        <f t="shared" si="8"/>
        <v>0</v>
      </c>
      <c r="S25" s="111"/>
      <c r="T25" s="80">
        <f t="shared" si="9"/>
        <v>0</v>
      </c>
      <c r="U25" s="111"/>
      <c r="V25" s="80">
        <f t="shared" si="10"/>
        <v>0</v>
      </c>
      <c r="X25" s="79"/>
    </row>
    <row r="26" spans="1:24" ht="12.75" customHeight="1">
      <c r="A26" s="122" t="s">
        <v>376</v>
      </c>
      <c r="B26" s="35"/>
      <c r="C26" s="79"/>
      <c r="D26" s="80">
        <f t="shared" si="1"/>
        <v>0</v>
      </c>
      <c r="E26" s="79"/>
      <c r="F26" s="80">
        <f t="shared" si="2"/>
        <v>0</v>
      </c>
      <c r="G26" s="79"/>
      <c r="H26" s="80">
        <f t="shared" si="3"/>
        <v>0</v>
      </c>
      <c r="I26" s="79"/>
      <c r="J26" s="80">
        <f t="shared" si="4"/>
        <v>0</v>
      </c>
      <c r="K26" s="79"/>
      <c r="L26" s="80">
        <f t="shared" si="5"/>
        <v>0</v>
      </c>
      <c r="M26" s="79"/>
      <c r="N26" s="80">
        <f t="shared" si="6"/>
        <v>0</v>
      </c>
      <c r="O26" s="79"/>
      <c r="P26" s="80">
        <f t="shared" si="7"/>
        <v>0</v>
      </c>
      <c r="Q26" s="79"/>
      <c r="R26" s="80">
        <f t="shared" si="8"/>
        <v>0</v>
      </c>
      <c r="S26" s="79"/>
      <c r="T26" s="80">
        <f t="shared" si="9"/>
        <v>0</v>
      </c>
      <c r="U26" s="79"/>
      <c r="V26" s="80">
        <f t="shared" si="10"/>
        <v>0</v>
      </c>
    </row>
    <row r="27" spans="1:24" ht="12.75" customHeight="1">
      <c r="A27" s="2" t="s">
        <v>377</v>
      </c>
      <c r="B27" s="35"/>
      <c r="C27" s="112"/>
      <c r="D27" s="80">
        <f t="shared" si="1"/>
        <v>0</v>
      </c>
      <c r="E27" s="112"/>
      <c r="F27" s="80">
        <f t="shared" si="2"/>
        <v>0</v>
      </c>
      <c r="G27" s="112"/>
      <c r="H27" s="80">
        <f t="shared" si="3"/>
        <v>0</v>
      </c>
      <c r="I27" s="112"/>
      <c r="J27" s="80">
        <f t="shared" si="4"/>
        <v>0</v>
      </c>
      <c r="K27" s="112"/>
      <c r="L27" s="80">
        <f t="shared" si="5"/>
        <v>0</v>
      </c>
      <c r="M27" s="112"/>
      <c r="N27" s="80">
        <f t="shared" si="6"/>
        <v>0</v>
      </c>
      <c r="O27" s="112"/>
      <c r="P27" s="80">
        <f t="shared" si="7"/>
        <v>0</v>
      </c>
      <c r="Q27" s="112"/>
      <c r="R27" s="80">
        <f t="shared" si="8"/>
        <v>0</v>
      </c>
      <c r="S27" s="112"/>
      <c r="T27" s="80">
        <f t="shared" si="9"/>
        <v>0</v>
      </c>
      <c r="U27" s="112"/>
      <c r="V27" s="80">
        <f t="shared" si="10"/>
        <v>0</v>
      </c>
    </row>
    <row r="28" spans="1:24" ht="12.75" customHeight="1">
      <c r="A28" s="1" t="s">
        <v>378</v>
      </c>
      <c r="B28" s="53"/>
      <c r="C28" s="82">
        <f>SUM(C19:C27)</f>
        <v>858237.60000000009</v>
      </c>
      <c r="D28" s="83">
        <f t="shared" si="1"/>
        <v>1</v>
      </c>
      <c r="E28" s="82">
        <f>SUM(E19:E27)</f>
        <v>892000</v>
      </c>
      <c r="F28" s="83">
        <f t="shared" si="2"/>
        <v>1</v>
      </c>
      <c r="G28" s="82">
        <f>SUM(G19:G27)</f>
        <v>974956</v>
      </c>
      <c r="H28" s="83">
        <f t="shared" si="3"/>
        <v>1</v>
      </c>
      <c r="I28" s="82">
        <f>SUM(I19:I27)</f>
        <v>1013954.24</v>
      </c>
      <c r="J28" s="83">
        <f t="shared" si="4"/>
        <v>1</v>
      </c>
      <c r="K28" s="82">
        <f>SUM(K19:K27)</f>
        <v>1044372.8672000001</v>
      </c>
      <c r="L28" s="83">
        <f t="shared" si="5"/>
        <v>1</v>
      </c>
      <c r="M28" s="82">
        <f>SUM(M19:M27)</f>
        <v>1075704.0532160001</v>
      </c>
      <c r="N28" s="83">
        <f t="shared" si="6"/>
        <v>1</v>
      </c>
      <c r="O28" s="82">
        <f>SUM(O19:O27)</f>
        <v>1107975.1748124801</v>
      </c>
      <c r="P28" s="83">
        <f t="shared" si="7"/>
        <v>1</v>
      </c>
      <c r="Q28" s="82">
        <f>SUM(Q19:Q27)</f>
        <v>1141214.4300568544</v>
      </c>
      <c r="R28" s="83">
        <f t="shared" si="8"/>
        <v>1</v>
      </c>
      <c r="S28" s="82">
        <f>SUM(S19:S27)</f>
        <v>1175450.8629585602</v>
      </c>
      <c r="T28" s="83">
        <f t="shared" si="9"/>
        <v>1</v>
      </c>
      <c r="U28" s="82">
        <f>SUM(U19:U27)</f>
        <v>1210714.3888473171</v>
      </c>
      <c r="V28" s="83">
        <f t="shared" si="10"/>
        <v>1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379</v>
      </c>
      <c r="B30" s="53"/>
      <c r="C30" s="197">
        <v>0.33</v>
      </c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380</v>
      </c>
      <c r="B31" s="35"/>
      <c r="C31" s="178">
        <f>$C$30*C14</f>
        <v>283218.40800000005</v>
      </c>
      <c r="D31" s="80">
        <f>IFERROR(C31/C$28,0)</f>
        <v>0.33</v>
      </c>
      <c r="E31" s="178">
        <f>$C$30*E14</f>
        <v>294360</v>
      </c>
      <c r="F31" s="80">
        <f>IFERROR(E31/E$28,0)</f>
        <v>0.33</v>
      </c>
      <c r="G31" s="178">
        <f>$C$30*G14</f>
        <v>321735.48000000004</v>
      </c>
      <c r="H31" s="80">
        <f>IFERROR(G31/G$28,0)</f>
        <v>0.33</v>
      </c>
      <c r="I31" s="178">
        <f>$C$30*I14</f>
        <v>334604.89919999999</v>
      </c>
      <c r="J31" s="80">
        <f>IFERROR(I31/I$28,0)</f>
        <v>0.33</v>
      </c>
      <c r="K31" s="178">
        <f>$C$30*K14</f>
        <v>344643.04617600003</v>
      </c>
      <c r="L31" s="80">
        <f>IFERROR(K31/K$28,0)</f>
        <v>0.33</v>
      </c>
      <c r="M31" s="178">
        <f>$C$30*M14</f>
        <v>354982.33756128006</v>
      </c>
      <c r="N31" s="80">
        <f>IFERROR(M31/M$28,0)</f>
        <v>0.33</v>
      </c>
      <c r="O31" s="178">
        <f>$C$30*O14</f>
        <v>365631.80768811842</v>
      </c>
      <c r="P31" s="80">
        <f>IFERROR(O31/O$28,0)</f>
        <v>0.33</v>
      </c>
      <c r="Q31" s="178">
        <f>$C$30*Q14</f>
        <v>376600.76191876206</v>
      </c>
      <c r="R31" s="80">
        <f>IFERROR(Q31/Q$28,0)</f>
        <v>0.33000000000000007</v>
      </c>
      <c r="S31" s="178">
        <f>$C$30*S14</f>
        <v>387898.78477632487</v>
      </c>
      <c r="T31" s="80">
        <f>IFERROR(S31/S$28,0)</f>
        <v>0.33</v>
      </c>
      <c r="U31" s="178">
        <f>$C$30*U14</f>
        <v>399535.74831961468</v>
      </c>
      <c r="V31" s="80">
        <f>IFERROR(U31/U$28,0)</f>
        <v>0.33</v>
      </c>
    </row>
    <row r="32" spans="1:24" ht="12.75" customHeight="1">
      <c r="A32" s="8" t="s">
        <v>381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382</v>
      </c>
      <c r="B33" s="53"/>
      <c r="C33" s="82">
        <f>SUM(C31:C32)</f>
        <v>283218.40800000005</v>
      </c>
      <c r="D33" s="83">
        <f>IFERROR(C33/C$28,0)</f>
        <v>0.33</v>
      </c>
      <c r="E33" s="82">
        <f>SUM(E31:E32)</f>
        <v>294360</v>
      </c>
      <c r="F33" s="83">
        <f>IFERROR(E33/E$28,0)</f>
        <v>0.33</v>
      </c>
      <c r="G33" s="82">
        <f>SUM(G31:G32)</f>
        <v>321735.48000000004</v>
      </c>
      <c r="H33" s="83">
        <f>IFERROR(G33/G$28,0)</f>
        <v>0.33</v>
      </c>
      <c r="I33" s="82">
        <f>SUM(I31:I32)</f>
        <v>334604.89919999999</v>
      </c>
      <c r="J33" s="83">
        <f>IFERROR(I33/I$28,0)</f>
        <v>0.33</v>
      </c>
      <c r="K33" s="82">
        <f>SUM(K31:K32)</f>
        <v>344643.04617600003</v>
      </c>
      <c r="L33" s="83">
        <f>IFERROR(K33/K$28,0)</f>
        <v>0.33</v>
      </c>
      <c r="M33" s="82">
        <f>SUM(M31:M32)</f>
        <v>354982.33756128006</v>
      </c>
      <c r="N33" s="83">
        <f>IFERROR(M33/M$28,0)</f>
        <v>0.33</v>
      </c>
      <c r="O33" s="82">
        <f>SUM(O31:O32)</f>
        <v>365631.80768811842</v>
      </c>
      <c r="P33" s="83">
        <f>IFERROR(O33/O$28,0)</f>
        <v>0.33</v>
      </c>
      <c r="Q33" s="82">
        <f>SUM(Q31:Q32)</f>
        <v>376600.76191876206</v>
      </c>
      <c r="R33" s="83">
        <f>IFERROR(Q33/Q$28,0)</f>
        <v>0.33000000000000007</v>
      </c>
      <c r="S33" s="82">
        <f>SUM(S31:S32)</f>
        <v>387898.78477632487</v>
      </c>
      <c r="T33" s="83">
        <f>IFERROR(S33/S$28,0)</f>
        <v>0.33</v>
      </c>
      <c r="U33" s="82">
        <f>SUM(U31:U32)</f>
        <v>399535.74831961468</v>
      </c>
      <c r="V33" s="83">
        <f>IFERROR(U33/U$28,0)</f>
        <v>0.33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383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384</v>
      </c>
      <c r="B36" s="35"/>
      <c r="C36" s="178"/>
      <c r="D36" s="80">
        <f t="shared" ref="D36:D46" si="11">IFERROR(C36/C$28,0)</f>
        <v>0</v>
      </c>
      <c r="E36" s="178"/>
      <c r="F36" s="80">
        <f t="shared" ref="F36:F46" si="12">IFERROR(E36/E$28,0)</f>
        <v>0</v>
      </c>
      <c r="G36" s="178"/>
      <c r="H36" s="80">
        <f t="shared" ref="H36:H46" si="13">IFERROR(G36/G$28,0)</f>
        <v>0</v>
      </c>
      <c r="I36" s="178"/>
      <c r="J36" s="80">
        <f t="shared" ref="J36:J46" si="14">IFERROR(I36/I$28,0)</f>
        <v>0</v>
      </c>
      <c r="K36" s="178"/>
      <c r="L36" s="80">
        <f t="shared" ref="L36:L46" si="15">IFERROR(K36/K$28,0)</f>
        <v>0</v>
      </c>
      <c r="M36" s="178"/>
      <c r="N36" s="80">
        <f t="shared" ref="N36:N46" si="16">IFERROR(M36/M$28,0)</f>
        <v>0</v>
      </c>
      <c r="O36" s="178"/>
      <c r="P36" s="80">
        <f t="shared" ref="P36:P46" si="17">IFERROR(O36/O$28,0)</f>
        <v>0</v>
      </c>
      <c r="Q36" s="178"/>
      <c r="R36" s="80">
        <f t="shared" ref="R36:R46" si="18">IFERROR(Q36/Q$28,0)</f>
        <v>0</v>
      </c>
      <c r="S36" s="178"/>
      <c r="T36" s="80">
        <f t="shared" ref="T36:T46" si="19">IFERROR(S36/S$28,0)</f>
        <v>0</v>
      </c>
      <c r="U36" s="178"/>
      <c r="V36" s="80">
        <f t="shared" ref="V36:V46" si="20">IFERROR(U36/U$28,0)</f>
        <v>0</v>
      </c>
    </row>
    <row r="37" spans="1:22" ht="12.75" customHeight="1">
      <c r="A37" s="2" t="s">
        <v>385</v>
      </c>
      <c r="B37" s="35"/>
      <c r="C37" s="178">
        <v>133163</v>
      </c>
      <c r="D37" s="80">
        <f t="shared" si="11"/>
        <v>0.15515866468679534</v>
      </c>
      <c r="E37" s="178">
        <f>+C37*1.12</f>
        <v>149142.56000000003</v>
      </c>
      <c r="F37" s="80">
        <f t="shared" si="12"/>
        <v>0.16720017937219733</v>
      </c>
      <c r="G37" s="178">
        <f>+E37*1.035</f>
        <v>154362.54960000003</v>
      </c>
      <c r="H37" s="80">
        <f t="shared" si="13"/>
        <v>0.15832770873762511</v>
      </c>
      <c r="I37" s="178">
        <f>+G37*1.032</f>
        <v>159302.15118720004</v>
      </c>
      <c r="J37" s="80">
        <f t="shared" si="14"/>
        <v>0.15710980328579724</v>
      </c>
      <c r="K37" s="178">
        <f>+I37*1.025</f>
        <v>163284.70496688003</v>
      </c>
      <c r="L37" s="80">
        <f t="shared" si="15"/>
        <v>0.15634713433780792</v>
      </c>
      <c r="M37" s="178">
        <f>+K37*1.025</f>
        <v>167366.82259105201</v>
      </c>
      <c r="N37" s="80">
        <f t="shared" si="16"/>
        <v>0.15558816766626513</v>
      </c>
      <c r="O37" s="178">
        <f>+M37*1.025</f>
        <v>171550.9931558283</v>
      </c>
      <c r="P37" s="80">
        <f t="shared" si="17"/>
        <v>0.15483288529895314</v>
      </c>
      <c r="Q37" s="178">
        <f>+O37*1.02</f>
        <v>174982.01301894485</v>
      </c>
      <c r="R37" s="80">
        <f t="shared" si="18"/>
        <v>0.15332965340284682</v>
      </c>
      <c r="S37" s="178">
        <f>+Q37*1.02</f>
        <v>178481.65327932374</v>
      </c>
      <c r="T37" s="80">
        <f t="shared" si="19"/>
        <v>0.15184101599116867</v>
      </c>
      <c r="U37" s="178">
        <f>+S37*1.025</f>
        <v>182943.69461130683</v>
      </c>
      <c r="V37" s="80">
        <f t="shared" si="20"/>
        <v>0.15110392368053191</v>
      </c>
    </row>
    <row r="38" spans="1:22" ht="12.75" customHeight="1">
      <c r="A38" s="2" t="s">
        <v>386</v>
      </c>
      <c r="B38" s="35"/>
      <c r="C38" s="178">
        <v>28454</v>
      </c>
      <c r="D38" s="80">
        <f t="shared" si="11"/>
        <v>3.3153989058507805E-2</v>
      </c>
      <c r="E38" s="178">
        <f>+C38*1.12</f>
        <v>31868.480000000003</v>
      </c>
      <c r="F38" s="80">
        <f t="shared" si="12"/>
        <v>3.5726995515695067E-2</v>
      </c>
      <c r="G38" s="178">
        <f>+E38*1.035</f>
        <v>32983.876799999998</v>
      </c>
      <c r="H38" s="80">
        <f t="shared" si="13"/>
        <v>3.3831143969574012E-2</v>
      </c>
      <c r="I38" s="178">
        <f>+G38*1.032</f>
        <v>34039.360857599997</v>
      </c>
      <c r="J38" s="80">
        <f t="shared" si="14"/>
        <v>3.3570904400577285E-2</v>
      </c>
      <c r="K38" s="178">
        <f>+I38*1.025</f>
        <v>34890.344879039993</v>
      </c>
      <c r="L38" s="80">
        <f t="shared" si="15"/>
        <v>3.3407938845234672E-2</v>
      </c>
      <c r="M38" s="178">
        <f>+K38*1.025</f>
        <v>35762.60350101599</v>
      </c>
      <c r="N38" s="80">
        <f t="shared" si="16"/>
        <v>3.3245764384820908E-2</v>
      </c>
      <c r="O38" s="178">
        <f>+M38*1.025</f>
        <v>36656.66858854139</v>
      </c>
      <c r="P38" s="80">
        <f t="shared" si="17"/>
        <v>3.3084377179069348E-2</v>
      </c>
      <c r="Q38" s="178">
        <f>+O38*1.02</f>
        <v>37389.801960312216</v>
      </c>
      <c r="R38" s="80">
        <f t="shared" si="18"/>
        <v>3.2763169633641495E-2</v>
      </c>
      <c r="S38" s="178">
        <f>+Q38*1.02</f>
        <v>38137.597999518461</v>
      </c>
      <c r="T38" s="80">
        <f t="shared" si="19"/>
        <v>3.2445080608072156E-2</v>
      </c>
      <c r="U38" s="178">
        <f>+S38*1.025</f>
        <v>39091.037949506419</v>
      </c>
      <c r="V38" s="80">
        <f t="shared" si="20"/>
        <v>3.2287580216770827E-2</v>
      </c>
    </row>
    <row r="39" spans="1:22" ht="12.75" customHeight="1">
      <c r="A39" s="2" t="s">
        <v>387</v>
      </c>
      <c r="B39" s="35"/>
      <c r="C39" s="178">
        <v>102465</v>
      </c>
      <c r="D39" s="80">
        <f t="shared" si="11"/>
        <v>0.11939001507274907</v>
      </c>
      <c r="E39" s="178">
        <f>+C39*1.12</f>
        <v>114760.80000000002</v>
      </c>
      <c r="F39" s="80">
        <f t="shared" si="12"/>
        <v>0.12865560538116594</v>
      </c>
      <c r="G39" s="178">
        <f>+E39*1.035</f>
        <v>118777.42800000001</v>
      </c>
      <c r="H39" s="80">
        <f t="shared" si="13"/>
        <v>0.12182850097850571</v>
      </c>
      <c r="I39" s="178">
        <f>+G39*1.032</f>
        <v>122578.30569600002</v>
      </c>
      <c r="J39" s="80">
        <f t="shared" si="14"/>
        <v>0.12089135866328644</v>
      </c>
      <c r="K39" s="178">
        <f>+I39*1.025</f>
        <v>125642.76333840002</v>
      </c>
      <c r="L39" s="80">
        <f t="shared" si="15"/>
        <v>0.12030450740763941</v>
      </c>
      <c r="M39" s="178">
        <f>+K39*1.025</f>
        <v>128783.83242186002</v>
      </c>
      <c r="N39" s="80">
        <f t="shared" si="16"/>
        <v>0.11972050494449553</v>
      </c>
      <c r="O39" s="178">
        <f>+M39*1.025</f>
        <v>132003.4282324065</v>
      </c>
      <c r="P39" s="80">
        <f t="shared" si="17"/>
        <v>0.11913933744476495</v>
      </c>
      <c r="Q39" s="178">
        <f>+O39*1.02</f>
        <v>134643.49679705463</v>
      </c>
      <c r="R39" s="80">
        <f t="shared" si="18"/>
        <v>0.11798264484821384</v>
      </c>
      <c r="S39" s="178">
        <f>+Q39*1.02</f>
        <v>137336.36673299572</v>
      </c>
      <c r="T39" s="80">
        <f t="shared" si="19"/>
        <v>0.11683718227687194</v>
      </c>
      <c r="U39" s="178">
        <f>+S39*1.025</f>
        <v>140769.77590132059</v>
      </c>
      <c r="V39" s="80">
        <f t="shared" si="20"/>
        <v>0.11627001148912011</v>
      </c>
    </row>
    <row r="40" spans="1:22" ht="12.75" customHeight="1">
      <c r="A40" s="2" t="s">
        <v>388</v>
      </c>
      <c r="B40" s="35"/>
      <c r="C40" s="178">
        <f>C36*0.124</f>
        <v>0</v>
      </c>
      <c r="D40" s="80">
        <f t="shared" si="11"/>
        <v>0</v>
      </c>
      <c r="E40" s="178">
        <f>E36*0.124</f>
        <v>0</v>
      </c>
      <c r="F40" s="80">
        <f t="shared" si="12"/>
        <v>0</v>
      </c>
      <c r="G40" s="178">
        <f>G36*0.124</f>
        <v>0</v>
      </c>
      <c r="H40" s="80">
        <f t="shared" si="13"/>
        <v>0</v>
      </c>
      <c r="I40" s="178">
        <f>I36*0.124</f>
        <v>0</v>
      </c>
      <c r="J40" s="80">
        <f t="shared" si="14"/>
        <v>0</v>
      </c>
      <c r="K40" s="178">
        <f>K36*0.124</f>
        <v>0</v>
      </c>
      <c r="L40" s="80">
        <f t="shared" si="15"/>
        <v>0</v>
      </c>
      <c r="M40" s="178">
        <f>M36*0.124</f>
        <v>0</v>
      </c>
      <c r="N40" s="80">
        <f t="shared" si="16"/>
        <v>0</v>
      </c>
      <c r="O40" s="178">
        <f>O36*0.124</f>
        <v>0</v>
      </c>
      <c r="P40" s="80">
        <f t="shared" si="17"/>
        <v>0</v>
      </c>
      <c r="Q40" s="178">
        <f>Q36*0.124</f>
        <v>0</v>
      </c>
      <c r="R40" s="80">
        <f t="shared" si="18"/>
        <v>0</v>
      </c>
      <c r="S40" s="178">
        <f>S36*0.124</f>
        <v>0</v>
      </c>
      <c r="T40" s="80">
        <f t="shared" si="19"/>
        <v>0</v>
      </c>
      <c r="U40" s="178">
        <f>U36*0.124</f>
        <v>0</v>
      </c>
      <c r="V40" s="80">
        <f t="shared" si="20"/>
        <v>0</v>
      </c>
    </row>
    <row r="41" spans="1:22" ht="12.75" customHeight="1">
      <c r="A41" s="2" t="s">
        <v>389</v>
      </c>
      <c r="B41" s="35"/>
      <c r="C41" s="178">
        <f>C37*0.124</f>
        <v>16512.212</v>
      </c>
      <c r="D41" s="80">
        <f t="shared" si="11"/>
        <v>1.923967442116262E-2</v>
      </c>
      <c r="E41" s="178">
        <f>E37*0.124</f>
        <v>18493.677440000003</v>
      </c>
      <c r="F41" s="80">
        <f t="shared" si="12"/>
        <v>2.073282224215247E-2</v>
      </c>
      <c r="G41" s="178">
        <f>G37*0.124</f>
        <v>19140.956150400005</v>
      </c>
      <c r="H41" s="80">
        <f t="shared" si="13"/>
        <v>1.9632635883465515E-2</v>
      </c>
      <c r="I41" s="178">
        <f>I37*0.124</f>
        <v>19753.466747212806</v>
      </c>
      <c r="J41" s="80">
        <f t="shared" si="14"/>
        <v>1.9481615607438857E-2</v>
      </c>
      <c r="K41" s="178">
        <f>K37*0.124</f>
        <v>20247.303415893122</v>
      </c>
      <c r="L41" s="80">
        <f t="shared" si="15"/>
        <v>1.9387044657888181E-2</v>
      </c>
      <c r="M41" s="178">
        <f>M37*0.124</f>
        <v>20753.48600129045</v>
      </c>
      <c r="N41" s="80">
        <f t="shared" si="16"/>
        <v>1.9292932790616876E-2</v>
      </c>
      <c r="O41" s="178">
        <f>O37*0.124</f>
        <v>21272.323151322707</v>
      </c>
      <c r="P41" s="80">
        <f t="shared" si="17"/>
        <v>1.919927777707019E-2</v>
      </c>
      <c r="Q41" s="178">
        <f>Q37*0.124</f>
        <v>21697.769614349163</v>
      </c>
      <c r="R41" s="80">
        <f t="shared" si="18"/>
        <v>1.9012877021953006E-2</v>
      </c>
      <c r="S41" s="178">
        <f>S37*0.124</f>
        <v>22131.725006636145</v>
      </c>
      <c r="T41" s="80">
        <f t="shared" si="19"/>
        <v>1.8828285982904914E-2</v>
      </c>
      <c r="U41" s="178">
        <f>U37*0.124</f>
        <v>22685.018131802048</v>
      </c>
      <c r="V41" s="80">
        <f t="shared" si="20"/>
        <v>1.8736886536385958E-2</v>
      </c>
    </row>
    <row r="42" spans="1:22" ht="12.75" customHeight="1">
      <c r="A42" s="2" t="s">
        <v>390</v>
      </c>
      <c r="B42" s="35"/>
      <c r="C42" s="178"/>
      <c r="D42" s="80">
        <f t="shared" si="11"/>
        <v>0</v>
      </c>
      <c r="E42" s="178"/>
      <c r="F42" s="80">
        <f t="shared" si="12"/>
        <v>0</v>
      </c>
      <c r="G42" s="178"/>
      <c r="H42" s="80">
        <f t="shared" si="13"/>
        <v>0</v>
      </c>
      <c r="I42" s="178"/>
      <c r="J42" s="80">
        <f t="shared" si="14"/>
        <v>0</v>
      </c>
      <c r="K42" s="178"/>
      <c r="L42" s="80">
        <f t="shared" si="15"/>
        <v>0</v>
      </c>
      <c r="M42" s="178"/>
      <c r="N42" s="80">
        <f t="shared" si="16"/>
        <v>0</v>
      </c>
      <c r="O42" s="178"/>
      <c r="P42" s="80">
        <f t="shared" si="17"/>
        <v>0</v>
      </c>
      <c r="Q42" s="178"/>
      <c r="R42" s="80">
        <f t="shared" si="18"/>
        <v>0</v>
      </c>
      <c r="S42" s="178"/>
      <c r="T42" s="80">
        <f t="shared" si="19"/>
        <v>0</v>
      </c>
      <c r="U42" s="178"/>
      <c r="V42" s="80">
        <f t="shared" si="20"/>
        <v>0</v>
      </c>
    </row>
    <row r="43" spans="1:22" ht="12.75" customHeight="1">
      <c r="A43" s="2" t="s">
        <v>391</v>
      </c>
      <c r="B43" s="35"/>
      <c r="C43" s="178"/>
      <c r="D43" s="80">
        <f t="shared" si="11"/>
        <v>0</v>
      </c>
      <c r="E43" s="178"/>
      <c r="F43" s="80">
        <f t="shared" si="12"/>
        <v>0</v>
      </c>
      <c r="G43" s="178"/>
      <c r="H43" s="80">
        <f t="shared" si="13"/>
        <v>0</v>
      </c>
      <c r="I43" s="178"/>
      <c r="J43" s="80">
        <f t="shared" si="14"/>
        <v>0</v>
      </c>
      <c r="K43" s="178"/>
      <c r="L43" s="80">
        <f t="shared" si="15"/>
        <v>0</v>
      </c>
      <c r="M43" s="178"/>
      <c r="N43" s="80">
        <f t="shared" si="16"/>
        <v>0</v>
      </c>
      <c r="O43" s="178"/>
      <c r="P43" s="80">
        <f t="shared" si="17"/>
        <v>0</v>
      </c>
      <c r="Q43" s="178"/>
      <c r="R43" s="80">
        <f t="shared" si="18"/>
        <v>0</v>
      </c>
      <c r="S43" s="178"/>
      <c r="T43" s="80">
        <f t="shared" si="19"/>
        <v>0</v>
      </c>
      <c r="U43" s="178"/>
      <c r="V43" s="80">
        <f t="shared" si="20"/>
        <v>0</v>
      </c>
    </row>
    <row r="44" spans="1:22" ht="12.75" customHeight="1">
      <c r="A44" s="2" t="s">
        <v>392</v>
      </c>
      <c r="B44" s="35"/>
      <c r="C44" s="178"/>
      <c r="D44" s="80">
        <f t="shared" si="11"/>
        <v>0</v>
      </c>
      <c r="E44" s="178"/>
      <c r="F44" s="80">
        <f t="shared" si="12"/>
        <v>0</v>
      </c>
      <c r="G44" s="178"/>
      <c r="H44" s="80">
        <f t="shared" si="13"/>
        <v>0</v>
      </c>
      <c r="I44" s="178"/>
      <c r="J44" s="80">
        <f t="shared" si="14"/>
        <v>0</v>
      </c>
      <c r="K44" s="178"/>
      <c r="L44" s="80">
        <f t="shared" si="15"/>
        <v>0</v>
      </c>
      <c r="M44" s="178"/>
      <c r="N44" s="80">
        <f t="shared" si="16"/>
        <v>0</v>
      </c>
      <c r="O44" s="178"/>
      <c r="P44" s="80">
        <f t="shared" si="17"/>
        <v>0</v>
      </c>
      <c r="Q44" s="178"/>
      <c r="R44" s="80">
        <f t="shared" si="18"/>
        <v>0</v>
      </c>
      <c r="S44" s="178"/>
      <c r="T44" s="80">
        <f t="shared" si="19"/>
        <v>0</v>
      </c>
      <c r="U44" s="178"/>
      <c r="V44" s="80">
        <f t="shared" si="20"/>
        <v>0</v>
      </c>
    </row>
    <row r="45" spans="1:22" ht="12.75" customHeight="1">
      <c r="A45" s="2" t="s">
        <v>393</v>
      </c>
      <c r="B45" s="35"/>
      <c r="C45" s="181">
        <f>SUM(C36:C39)*0.094</f>
        <v>24823.707999999999</v>
      </c>
      <c r="D45" s="80">
        <f t="shared" si="11"/>
        <v>2.8924050868896906E-2</v>
      </c>
      <c r="E45" s="181">
        <f>SUM(E36:E39)*0.094</f>
        <v>27802.552960000008</v>
      </c>
      <c r="F45" s="80">
        <f t="shared" si="12"/>
        <v>3.1168781345291489E-2</v>
      </c>
      <c r="G45" s="181">
        <f>SUM(G36:G39)*0.094</f>
        <v>28775.642313600005</v>
      </c>
      <c r="H45" s="80">
        <f t="shared" si="13"/>
        <v>2.9514811246456257E-2</v>
      </c>
      <c r="I45" s="181">
        <f>SUM(I36:I39)*0.094</f>
        <v>29696.462867635208</v>
      </c>
      <c r="J45" s="80">
        <f t="shared" si="14"/>
        <v>2.9287774236868132E-2</v>
      </c>
      <c r="K45" s="181">
        <f>SUM(K36:K39)*0.094</f>
        <v>30438.874439326086</v>
      </c>
      <c r="L45" s="80">
        <f t="shared" si="15"/>
        <v>2.9145600575524108E-2</v>
      </c>
      <c r="M45" s="181">
        <f>SUM(M36:M39)*0.094</f>
        <v>31199.846300309237</v>
      </c>
      <c r="N45" s="80">
        <f t="shared" si="16"/>
        <v>2.9004117077584671E-2</v>
      </c>
      <c r="O45" s="181">
        <f>SUM(O36:O39)*0.094</f>
        <v>31979.842457816958</v>
      </c>
      <c r="P45" s="80">
        <f t="shared" si="17"/>
        <v>2.8863320392742017E-2</v>
      </c>
      <c r="Q45" s="181">
        <f>SUM(Q36:Q39)*0.094</f>
        <v>32619.439306973301</v>
      </c>
      <c r="R45" s="80">
        <f t="shared" si="18"/>
        <v>2.8583093981162003E-2</v>
      </c>
      <c r="S45" s="181">
        <f>SUM(S36:S39)*0.094</f>
        <v>33271.828093112767</v>
      </c>
      <c r="T45" s="80">
        <f t="shared" si="19"/>
        <v>2.83055882143546E-2</v>
      </c>
      <c r="U45" s="181">
        <f>SUM(U36:U39)*0.094</f>
        <v>34103.623795440581</v>
      </c>
      <c r="V45" s="80">
        <f t="shared" si="20"/>
        <v>2.8168182446323749E-2</v>
      </c>
    </row>
    <row r="46" spans="1:22" ht="12.75" customHeight="1">
      <c r="A46" s="1" t="s">
        <v>394</v>
      </c>
      <c r="B46" s="53"/>
      <c r="C46" s="82">
        <f>SUM(C36:C45)</f>
        <v>305417.92</v>
      </c>
      <c r="D46" s="83">
        <f t="shared" si="11"/>
        <v>0.35586639410811172</v>
      </c>
      <c r="E46" s="82">
        <f>SUM(E36:E45)</f>
        <v>342068.07040000008</v>
      </c>
      <c r="F46" s="83">
        <f t="shared" si="12"/>
        <v>0.38348438385650235</v>
      </c>
      <c r="G46" s="82">
        <f>SUM(G36:G45)</f>
        <v>354040.45286400005</v>
      </c>
      <c r="H46" s="83">
        <f t="shared" si="13"/>
        <v>0.3631348008156266</v>
      </c>
      <c r="I46" s="82">
        <f>SUM(I36:I45)</f>
        <v>365369.74735564808</v>
      </c>
      <c r="J46" s="83">
        <f t="shared" si="14"/>
        <v>0.36034145619396796</v>
      </c>
      <c r="K46" s="82">
        <f>SUM(K36:K45)</f>
        <v>374503.99103953922</v>
      </c>
      <c r="L46" s="83">
        <f t="shared" si="15"/>
        <v>0.35859222582409422</v>
      </c>
      <c r="M46" s="82">
        <f>SUM(M36:M45)</f>
        <v>383866.59081552771</v>
      </c>
      <c r="N46" s="83">
        <f t="shared" si="16"/>
        <v>0.3568514868637831</v>
      </c>
      <c r="O46" s="82">
        <f>SUM(O36:O45)</f>
        <v>393463.25558591582</v>
      </c>
      <c r="P46" s="83">
        <f t="shared" si="17"/>
        <v>0.35511919809259962</v>
      </c>
      <c r="Q46" s="82">
        <f>SUM(Q36:Q45)</f>
        <v>401332.5206976342</v>
      </c>
      <c r="R46" s="83">
        <f t="shared" si="18"/>
        <v>0.35167143888781721</v>
      </c>
      <c r="S46" s="82">
        <f>SUM(S36:S45)</f>
        <v>409359.17111158685</v>
      </c>
      <c r="T46" s="83">
        <f t="shared" si="19"/>
        <v>0.34825715307337229</v>
      </c>
      <c r="U46" s="82">
        <f>SUM(U36:U45)</f>
        <v>419593.15038937645</v>
      </c>
      <c r="V46" s="83">
        <f t="shared" si="20"/>
        <v>0.34656658436913251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366</v>
      </c>
      <c r="E50" s="86" t="str">
        <f>E6</f>
        <v>FY 2019-20</v>
      </c>
      <c r="F50" s="86" t="s">
        <v>366</v>
      </c>
      <c r="G50" s="86" t="str">
        <f>G6</f>
        <v>FY 2020-21</v>
      </c>
      <c r="H50" s="86" t="s">
        <v>366</v>
      </c>
      <c r="I50" s="86" t="str">
        <f>I6</f>
        <v>FY 2021-22</v>
      </c>
      <c r="J50" s="86" t="s">
        <v>366</v>
      </c>
      <c r="K50" s="86" t="str">
        <f>K6</f>
        <v>FY 2022-23</v>
      </c>
      <c r="L50" s="86" t="s">
        <v>366</v>
      </c>
      <c r="M50" s="86" t="str">
        <f>M6</f>
        <v>FY 2023-24</v>
      </c>
      <c r="N50" s="86" t="s">
        <v>366</v>
      </c>
      <c r="O50" s="86" t="str">
        <f>O6</f>
        <v>FY 2024-25</v>
      </c>
      <c r="P50" s="86" t="s">
        <v>366</v>
      </c>
      <c r="Q50" s="86" t="str">
        <f>Q6</f>
        <v>FY 2025-26</v>
      </c>
      <c r="R50" s="86" t="s">
        <v>366</v>
      </c>
      <c r="S50" s="86" t="str">
        <f>S6</f>
        <v>FY 2026-27</v>
      </c>
      <c r="T50" s="86" t="s">
        <v>366</v>
      </c>
      <c r="U50" s="86" t="str">
        <f>U6</f>
        <v>FY 2027-28</v>
      </c>
      <c r="V50" s="86" t="s">
        <v>366</v>
      </c>
    </row>
    <row r="51" spans="1:24" ht="12.75" customHeight="1">
      <c r="A51" s="1" t="s">
        <v>395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396</v>
      </c>
      <c r="B52" s="35"/>
      <c r="C52" s="178">
        <v>0</v>
      </c>
      <c r="D52" s="80">
        <f t="shared" ref="D52:D104" si="21">IFERROR(C52/C$28,0)</f>
        <v>0</v>
      </c>
      <c r="E52" s="178">
        <v>0</v>
      </c>
      <c r="F52" s="80">
        <f t="shared" ref="F52:F104" si="22">IFERROR(E52/E$28,0)</f>
        <v>0</v>
      </c>
      <c r="G52" s="178">
        <v>0</v>
      </c>
      <c r="H52" s="80">
        <f t="shared" ref="H52:H104" si="23">IFERROR(G52/G$28,0)</f>
        <v>0</v>
      </c>
      <c r="I52" s="178">
        <v>0</v>
      </c>
      <c r="J52" s="80">
        <f t="shared" ref="J52:J104" si="24">IFERROR(I52/I$28,0)</f>
        <v>0</v>
      </c>
      <c r="K52" s="178">
        <v>0</v>
      </c>
      <c r="L52" s="80">
        <f t="shared" ref="L52:L104" si="25">IFERROR(K52/K$28,0)</f>
        <v>0</v>
      </c>
      <c r="M52" s="178">
        <v>0</v>
      </c>
      <c r="N52" s="80">
        <f t="shared" ref="N52:N104" si="26">IFERROR(M52/M$28,0)</f>
        <v>0</v>
      </c>
      <c r="O52" s="178">
        <v>0</v>
      </c>
      <c r="P52" s="80">
        <f t="shared" ref="P52:P104" si="27">IFERROR(O52/O$28,0)</f>
        <v>0</v>
      </c>
      <c r="Q52" s="178">
        <v>0</v>
      </c>
      <c r="R52" s="80">
        <f t="shared" ref="R52:R104" si="28">IFERROR(Q52/Q$28,0)</f>
        <v>0</v>
      </c>
      <c r="S52" s="178">
        <v>0</v>
      </c>
      <c r="T52" s="80">
        <f t="shared" ref="T52:T104" si="29">IFERROR(S52/S$28,0)</f>
        <v>0</v>
      </c>
      <c r="U52" s="178">
        <v>0</v>
      </c>
      <c r="V52" s="80">
        <f t="shared" ref="V52:V105" si="30">IFERROR(U52/U$28,0)</f>
        <v>0</v>
      </c>
      <c r="X52" s="192"/>
    </row>
    <row r="53" spans="1:24" ht="12.75" customHeight="1">
      <c r="A53" s="2" t="s">
        <v>397</v>
      </c>
      <c r="B53" s="35"/>
      <c r="C53" s="178">
        <v>0</v>
      </c>
      <c r="D53" s="80">
        <f t="shared" si="21"/>
        <v>0</v>
      </c>
      <c r="E53" s="178">
        <v>0</v>
      </c>
      <c r="F53" s="80">
        <f t="shared" si="22"/>
        <v>0</v>
      </c>
      <c r="G53" s="178">
        <v>0</v>
      </c>
      <c r="H53" s="80">
        <f t="shared" si="23"/>
        <v>0</v>
      </c>
      <c r="I53" s="178">
        <v>0</v>
      </c>
      <c r="J53" s="80">
        <f t="shared" si="24"/>
        <v>0</v>
      </c>
      <c r="K53" s="178">
        <v>0</v>
      </c>
      <c r="L53" s="80">
        <f t="shared" si="25"/>
        <v>0</v>
      </c>
      <c r="M53" s="178">
        <v>0</v>
      </c>
      <c r="N53" s="80">
        <f t="shared" si="26"/>
        <v>0</v>
      </c>
      <c r="O53" s="178">
        <v>0</v>
      </c>
      <c r="P53" s="80">
        <f t="shared" si="27"/>
        <v>0</v>
      </c>
      <c r="Q53" s="178">
        <v>0</v>
      </c>
      <c r="R53" s="80">
        <f t="shared" si="28"/>
        <v>0</v>
      </c>
      <c r="S53" s="178">
        <v>0</v>
      </c>
      <c r="T53" s="80">
        <f t="shared" si="29"/>
        <v>0</v>
      </c>
      <c r="U53" s="178">
        <v>0</v>
      </c>
      <c r="V53" s="80">
        <f t="shared" si="30"/>
        <v>0</v>
      </c>
      <c r="X53" s="192"/>
    </row>
    <row r="54" spans="1:24" ht="12.75" customHeight="1">
      <c r="A54" s="2" t="s">
        <v>398</v>
      </c>
      <c r="B54" s="35"/>
      <c r="C54" s="178">
        <v>600.76632000000006</v>
      </c>
      <c r="D54" s="80">
        <f t="shared" si="21"/>
        <v>6.9999999999999999E-4</v>
      </c>
      <c r="E54" s="178">
        <v>624.4</v>
      </c>
      <c r="F54" s="80">
        <f t="shared" si="22"/>
        <v>6.9999999999999999E-4</v>
      </c>
      <c r="G54" s="178">
        <v>682.4692</v>
      </c>
      <c r="H54" s="80">
        <f t="shared" si="23"/>
        <v>6.9999999999999999E-4</v>
      </c>
      <c r="I54" s="178">
        <v>709.767968</v>
      </c>
      <c r="J54" s="80">
        <f t="shared" si="24"/>
        <v>6.9999999999999999E-4</v>
      </c>
      <c r="K54" s="178">
        <v>731.06100704000016</v>
      </c>
      <c r="L54" s="80">
        <f t="shared" si="25"/>
        <v>7.000000000000001E-4</v>
      </c>
      <c r="M54" s="178">
        <v>752.99283725120017</v>
      </c>
      <c r="N54" s="80">
        <f t="shared" si="26"/>
        <v>7.000000000000001E-4</v>
      </c>
      <c r="O54" s="178">
        <v>775.582622368736</v>
      </c>
      <c r="P54" s="80">
        <f t="shared" si="27"/>
        <v>6.9999999999999988E-4</v>
      </c>
      <c r="Q54" s="178">
        <v>798.85010103979812</v>
      </c>
      <c r="R54" s="80">
        <f t="shared" si="28"/>
        <v>6.9999999999999999E-4</v>
      </c>
      <c r="S54" s="178">
        <v>822.81560407099209</v>
      </c>
      <c r="T54" s="80">
        <f t="shared" si="29"/>
        <v>6.9999999999999999E-4</v>
      </c>
      <c r="U54" s="178">
        <v>847.50007219312204</v>
      </c>
      <c r="V54" s="80">
        <f t="shared" si="30"/>
        <v>7.000000000000001E-4</v>
      </c>
      <c r="X54" s="192"/>
    </row>
    <row r="55" spans="1:24" ht="12.75" customHeight="1">
      <c r="A55" s="2" t="s">
        <v>399</v>
      </c>
      <c r="B55" s="35"/>
      <c r="C55" s="178">
        <v>85823.760000000009</v>
      </c>
      <c r="D55" s="80">
        <f t="shared" si="21"/>
        <v>0.1</v>
      </c>
      <c r="E55" s="178">
        <v>89200</v>
      </c>
      <c r="F55" s="80">
        <f t="shared" si="22"/>
        <v>0.1</v>
      </c>
      <c r="G55" s="178">
        <v>97495.6</v>
      </c>
      <c r="H55" s="80">
        <f t="shared" si="23"/>
        <v>0.1</v>
      </c>
      <c r="I55" s="178">
        <v>101395.424</v>
      </c>
      <c r="J55" s="80">
        <f t="shared" si="24"/>
        <v>0.1</v>
      </c>
      <c r="K55" s="178">
        <v>104437.28672000002</v>
      </c>
      <c r="L55" s="80">
        <f t="shared" si="25"/>
        <v>0.1</v>
      </c>
      <c r="M55" s="178">
        <v>107570.40532160002</v>
      </c>
      <c r="N55" s="80">
        <f t="shared" si="26"/>
        <v>0.1</v>
      </c>
      <c r="O55" s="178">
        <v>110797.51748124801</v>
      </c>
      <c r="P55" s="80">
        <f t="shared" si="27"/>
        <v>0.1</v>
      </c>
      <c r="Q55" s="178">
        <v>114121.44300568545</v>
      </c>
      <c r="R55" s="80">
        <f t="shared" si="28"/>
        <v>0.1</v>
      </c>
      <c r="S55" s="178">
        <v>117545.08629585603</v>
      </c>
      <c r="T55" s="80">
        <f t="shared" si="29"/>
        <v>0.1</v>
      </c>
      <c r="U55" s="178">
        <v>121071.43888473172</v>
      </c>
      <c r="V55" s="80">
        <f t="shared" si="30"/>
        <v>0.1</v>
      </c>
      <c r="X55" s="192"/>
    </row>
    <row r="56" spans="1:24" ht="12.75" customHeight="1">
      <c r="A56" s="2" t="s">
        <v>400</v>
      </c>
      <c r="B56" s="35"/>
      <c r="C56" s="178">
        <v>437.70117600000003</v>
      </c>
      <c r="D56" s="80">
        <f t="shared" si="21"/>
        <v>5.0999999999999993E-4</v>
      </c>
      <c r="E56" s="178">
        <v>454.92</v>
      </c>
      <c r="F56" s="80">
        <f t="shared" si="22"/>
        <v>5.1000000000000004E-4</v>
      </c>
      <c r="G56" s="178">
        <v>497.22756000000004</v>
      </c>
      <c r="H56" s="80">
        <f t="shared" si="23"/>
        <v>5.1000000000000004E-4</v>
      </c>
      <c r="I56" s="178">
        <v>517.1166624</v>
      </c>
      <c r="J56" s="80">
        <f t="shared" si="24"/>
        <v>5.1000000000000004E-4</v>
      </c>
      <c r="K56" s="178">
        <v>532.63016227200012</v>
      </c>
      <c r="L56" s="80">
        <f t="shared" si="25"/>
        <v>5.1000000000000004E-4</v>
      </c>
      <c r="M56" s="178">
        <v>548.60906714016016</v>
      </c>
      <c r="N56" s="80">
        <f t="shared" si="26"/>
        <v>5.1000000000000015E-4</v>
      </c>
      <c r="O56" s="178">
        <v>565.06733915436484</v>
      </c>
      <c r="P56" s="80">
        <f t="shared" si="27"/>
        <v>5.1000000000000004E-4</v>
      </c>
      <c r="Q56" s="178">
        <v>582.01935932899585</v>
      </c>
      <c r="R56" s="80">
        <f t="shared" si="28"/>
        <v>5.1000000000000015E-4</v>
      </c>
      <c r="S56" s="178">
        <v>599.47994010886566</v>
      </c>
      <c r="T56" s="80">
        <f t="shared" si="29"/>
        <v>5.0999999999999993E-4</v>
      </c>
      <c r="U56" s="178">
        <v>617.46433831213176</v>
      </c>
      <c r="V56" s="80">
        <f t="shared" si="30"/>
        <v>5.1000000000000004E-4</v>
      </c>
      <c r="X56" s="192"/>
    </row>
    <row r="57" spans="1:24" ht="12.75" customHeight="1">
      <c r="A57" s="2" t="s">
        <v>401</v>
      </c>
      <c r="B57" s="35"/>
      <c r="C57" s="178">
        <v>0</v>
      </c>
      <c r="D57" s="80">
        <f t="shared" si="21"/>
        <v>0</v>
      </c>
      <c r="E57" s="178">
        <v>0</v>
      </c>
      <c r="F57" s="80">
        <f t="shared" si="22"/>
        <v>0</v>
      </c>
      <c r="G57" s="178">
        <v>0</v>
      </c>
      <c r="H57" s="80">
        <f t="shared" si="23"/>
        <v>0</v>
      </c>
      <c r="I57" s="178">
        <v>0</v>
      </c>
      <c r="J57" s="80">
        <f t="shared" si="24"/>
        <v>0</v>
      </c>
      <c r="K57" s="178">
        <v>0</v>
      </c>
      <c r="L57" s="80">
        <f t="shared" si="25"/>
        <v>0</v>
      </c>
      <c r="M57" s="178">
        <v>0</v>
      </c>
      <c r="N57" s="80">
        <f t="shared" si="26"/>
        <v>0</v>
      </c>
      <c r="O57" s="178">
        <v>0</v>
      </c>
      <c r="P57" s="80">
        <f t="shared" si="27"/>
        <v>0</v>
      </c>
      <c r="Q57" s="178">
        <v>0</v>
      </c>
      <c r="R57" s="80">
        <f t="shared" si="28"/>
        <v>0</v>
      </c>
      <c r="S57" s="178">
        <v>0</v>
      </c>
      <c r="T57" s="80">
        <f t="shared" si="29"/>
        <v>0</v>
      </c>
      <c r="U57" s="178">
        <v>0</v>
      </c>
      <c r="V57" s="80">
        <f t="shared" si="30"/>
        <v>0</v>
      </c>
      <c r="X57" s="192"/>
    </row>
    <row r="58" spans="1:24" ht="12.75" customHeight="1">
      <c r="A58" s="2" t="s">
        <v>402</v>
      </c>
      <c r="B58" s="35"/>
      <c r="C58" s="178">
        <v>0</v>
      </c>
      <c r="D58" s="80">
        <f t="shared" si="21"/>
        <v>0</v>
      </c>
      <c r="E58" s="178">
        <v>0</v>
      </c>
      <c r="F58" s="80">
        <f t="shared" si="22"/>
        <v>0</v>
      </c>
      <c r="G58" s="178">
        <v>0</v>
      </c>
      <c r="H58" s="80">
        <f t="shared" si="23"/>
        <v>0</v>
      </c>
      <c r="I58" s="178">
        <v>0</v>
      </c>
      <c r="J58" s="80">
        <f t="shared" si="24"/>
        <v>0</v>
      </c>
      <c r="K58" s="178">
        <v>0</v>
      </c>
      <c r="L58" s="80">
        <f t="shared" si="25"/>
        <v>0</v>
      </c>
      <c r="M58" s="178">
        <v>0</v>
      </c>
      <c r="N58" s="80">
        <f t="shared" si="26"/>
        <v>0</v>
      </c>
      <c r="O58" s="178">
        <v>0</v>
      </c>
      <c r="P58" s="80">
        <f t="shared" si="27"/>
        <v>0</v>
      </c>
      <c r="Q58" s="178">
        <v>0</v>
      </c>
      <c r="R58" s="80">
        <f t="shared" si="28"/>
        <v>0</v>
      </c>
      <c r="S58" s="178">
        <v>0</v>
      </c>
      <c r="T58" s="80">
        <f t="shared" si="29"/>
        <v>0</v>
      </c>
      <c r="U58" s="178">
        <v>0</v>
      </c>
      <c r="V58" s="80">
        <f t="shared" si="30"/>
        <v>0</v>
      </c>
      <c r="X58" s="192"/>
    </row>
    <row r="59" spans="1:24" ht="12.75" customHeight="1">
      <c r="A59" s="2" t="s">
        <v>403</v>
      </c>
      <c r="B59" s="35"/>
      <c r="C59" s="178"/>
      <c r="D59" s="80">
        <f t="shared" si="21"/>
        <v>0</v>
      </c>
      <c r="E59" s="178"/>
      <c r="F59" s="80">
        <f t="shared" si="22"/>
        <v>0</v>
      </c>
      <c r="G59" s="178"/>
      <c r="H59" s="80">
        <f t="shared" si="23"/>
        <v>0</v>
      </c>
      <c r="I59" s="178"/>
      <c r="J59" s="80">
        <f t="shared" si="24"/>
        <v>0</v>
      </c>
      <c r="K59" s="178"/>
      <c r="L59" s="80">
        <f t="shared" si="25"/>
        <v>0</v>
      </c>
      <c r="M59" s="178"/>
      <c r="N59" s="80">
        <f t="shared" si="26"/>
        <v>0</v>
      </c>
      <c r="O59" s="178"/>
      <c r="P59" s="80">
        <f t="shared" si="27"/>
        <v>0</v>
      </c>
      <c r="Q59" s="178"/>
      <c r="R59" s="80">
        <f t="shared" si="28"/>
        <v>0</v>
      </c>
      <c r="S59" s="178"/>
      <c r="T59" s="80">
        <f t="shared" si="29"/>
        <v>0</v>
      </c>
      <c r="U59" s="178"/>
      <c r="V59" s="80">
        <f t="shared" si="30"/>
        <v>0</v>
      </c>
      <c r="X59" s="192"/>
    </row>
    <row r="60" spans="1:24" ht="12.75" customHeight="1">
      <c r="A60" s="2" t="s">
        <v>404</v>
      </c>
      <c r="B60" s="35"/>
      <c r="C60" s="178">
        <v>0</v>
      </c>
      <c r="D60" s="80">
        <f t="shared" si="21"/>
        <v>0</v>
      </c>
      <c r="E60" s="178">
        <v>0</v>
      </c>
      <c r="F60" s="80">
        <f t="shared" si="22"/>
        <v>0</v>
      </c>
      <c r="G60" s="178">
        <v>0</v>
      </c>
      <c r="H60" s="80">
        <f t="shared" si="23"/>
        <v>0</v>
      </c>
      <c r="I60" s="178">
        <v>0</v>
      </c>
      <c r="J60" s="80">
        <f t="shared" si="24"/>
        <v>0</v>
      </c>
      <c r="K60" s="178">
        <v>0</v>
      </c>
      <c r="L60" s="80">
        <f t="shared" si="25"/>
        <v>0</v>
      </c>
      <c r="M60" s="178">
        <v>0</v>
      </c>
      <c r="N60" s="80">
        <f t="shared" si="26"/>
        <v>0</v>
      </c>
      <c r="O60" s="178">
        <v>0</v>
      </c>
      <c r="P60" s="80">
        <f t="shared" si="27"/>
        <v>0</v>
      </c>
      <c r="Q60" s="178">
        <v>0</v>
      </c>
      <c r="R60" s="80">
        <f t="shared" si="28"/>
        <v>0</v>
      </c>
      <c r="S60" s="178">
        <v>0</v>
      </c>
      <c r="T60" s="80">
        <f t="shared" si="29"/>
        <v>0</v>
      </c>
      <c r="U60" s="178">
        <v>0</v>
      </c>
      <c r="V60" s="80">
        <f t="shared" si="30"/>
        <v>0</v>
      </c>
      <c r="X60" s="192"/>
    </row>
    <row r="61" spans="1:24" ht="12.75" customHeight="1">
      <c r="A61" s="2" t="s">
        <v>405</v>
      </c>
      <c r="B61" s="35"/>
      <c r="C61" s="178">
        <v>0</v>
      </c>
      <c r="D61" s="80">
        <f t="shared" si="21"/>
        <v>0</v>
      </c>
      <c r="E61" s="178">
        <v>0</v>
      </c>
      <c r="F61" s="80">
        <f t="shared" si="22"/>
        <v>0</v>
      </c>
      <c r="G61" s="178">
        <v>0</v>
      </c>
      <c r="H61" s="80">
        <f t="shared" si="23"/>
        <v>0</v>
      </c>
      <c r="I61" s="178">
        <v>0</v>
      </c>
      <c r="J61" s="80">
        <f t="shared" si="24"/>
        <v>0</v>
      </c>
      <c r="K61" s="178">
        <v>0</v>
      </c>
      <c r="L61" s="80">
        <f t="shared" si="25"/>
        <v>0</v>
      </c>
      <c r="M61" s="178">
        <v>0</v>
      </c>
      <c r="N61" s="80">
        <f t="shared" si="26"/>
        <v>0</v>
      </c>
      <c r="O61" s="178">
        <v>0</v>
      </c>
      <c r="P61" s="80">
        <f t="shared" si="27"/>
        <v>0</v>
      </c>
      <c r="Q61" s="178">
        <v>0</v>
      </c>
      <c r="R61" s="80">
        <f t="shared" si="28"/>
        <v>0</v>
      </c>
      <c r="S61" s="178">
        <v>0</v>
      </c>
      <c r="T61" s="80">
        <f t="shared" si="29"/>
        <v>0</v>
      </c>
      <c r="U61" s="178">
        <v>0</v>
      </c>
      <c r="V61" s="80">
        <f t="shared" si="30"/>
        <v>0</v>
      </c>
      <c r="X61" s="192"/>
    </row>
    <row r="62" spans="1:24" ht="12.75" customHeight="1">
      <c r="A62" s="2" t="s">
        <v>406</v>
      </c>
      <c r="B62" s="35"/>
      <c r="C62" s="178">
        <v>0</v>
      </c>
      <c r="D62" s="80">
        <f t="shared" si="21"/>
        <v>0</v>
      </c>
      <c r="E62" s="178">
        <v>0</v>
      </c>
      <c r="F62" s="80">
        <f t="shared" si="22"/>
        <v>0</v>
      </c>
      <c r="G62" s="178">
        <v>0</v>
      </c>
      <c r="H62" s="80">
        <f t="shared" si="23"/>
        <v>0</v>
      </c>
      <c r="I62" s="178">
        <v>0</v>
      </c>
      <c r="J62" s="80">
        <f t="shared" si="24"/>
        <v>0</v>
      </c>
      <c r="K62" s="178">
        <v>0</v>
      </c>
      <c r="L62" s="80">
        <f t="shared" si="25"/>
        <v>0</v>
      </c>
      <c r="M62" s="178">
        <v>0</v>
      </c>
      <c r="N62" s="80">
        <f t="shared" si="26"/>
        <v>0</v>
      </c>
      <c r="O62" s="178">
        <v>0</v>
      </c>
      <c r="P62" s="80">
        <f t="shared" si="27"/>
        <v>0</v>
      </c>
      <c r="Q62" s="178">
        <v>0</v>
      </c>
      <c r="R62" s="80">
        <f t="shared" si="28"/>
        <v>0</v>
      </c>
      <c r="S62" s="178">
        <v>0</v>
      </c>
      <c r="T62" s="80">
        <f t="shared" si="29"/>
        <v>0</v>
      </c>
      <c r="U62" s="178">
        <v>0</v>
      </c>
      <c r="V62" s="80">
        <f t="shared" si="30"/>
        <v>0</v>
      </c>
      <c r="X62" s="192"/>
    </row>
    <row r="63" spans="1:24" ht="12.75" customHeight="1">
      <c r="A63" s="2" t="s">
        <v>407</v>
      </c>
      <c r="B63" s="35"/>
      <c r="C63" s="178">
        <v>10441.043871365802</v>
      </c>
      <c r="D63" s="80">
        <f t="shared" si="21"/>
        <v>1.2165679843630484E-2</v>
      </c>
      <c r="E63" s="178">
        <v>11011.999597473186</v>
      </c>
      <c r="F63" s="80">
        <f t="shared" si="22"/>
        <v>1.2345291028557383E-2</v>
      </c>
      <c r="G63" s="178">
        <v>11908.713411285122</v>
      </c>
      <c r="H63" s="80">
        <f t="shared" si="23"/>
        <v>1.2214616260923695E-2</v>
      </c>
      <c r="I63" s="178">
        <v>12416.863992904895</v>
      </c>
      <c r="J63" s="80">
        <f t="shared" si="24"/>
        <v>1.224598064001872E-2</v>
      </c>
      <c r="K63" s="178">
        <v>12749.953543184158</v>
      </c>
      <c r="L63" s="80">
        <f t="shared" si="25"/>
        <v>1.2208238976341108E-2</v>
      </c>
      <c r="M63" s="178">
        <v>13154.592156800247</v>
      </c>
      <c r="N63" s="80">
        <f t="shared" si="26"/>
        <v>1.2228820852233807E-2</v>
      </c>
      <c r="O63" s="178">
        <v>13577.16312085143</v>
      </c>
      <c r="P63" s="80">
        <f t="shared" si="27"/>
        <v>1.2254031885822084E-2</v>
      </c>
      <c r="Q63" s="178">
        <v>14025.547966254737</v>
      </c>
      <c r="R63" s="80">
        <f t="shared" si="28"/>
        <v>1.2290019821740245E-2</v>
      </c>
      <c r="S63" s="178">
        <v>14487.583317565242</v>
      </c>
      <c r="T63" s="80">
        <f t="shared" si="29"/>
        <v>1.2325128828525087E-2</v>
      </c>
      <c r="U63" s="178">
        <v>14967.63310782388</v>
      </c>
      <c r="V63" s="80">
        <f t="shared" si="30"/>
        <v>1.2362645761626812E-2</v>
      </c>
      <c r="X63" s="192"/>
    </row>
    <row r="64" spans="1:24" ht="12.75" customHeight="1">
      <c r="A64" s="2" t="s">
        <v>408</v>
      </c>
      <c r="B64" s="35"/>
      <c r="C64" s="178">
        <v>4119.5404799999997</v>
      </c>
      <c r="D64" s="80">
        <f t="shared" si="21"/>
        <v>4.7999999999999987E-3</v>
      </c>
      <c r="E64" s="178">
        <v>4281.5999999999995</v>
      </c>
      <c r="F64" s="80">
        <f t="shared" si="22"/>
        <v>4.7999999999999996E-3</v>
      </c>
      <c r="G64" s="178">
        <v>4679.7888000000003</v>
      </c>
      <c r="H64" s="80">
        <f t="shared" si="23"/>
        <v>4.8000000000000004E-3</v>
      </c>
      <c r="I64" s="178">
        <v>4866.9803519999987</v>
      </c>
      <c r="J64" s="80">
        <f t="shared" si="24"/>
        <v>4.7999999999999987E-3</v>
      </c>
      <c r="K64" s="178">
        <v>5012.9897625600006</v>
      </c>
      <c r="L64" s="80">
        <f t="shared" si="25"/>
        <v>4.8000000000000004E-3</v>
      </c>
      <c r="M64" s="178">
        <v>5163.3794554368005</v>
      </c>
      <c r="N64" s="80">
        <f t="shared" si="26"/>
        <v>4.8000000000000004E-3</v>
      </c>
      <c r="O64" s="178">
        <v>5318.2808390999044</v>
      </c>
      <c r="P64" s="80">
        <f t="shared" si="27"/>
        <v>4.7999999999999996E-3</v>
      </c>
      <c r="Q64" s="178">
        <v>5477.8292642729002</v>
      </c>
      <c r="R64" s="80">
        <f t="shared" si="28"/>
        <v>4.7999999999999996E-3</v>
      </c>
      <c r="S64" s="178">
        <v>5642.164142201088</v>
      </c>
      <c r="T64" s="80">
        <f t="shared" si="29"/>
        <v>4.7999999999999987E-3</v>
      </c>
      <c r="U64" s="178">
        <v>5811.4290664671216</v>
      </c>
      <c r="V64" s="80">
        <f t="shared" si="30"/>
        <v>4.7999999999999996E-3</v>
      </c>
      <c r="X64" s="192"/>
    </row>
    <row r="65" spans="1:24" ht="12.75" customHeight="1">
      <c r="A65" s="2" t="s">
        <v>409</v>
      </c>
      <c r="B65" s="35"/>
      <c r="C65" s="178">
        <v>429.11880000000008</v>
      </c>
      <c r="D65" s="80">
        <f t="shared" si="21"/>
        <v>5.0000000000000001E-4</v>
      </c>
      <c r="E65" s="178">
        <v>446</v>
      </c>
      <c r="F65" s="80">
        <f t="shared" si="22"/>
        <v>5.0000000000000001E-4</v>
      </c>
      <c r="G65" s="178">
        <v>487.47800000000007</v>
      </c>
      <c r="H65" s="80">
        <f t="shared" si="23"/>
        <v>5.0000000000000012E-4</v>
      </c>
      <c r="I65" s="178">
        <v>506.97712000000001</v>
      </c>
      <c r="J65" s="80">
        <f t="shared" si="24"/>
        <v>5.0000000000000001E-4</v>
      </c>
      <c r="K65" s="178">
        <v>522.1864336000001</v>
      </c>
      <c r="L65" s="80">
        <f t="shared" si="25"/>
        <v>5.0000000000000001E-4</v>
      </c>
      <c r="M65" s="178">
        <v>537.85202660800007</v>
      </c>
      <c r="N65" s="80">
        <f t="shared" si="26"/>
        <v>5.0000000000000001E-4</v>
      </c>
      <c r="O65" s="178">
        <v>553.9875874062401</v>
      </c>
      <c r="P65" s="80">
        <f t="shared" si="27"/>
        <v>5.0000000000000001E-4</v>
      </c>
      <c r="Q65" s="178">
        <v>570.60721502842728</v>
      </c>
      <c r="R65" s="80">
        <f t="shared" si="28"/>
        <v>5.0000000000000012E-4</v>
      </c>
      <c r="S65" s="178">
        <v>587.72543147928002</v>
      </c>
      <c r="T65" s="80">
        <f t="shared" si="29"/>
        <v>4.999999999999999E-4</v>
      </c>
      <c r="U65" s="178">
        <v>605.35719442365848</v>
      </c>
      <c r="V65" s="80">
        <f t="shared" si="30"/>
        <v>4.999999999999999E-4</v>
      </c>
      <c r="X65" s="192"/>
    </row>
    <row r="66" spans="1:24" ht="12.75" customHeight="1">
      <c r="A66" s="2" t="s">
        <v>410</v>
      </c>
      <c r="B66" s="35"/>
      <c r="C66" s="178">
        <v>2403.0652800000003</v>
      </c>
      <c r="D66" s="80">
        <f t="shared" si="21"/>
        <v>2.8E-3</v>
      </c>
      <c r="E66" s="178">
        <v>2497.6</v>
      </c>
      <c r="F66" s="80">
        <f t="shared" si="22"/>
        <v>2.8E-3</v>
      </c>
      <c r="G66" s="178">
        <v>2729.8768</v>
      </c>
      <c r="H66" s="80">
        <f t="shared" si="23"/>
        <v>2.8E-3</v>
      </c>
      <c r="I66" s="178">
        <v>2839.071872</v>
      </c>
      <c r="J66" s="80">
        <f t="shared" si="24"/>
        <v>2.8E-3</v>
      </c>
      <c r="K66" s="178">
        <v>2924.2440281600007</v>
      </c>
      <c r="L66" s="80">
        <f t="shared" si="25"/>
        <v>2.8000000000000004E-3</v>
      </c>
      <c r="M66" s="178">
        <v>3011.9713490048007</v>
      </c>
      <c r="N66" s="80">
        <f t="shared" si="26"/>
        <v>2.8000000000000004E-3</v>
      </c>
      <c r="O66" s="178">
        <v>3102.330489474944</v>
      </c>
      <c r="P66" s="80">
        <f t="shared" si="27"/>
        <v>2.7999999999999995E-3</v>
      </c>
      <c r="Q66" s="178">
        <v>3195.4004041591925</v>
      </c>
      <c r="R66" s="80">
        <f t="shared" si="28"/>
        <v>2.8E-3</v>
      </c>
      <c r="S66" s="178">
        <v>3291.2624162839684</v>
      </c>
      <c r="T66" s="80">
        <f t="shared" si="29"/>
        <v>2.8E-3</v>
      </c>
      <c r="U66" s="178">
        <v>3390.0002887724881</v>
      </c>
      <c r="V66" s="80">
        <f t="shared" si="30"/>
        <v>2.8000000000000004E-3</v>
      </c>
      <c r="X66" s="192"/>
    </row>
    <row r="67" spans="1:24" ht="12.75" customHeight="1">
      <c r="A67" s="2" t="s">
        <v>411</v>
      </c>
      <c r="B67" s="35"/>
      <c r="C67" s="178">
        <v>12873.564</v>
      </c>
      <c r="D67" s="80">
        <f t="shared" si="21"/>
        <v>1.4999999999999999E-2</v>
      </c>
      <c r="E67" s="178">
        <v>13380</v>
      </c>
      <c r="F67" s="80">
        <f t="shared" si="22"/>
        <v>1.4999999999999999E-2</v>
      </c>
      <c r="G67" s="178">
        <v>14624.34</v>
      </c>
      <c r="H67" s="80">
        <f t="shared" si="23"/>
        <v>1.4999999999999999E-2</v>
      </c>
      <c r="I67" s="178">
        <v>15209.313599999998</v>
      </c>
      <c r="J67" s="80">
        <f t="shared" si="24"/>
        <v>1.4999999999999998E-2</v>
      </c>
      <c r="K67" s="178">
        <v>15665.593008000002</v>
      </c>
      <c r="L67" s="80">
        <f t="shared" si="25"/>
        <v>1.4999999999999999E-2</v>
      </c>
      <c r="M67" s="178">
        <v>16135.560798240002</v>
      </c>
      <c r="N67" s="80">
        <f t="shared" si="26"/>
        <v>1.4999999999999999E-2</v>
      </c>
      <c r="O67" s="178">
        <v>16619.627622187199</v>
      </c>
      <c r="P67" s="80">
        <f t="shared" si="27"/>
        <v>1.4999999999999998E-2</v>
      </c>
      <c r="Q67" s="178">
        <v>17118.216450852815</v>
      </c>
      <c r="R67" s="80">
        <f t="shared" si="28"/>
        <v>1.4999999999999999E-2</v>
      </c>
      <c r="S67" s="178">
        <v>17631.762944378403</v>
      </c>
      <c r="T67" s="80">
        <f t="shared" si="29"/>
        <v>1.4999999999999999E-2</v>
      </c>
      <c r="U67" s="178">
        <v>18160.715832709757</v>
      </c>
      <c r="V67" s="80">
        <f t="shared" si="30"/>
        <v>1.5000000000000001E-2</v>
      </c>
      <c r="X67" s="192"/>
    </row>
    <row r="68" spans="1:24" ht="12.75" customHeight="1">
      <c r="A68" s="2" t="s">
        <v>412</v>
      </c>
      <c r="B68" s="35"/>
      <c r="C68" s="178">
        <v>1459.0039199999999</v>
      </c>
      <c r="D68" s="80">
        <f t="shared" si="21"/>
        <v>1.6999999999999997E-3</v>
      </c>
      <c r="E68" s="178">
        <v>1516.3999999999999</v>
      </c>
      <c r="F68" s="80">
        <f t="shared" si="22"/>
        <v>1.6999999999999999E-3</v>
      </c>
      <c r="G68" s="178">
        <v>1657.4251999999999</v>
      </c>
      <c r="H68" s="80">
        <f t="shared" si="23"/>
        <v>1.6999999999999999E-3</v>
      </c>
      <c r="I68" s="178">
        <v>1723.7222079999997</v>
      </c>
      <c r="J68" s="80">
        <f t="shared" si="24"/>
        <v>1.6999999999999997E-3</v>
      </c>
      <c r="K68" s="178">
        <v>1775.4338742400003</v>
      </c>
      <c r="L68" s="80">
        <f t="shared" si="25"/>
        <v>1.7000000000000001E-3</v>
      </c>
      <c r="M68" s="178">
        <v>1828.6968904672001</v>
      </c>
      <c r="N68" s="80">
        <f t="shared" si="26"/>
        <v>1.6999999999999999E-3</v>
      </c>
      <c r="O68" s="178">
        <v>1883.5577971812161</v>
      </c>
      <c r="P68" s="80">
        <f t="shared" si="27"/>
        <v>1.6999999999999999E-3</v>
      </c>
      <c r="Q68" s="178">
        <v>1940.0645310966524</v>
      </c>
      <c r="R68" s="80">
        <f t="shared" si="28"/>
        <v>1.6999999999999999E-3</v>
      </c>
      <c r="S68" s="178">
        <v>1998.2664670295521</v>
      </c>
      <c r="T68" s="80">
        <f t="shared" si="29"/>
        <v>1.6999999999999997E-3</v>
      </c>
      <c r="U68" s="178">
        <v>2058.2144610404389</v>
      </c>
      <c r="V68" s="80">
        <f t="shared" si="30"/>
        <v>1.6999999999999999E-3</v>
      </c>
      <c r="X68" s="192"/>
    </row>
    <row r="69" spans="1:24" ht="12.75" customHeight="1">
      <c r="A69" s="2" t="s">
        <v>413</v>
      </c>
      <c r="B69" s="35"/>
      <c r="C69" s="178">
        <v>0</v>
      </c>
      <c r="D69" s="80">
        <f t="shared" si="21"/>
        <v>0</v>
      </c>
      <c r="E69" s="178">
        <v>0</v>
      </c>
      <c r="F69" s="80">
        <f t="shared" si="22"/>
        <v>0</v>
      </c>
      <c r="G69" s="178">
        <v>0</v>
      </c>
      <c r="H69" s="80">
        <f t="shared" si="23"/>
        <v>0</v>
      </c>
      <c r="I69" s="178">
        <v>0</v>
      </c>
      <c r="J69" s="80">
        <f t="shared" si="24"/>
        <v>0</v>
      </c>
      <c r="K69" s="178">
        <v>0</v>
      </c>
      <c r="L69" s="80">
        <f t="shared" si="25"/>
        <v>0</v>
      </c>
      <c r="M69" s="178">
        <v>0</v>
      </c>
      <c r="N69" s="80">
        <f t="shared" si="26"/>
        <v>0</v>
      </c>
      <c r="O69" s="178">
        <v>0</v>
      </c>
      <c r="P69" s="80">
        <f t="shared" si="27"/>
        <v>0</v>
      </c>
      <c r="Q69" s="178">
        <v>0</v>
      </c>
      <c r="R69" s="80">
        <f t="shared" si="28"/>
        <v>0</v>
      </c>
      <c r="S69" s="178">
        <v>0</v>
      </c>
      <c r="T69" s="80">
        <f t="shared" si="29"/>
        <v>0</v>
      </c>
      <c r="U69" s="178">
        <v>0</v>
      </c>
      <c r="V69" s="80">
        <f t="shared" si="30"/>
        <v>0</v>
      </c>
      <c r="X69" s="192"/>
    </row>
    <row r="70" spans="1:24" ht="12.75" customHeight="1">
      <c r="A70" s="2" t="s">
        <v>414</v>
      </c>
      <c r="B70" s="35"/>
      <c r="C70" s="178">
        <v>85.823760000000021</v>
      </c>
      <c r="D70" s="80">
        <f t="shared" si="21"/>
        <v>1.0000000000000002E-4</v>
      </c>
      <c r="E70" s="178">
        <v>89.200000000000017</v>
      </c>
      <c r="F70" s="80">
        <f t="shared" si="22"/>
        <v>1.0000000000000002E-4</v>
      </c>
      <c r="G70" s="178">
        <v>97.49560000000001</v>
      </c>
      <c r="H70" s="80">
        <f t="shared" si="23"/>
        <v>1E-4</v>
      </c>
      <c r="I70" s="178">
        <v>101.39542400000001</v>
      </c>
      <c r="J70" s="80">
        <f t="shared" si="24"/>
        <v>1E-4</v>
      </c>
      <c r="K70" s="178">
        <v>104.43728672000002</v>
      </c>
      <c r="L70" s="80">
        <f t="shared" si="25"/>
        <v>1E-4</v>
      </c>
      <c r="M70" s="178">
        <v>107.57040532160002</v>
      </c>
      <c r="N70" s="80">
        <f t="shared" si="26"/>
        <v>1E-4</v>
      </c>
      <c r="O70" s="178">
        <v>110.79751748124801</v>
      </c>
      <c r="P70" s="80">
        <f t="shared" si="27"/>
        <v>9.9999999999999991E-5</v>
      </c>
      <c r="Q70" s="178">
        <v>114.12144300568545</v>
      </c>
      <c r="R70" s="80">
        <f t="shared" si="28"/>
        <v>1E-4</v>
      </c>
      <c r="S70" s="178">
        <v>117.54508629585602</v>
      </c>
      <c r="T70" s="80">
        <f t="shared" si="29"/>
        <v>1E-4</v>
      </c>
      <c r="U70" s="178">
        <v>121.07143888473172</v>
      </c>
      <c r="V70" s="80">
        <f t="shared" si="30"/>
        <v>1E-4</v>
      </c>
      <c r="X70" s="192"/>
    </row>
    <row r="71" spans="1:24" ht="12.75" customHeight="1">
      <c r="A71" s="2" t="s">
        <v>415</v>
      </c>
      <c r="B71" s="35"/>
      <c r="C71" s="178">
        <v>0</v>
      </c>
      <c r="D71" s="80">
        <f t="shared" si="21"/>
        <v>0</v>
      </c>
      <c r="E71" s="178">
        <v>0</v>
      </c>
      <c r="F71" s="80">
        <f t="shared" si="22"/>
        <v>0</v>
      </c>
      <c r="G71" s="178">
        <v>0</v>
      </c>
      <c r="H71" s="80">
        <f t="shared" si="23"/>
        <v>0</v>
      </c>
      <c r="I71" s="178">
        <v>0</v>
      </c>
      <c r="J71" s="80">
        <f t="shared" si="24"/>
        <v>0</v>
      </c>
      <c r="K71" s="178">
        <v>0</v>
      </c>
      <c r="L71" s="80">
        <f t="shared" si="25"/>
        <v>0</v>
      </c>
      <c r="M71" s="178">
        <v>0</v>
      </c>
      <c r="N71" s="80">
        <f t="shared" si="26"/>
        <v>0</v>
      </c>
      <c r="O71" s="178">
        <v>0</v>
      </c>
      <c r="P71" s="80">
        <f t="shared" si="27"/>
        <v>0</v>
      </c>
      <c r="Q71" s="178">
        <v>0</v>
      </c>
      <c r="R71" s="80">
        <f t="shared" si="28"/>
        <v>0</v>
      </c>
      <c r="S71" s="178">
        <v>0</v>
      </c>
      <c r="T71" s="80">
        <f t="shared" si="29"/>
        <v>0</v>
      </c>
      <c r="U71" s="178">
        <v>0</v>
      </c>
      <c r="V71" s="80">
        <f t="shared" si="30"/>
        <v>0</v>
      </c>
      <c r="X71" s="192"/>
    </row>
    <row r="72" spans="1:24" ht="12.75" customHeight="1">
      <c r="A72" s="2" t="s">
        <v>416</v>
      </c>
      <c r="B72" s="35"/>
      <c r="C72" s="178">
        <v>0</v>
      </c>
      <c r="D72" s="80">
        <f t="shared" si="21"/>
        <v>0</v>
      </c>
      <c r="E72" s="178">
        <v>0</v>
      </c>
      <c r="F72" s="80">
        <f t="shared" si="22"/>
        <v>0</v>
      </c>
      <c r="G72" s="178">
        <v>0</v>
      </c>
      <c r="H72" s="80">
        <f t="shared" si="23"/>
        <v>0</v>
      </c>
      <c r="I72" s="178">
        <v>0</v>
      </c>
      <c r="J72" s="80">
        <f t="shared" si="24"/>
        <v>0</v>
      </c>
      <c r="K72" s="178">
        <v>0</v>
      </c>
      <c r="L72" s="80">
        <f t="shared" si="25"/>
        <v>0</v>
      </c>
      <c r="M72" s="178">
        <v>0</v>
      </c>
      <c r="N72" s="80">
        <f t="shared" si="26"/>
        <v>0</v>
      </c>
      <c r="O72" s="178">
        <v>0</v>
      </c>
      <c r="P72" s="80">
        <f t="shared" si="27"/>
        <v>0</v>
      </c>
      <c r="Q72" s="178">
        <v>0</v>
      </c>
      <c r="R72" s="80">
        <f t="shared" si="28"/>
        <v>0</v>
      </c>
      <c r="S72" s="178">
        <v>0</v>
      </c>
      <c r="T72" s="80">
        <f t="shared" si="29"/>
        <v>0</v>
      </c>
      <c r="U72" s="178">
        <v>0</v>
      </c>
      <c r="V72" s="80">
        <f t="shared" si="30"/>
        <v>0</v>
      </c>
      <c r="X72" s="192"/>
    </row>
    <row r="73" spans="1:24" ht="12.75" customHeight="1">
      <c r="A73" s="2" t="s">
        <v>417</v>
      </c>
      <c r="B73" s="35"/>
      <c r="C73" s="178">
        <v>0</v>
      </c>
      <c r="D73" s="80">
        <f t="shared" si="21"/>
        <v>0</v>
      </c>
      <c r="E73" s="178">
        <v>0</v>
      </c>
      <c r="F73" s="80">
        <f t="shared" si="22"/>
        <v>0</v>
      </c>
      <c r="G73" s="178">
        <v>0</v>
      </c>
      <c r="H73" s="80">
        <f t="shared" si="23"/>
        <v>0</v>
      </c>
      <c r="I73" s="178">
        <v>0</v>
      </c>
      <c r="J73" s="80">
        <f t="shared" si="24"/>
        <v>0</v>
      </c>
      <c r="K73" s="178">
        <v>0</v>
      </c>
      <c r="L73" s="80">
        <f t="shared" si="25"/>
        <v>0</v>
      </c>
      <c r="M73" s="178">
        <v>0</v>
      </c>
      <c r="N73" s="80">
        <f t="shared" si="26"/>
        <v>0</v>
      </c>
      <c r="O73" s="178">
        <v>0</v>
      </c>
      <c r="P73" s="80">
        <f t="shared" si="27"/>
        <v>0</v>
      </c>
      <c r="Q73" s="178">
        <v>0</v>
      </c>
      <c r="R73" s="80">
        <f t="shared" si="28"/>
        <v>0</v>
      </c>
      <c r="S73" s="178">
        <v>0</v>
      </c>
      <c r="T73" s="80">
        <f t="shared" si="29"/>
        <v>0</v>
      </c>
      <c r="U73" s="178">
        <v>0</v>
      </c>
      <c r="V73" s="80">
        <f t="shared" si="30"/>
        <v>0</v>
      </c>
      <c r="X73" s="192"/>
    </row>
    <row r="74" spans="1:24" ht="12.75" customHeight="1">
      <c r="A74" s="2" t="s">
        <v>418</v>
      </c>
      <c r="B74" s="35"/>
      <c r="C74" s="178">
        <v>0</v>
      </c>
      <c r="D74" s="80">
        <f t="shared" si="21"/>
        <v>0</v>
      </c>
      <c r="E74" s="178">
        <v>0</v>
      </c>
      <c r="F74" s="80">
        <f t="shared" si="22"/>
        <v>0</v>
      </c>
      <c r="G74" s="178">
        <v>0</v>
      </c>
      <c r="H74" s="80">
        <f t="shared" si="23"/>
        <v>0</v>
      </c>
      <c r="I74" s="178">
        <v>0</v>
      </c>
      <c r="J74" s="80">
        <f t="shared" si="24"/>
        <v>0</v>
      </c>
      <c r="K74" s="178">
        <v>0</v>
      </c>
      <c r="L74" s="80">
        <f t="shared" si="25"/>
        <v>0</v>
      </c>
      <c r="M74" s="178">
        <v>0</v>
      </c>
      <c r="N74" s="80">
        <f t="shared" si="26"/>
        <v>0</v>
      </c>
      <c r="O74" s="178">
        <v>0</v>
      </c>
      <c r="P74" s="80">
        <f t="shared" si="27"/>
        <v>0</v>
      </c>
      <c r="Q74" s="178">
        <v>0</v>
      </c>
      <c r="R74" s="80">
        <f t="shared" si="28"/>
        <v>0</v>
      </c>
      <c r="S74" s="178">
        <v>0</v>
      </c>
      <c r="T74" s="80">
        <f t="shared" si="29"/>
        <v>0</v>
      </c>
      <c r="U74" s="178">
        <v>0</v>
      </c>
      <c r="V74" s="80">
        <f t="shared" si="30"/>
        <v>0</v>
      </c>
      <c r="X74" s="192"/>
    </row>
    <row r="75" spans="1:24" ht="12.75" customHeight="1">
      <c r="A75" s="2" t="s">
        <v>419</v>
      </c>
      <c r="B75" s="35"/>
      <c r="C75" s="178">
        <v>3862.0692000000004</v>
      </c>
      <c r="D75" s="80">
        <f t="shared" si="21"/>
        <v>4.4999999999999997E-3</v>
      </c>
      <c r="E75" s="178">
        <v>4014</v>
      </c>
      <c r="F75" s="80">
        <f t="shared" si="22"/>
        <v>4.4999999999999997E-3</v>
      </c>
      <c r="G75" s="178">
        <v>4387.3019999999997</v>
      </c>
      <c r="H75" s="80">
        <f t="shared" si="23"/>
        <v>4.4999999999999997E-3</v>
      </c>
      <c r="I75" s="178">
        <v>4562.7940799999997</v>
      </c>
      <c r="J75" s="80">
        <f t="shared" si="24"/>
        <v>4.4999999999999997E-3</v>
      </c>
      <c r="K75" s="178">
        <v>4699.6779024000007</v>
      </c>
      <c r="L75" s="80">
        <f t="shared" si="25"/>
        <v>4.5000000000000005E-3</v>
      </c>
      <c r="M75" s="178">
        <v>4840.6682394720001</v>
      </c>
      <c r="N75" s="80">
        <f t="shared" si="26"/>
        <v>4.4999999999999997E-3</v>
      </c>
      <c r="O75" s="178">
        <v>4985.8882866561598</v>
      </c>
      <c r="P75" s="80">
        <f t="shared" si="27"/>
        <v>4.4999999999999997E-3</v>
      </c>
      <c r="Q75" s="178">
        <v>5135.4649352558445</v>
      </c>
      <c r="R75" s="80">
        <f t="shared" si="28"/>
        <v>4.4999999999999997E-3</v>
      </c>
      <c r="S75" s="178">
        <v>5289.5288833135201</v>
      </c>
      <c r="T75" s="80">
        <f t="shared" si="29"/>
        <v>4.4999999999999988E-3</v>
      </c>
      <c r="U75" s="178">
        <v>5448.214749812927</v>
      </c>
      <c r="V75" s="80">
        <f t="shared" si="30"/>
        <v>4.5000000000000005E-3</v>
      </c>
      <c r="X75" s="192"/>
    </row>
    <row r="76" spans="1:24" ht="12.75" customHeight="1">
      <c r="A76" s="2" t="s">
        <v>420</v>
      </c>
      <c r="B76" s="35"/>
      <c r="C76" s="178">
        <v>343.29504000000009</v>
      </c>
      <c r="D76" s="80">
        <f t="shared" si="21"/>
        <v>4.0000000000000007E-4</v>
      </c>
      <c r="E76" s="178">
        <v>356.80000000000007</v>
      </c>
      <c r="F76" s="80">
        <f t="shared" si="22"/>
        <v>4.0000000000000007E-4</v>
      </c>
      <c r="G76" s="178">
        <v>389.98240000000004</v>
      </c>
      <c r="H76" s="80">
        <f t="shared" si="23"/>
        <v>4.0000000000000002E-4</v>
      </c>
      <c r="I76" s="178">
        <v>405.58169600000002</v>
      </c>
      <c r="J76" s="80">
        <f t="shared" si="24"/>
        <v>4.0000000000000002E-4</v>
      </c>
      <c r="K76" s="178">
        <v>417.74914688000007</v>
      </c>
      <c r="L76" s="80">
        <f t="shared" si="25"/>
        <v>4.0000000000000002E-4</v>
      </c>
      <c r="M76" s="178">
        <v>430.28162128640008</v>
      </c>
      <c r="N76" s="80">
        <f t="shared" si="26"/>
        <v>4.0000000000000002E-4</v>
      </c>
      <c r="O76" s="178">
        <v>443.19006992499203</v>
      </c>
      <c r="P76" s="80">
        <f t="shared" si="27"/>
        <v>3.9999999999999996E-4</v>
      </c>
      <c r="Q76" s="178">
        <v>456.4857720227418</v>
      </c>
      <c r="R76" s="80">
        <f t="shared" si="28"/>
        <v>4.0000000000000002E-4</v>
      </c>
      <c r="S76" s="178">
        <v>470.18034518342409</v>
      </c>
      <c r="T76" s="80">
        <f t="shared" si="29"/>
        <v>4.0000000000000002E-4</v>
      </c>
      <c r="U76" s="178">
        <v>484.28575553892688</v>
      </c>
      <c r="V76" s="80">
        <f t="shared" si="30"/>
        <v>4.0000000000000002E-4</v>
      </c>
      <c r="X76" s="192"/>
    </row>
    <row r="77" spans="1:24" ht="12.75" customHeight="1">
      <c r="A77" s="2" t="s">
        <v>421</v>
      </c>
      <c r="B77" s="35"/>
      <c r="C77" s="178">
        <v>1115.7088800000001</v>
      </c>
      <c r="D77" s="80">
        <f t="shared" si="21"/>
        <v>1.2999999999999999E-3</v>
      </c>
      <c r="E77" s="178">
        <v>1159.5999999999999</v>
      </c>
      <c r="F77" s="80">
        <f t="shared" si="22"/>
        <v>1.2999999999999999E-3</v>
      </c>
      <c r="G77" s="178">
        <v>1267.4428</v>
      </c>
      <c r="H77" s="80">
        <f t="shared" si="23"/>
        <v>1.2999999999999999E-3</v>
      </c>
      <c r="I77" s="178">
        <v>1318.1405119999999</v>
      </c>
      <c r="J77" s="80">
        <f t="shared" si="24"/>
        <v>1.2999999999999999E-3</v>
      </c>
      <c r="K77" s="178">
        <v>1357.6847273600001</v>
      </c>
      <c r="L77" s="80">
        <f t="shared" si="25"/>
        <v>1.2999999999999999E-3</v>
      </c>
      <c r="M77" s="178">
        <v>1398.4152691808001</v>
      </c>
      <c r="N77" s="80">
        <f t="shared" si="26"/>
        <v>1.2999999999999999E-3</v>
      </c>
      <c r="O77" s="178">
        <v>1440.3677272562238</v>
      </c>
      <c r="P77" s="80">
        <f t="shared" si="27"/>
        <v>1.2999999999999997E-3</v>
      </c>
      <c r="Q77" s="178">
        <v>1483.5787590739105</v>
      </c>
      <c r="R77" s="80">
        <f t="shared" si="28"/>
        <v>1.2999999999999999E-3</v>
      </c>
      <c r="S77" s="178">
        <v>1528.0861218461282</v>
      </c>
      <c r="T77" s="80">
        <f t="shared" si="29"/>
        <v>1.2999999999999999E-3</v>
      </c>
      <c r="U77" s="178">
        <v>1573.9287055015122</v>
      </c>
      <c r="V77" s="80">
        <f t="shared" si="30"/>
        <v>1.2999999999999999E-3</v>
      </c>
      <c r="X77" s="192"/>
    </row>
    <row r="78" spans="1:24" ht="12.75" customHeight="1">
      <c r="A78" s="2" t="s">
        <v>422</v>
      </c>
      <c r="B78" s="35"/>
      <c r="C78" s="178">
        <v>18881.227200000001</v>
      </c>
      <c r="D78" s="80">
        <f t="shared" si="21"/>
        <v>2.1999999999999999E-2</v>
      </c>
      <c r="E78" s="178">
        <v>19624</v>
      </c>
      <c r="F78" s="80">
        <f t="shared" si="22"/>
        <v>2.1999999999999999E-2</v>
      </c>
      <c r="G78" s="178">
        <v>21449.031999999999</v>
      </c>
      <c r="H78" s="80">
        <f t="shared" si="23"/>
        <v>2.1999999999999999E-2</v>
      </c>
      <c r="I78" s="178">
        <v>22306.993279999995</v>
      </c>
      <c r="J78" s="80">
        <f t="shared" si="24"/>
        <v>2.1999999999999995E-2</v>
      </c>
      <c r="K78" s="178">
        <v>22976.203078400002</v>
      </c>
      <c r="L78" s="80">
        <f t="shared" si="25"/>
        <v>2.1999999999999999E-2</v>
      </c>
      <c r="M78" s="178">
        <v>23665.489170752004</v>
      </c>
      <c r="N78" s="80">
        <f t="shared" si="26"/>
        <v>2.2000000000000002E-2</v>
      </c>
      <c r="O78" s="178">
        <v>24375.453845874559</v>
      </c>
      <c r="P78" s="80">
        <f t="shared" si="27"/>
        <v>2.1999999999999999E-2</v>
      </c>
      <c r="Q78" s="178">
        <v>25106.717461250795</v>
      </c>
      <c r="R78" s="80">
        <f t="shared" si="28"/>
        <v>2.1999999999999999E-2</v>
      </c>
      <c r="S78" s="178">
        <v>25859.918985088323</v>
      </c>
      <c r="T78" s="80">
        <f t="shared" si="29"/>
        <v>2.1999999999999999E-2</v>
      </c>
      <c r="U78" s="178">
        <v>26635.716554640974</v>
      </c>
      <c r="V78" s="80">
        <f t="shared" si="30"/>
        <v>2.1999999999999999E-2</v>
      </c>
      <c r="X78" s="192"/>
    </row>
    <row r="79" spans="1:24" ht="12.75" customHeight="1">
      <c r="A79" s="2" t="s">
        <v>423</v>
      </c>
      <c r="B79" s="35"/>
      <c r="C79" s="178">
        <v>0</v>
      </c>
      <c r="D79" s="80">
        <f t="shared" si="21"/>
        <v>0</v>
      </c>
      <c r="E79" s="178">
        <v>0</v>
      </c>
      <c r="F79" s="80">
        <f t="shared" si="22"/>
        <v>0</v>
      </c>
      <c r="G79" s="178">
        <v>0</v>
      </c>
      <c r="H79" s="80">
        <f t="shared" si="23"/>
        <v>0</v>
      </c>
      <c r="I79" s="178">
        <v>0</v>
      </c>
      <c r="J79" s="80">
        <f t="shared" si="24"/>
        <v>0</v>
      </c>
      <c r="K79" s="178">
        <v>0</v>
      </c>
      <c r="L79" s="80">
        <f t="shared" si="25"/>
        <v>0</v>
      </c>
      <c r="M79" s="178">
        <v>0</v>
      </c>
      <c r="N79" s="80">
        <f t="shared" si="26"/>
        <v>0</v>
      </c>
      <c r="O79" s="178">
        <v>0</v>
      </c>
      <c r="P79" s="80">
        <f t="shared" si="27"/>
        <v>0</v>
      </c>
      <c r="Q79" s="178">
        <v>0</v>
      </c>
      <c r="R79" s="80">
        <f t="shared" si="28"/>
        <v>0</v>
      </c>
      <c r="S79" s="178">
        <v>0</v>
      </c>
      <c r="T79" s="80">
        <f t="shared" si="29"/>
        <v>0</v>
      </c>
      <c r="U79" s="178">
        <v>0</v>
      </c>
      <c r="V79" s="80">
        <f t="shared" si="30"/>
        <v>0</v>
      </c>
      <c r="X79" s="192"/>
    </row>
    <row r="80" spans="1:24" ht="12.75" customHeight="1">
      <c r="A80" s="2" t="s">
        <v>424</v>
      </c>
      <c r="B80" s="35"/>
      <c r="C80" s="178">
        <v>0</v>
      </c>
      <c r="D80" s="80">
        <f t="shared" si="21"/>
        <v>0</v>
      </c>
      <c r="E80" s="178">
        <v>0</v>
      </c>
      <c r="F80" s="80">
        <f t="shared" si="22"/>
        <v>0</v>
      </c>
      <c r="G80" s="178">
        <v>0</v>
      </c>
      <c r="H80" s="80">
        <f t="shared" si="23"/>
        <v>0</v>
      </c>
      <c r="I80" s="178">
        <v>0</v>
      </c>
      <c r="J80" s="80">
        <f t="shared" si="24"/>
        <v>0</v>
      </c>
      <c r="K80" s="178">
        <v>0</v>
      </c>
      <c r="L80" s="80">
        <f t="shared" si="25"/>
        <v>0</v>
      </c>
      <c r="M80" s="178">
        <v>0</v>
      </c>
      <c r="N80" s="80">
        <f t="shared" si="26"/>
        <v>0</v>
      </c>
      <c r="O80" s="178">
        <v>0</v>
      </c>
      <c r="P80" s="80">
        <f t="shared" si="27"/>
        <v>0</v>
      </c>
      <c r="Q80" s="178">
        <v>0</v>
      </c>
      <c r="R80" s="80">
        <f t="shared" si="28"/>
        <v>0</v>
      </c>
      <c r="S80" s="178">
        <v>0</v>
      </c>
      <c r="T80" s="80">
        <f t="shared" si="29"/>
        <v>0</v>
      </c>
      <c r="U80" s="178">
        <v>0</v>
      </c>
      <c r="V80" s="80">
        <f t="shared" si="30"/>
        <v>0</v>
      </c>
      <c r="X80" s="192"/>
    </row>
    <row r="81" spans="1:24" ht="12.75" customHeight="1">
      <c r="A81" s="2" t="s">
        <v>425</v>
      </c>
      <c r="B81" s="35"/>
      <c r="C81" s="178">
        <v>0</v>
      </c>
      <c r="D81" s="80">
        <f t="shared" si="21"/>
        <v>0</v>
      </c>
      <c r="E81" s="178">
        <v>0</v>
      </c>
      <c r="F81" s="80">
        <f t="shared" si="22"/>
        <v>0</v>
      </c>
      <c r="G81" s="178">
        <v>0</v>
      </c>
      <c r="H81" s="80">
        <f t="shared" si="23"/>
        <v>0</v>
      </c>
      <c r="I81" s="178">
        <v>0</v>
      </c>
      <c r="J81" s="80">
        <f t="shared" si="24"/>
        <v>0</v>
      </c>
      <c r="K81" s="178">
        <v>0</v>
      </c>
      <c r="L81" s="80">
        <f t="shared" si="25"/>
        <v>0</v>
      </c>
      <c r="M81" s="178">
        <v>0</v>
      </c>
      <c r="N81" s="80">
        <f t="shared" si="26"/>
        <v>0</v>
      </c>
      <c r="O81" s="178">
        <v>0</v>
      </c>
      <c r="P81" s="80">
        <f t="shared" si="27"/>
        <v>0</v>
      </c>
      <c r="Q81" s="178">
        <v>0</v>
      </c>
      <c r="R81" s="80">
        <f t="shared" si="28"/>
        <v>0</v>
      </c>
      <c r="S81" s="178">
        <v>0</v>
      </c>
      <c r="T81" s="80">
        <f t="shared" si="29"/>
        <v>0</v>
      </c>
      <c r="U81" s="178">
        <v>0</v>
      </c>
      <c r="V81" s="80">
        <f t="shared" si="30"/>
        <v>0</v>
      </c>
      <c r="X81" s="192"/>
    </row>
    <row r="82" spans="1:24" ht="12.75" customHeight="1">
      <c r="A82" s="2" t="s">
        <v>426</v>
      </c>
      <c r="B82" s="35"/>
      <c r="C82" s="178">
        <v>0</v>
      </c>
      <c r="D82" s="80">
        <f t="shared" si="21"/>
        <v>0</v>
      </c>
      <c r="E82" s="178">
        <v>0</v>
      </c>
      <c r="F82" s="80">
        <f t="shared" si="22"/>
        <v>0</v>
      </c>
      <c r="G82" s="178">
        <v>0</v>
      </c>
      <c r="H82" s="80">
        <f t="shared" si="23"/>
        <v>0</v>
      </c>
      <c r="I82" s="178">
        <v>0</v>
      </c>
      <c r="J82" s="80">
        <f t="shared" si="24"/>
        <v>0</v>
      </c>
      <c r="K82" s="178">
        <v>0</v>
      </c>
      <c r="L82" s="80">
        <f t="shared" si="25"/>
        <v>0</v>
      </c>
      <c r="M82" s="178">
        <v>0</v>
      </c>
      <c r="N82" s="80">
        <f t="shared" si="26"/>
        <v>0</v>
      </c>
      <c r="O82" s="178">
        <v>0</v>
      </c>
      <c r="P82" s="80">
        <f t="shared" si="27"/>
        <v>0</v>
      </c>
      <c r="Q82" s="178">
        <v>0</v>
      </c>
      <c r="R82" s="80">
        <f t="shared" si="28"/>
        <v>0</v>
      </c>
      <c r="S82" s="178">
        <v>0</v>
      </c>
      <c r="T82" s="80">
        <f t="shared" si="29"/>
        <v>0</v>
      </c>
      <c r="U82" s="178">
        <v>0</v>
      </c>
      <c r="V82" s="80">
        <f t="shared" si="30"/>
        <v>0</v>
      </c>
      <c r="X82" s="192"/>
    </row>
    <row r="83" spans="1:24" ht="12.75" customHeight="1">
      <c r="A83" s="2" t="s">
        <v>427</v>
      </c>
      <c r="B83" s="35"/>
      <c r="C83" s="178">
        <v>0</v>
      </c>
      <c r="D83" s="80">
        <f t="shared" si="21"/>
        <v>0</v>
      </c>
      <c r="E83" s="178">
        <v>0</v>
      </c>
      <c r="F83" s="80">
        <f t="shared" si="22"/>
        <v>0</v>
      </c>
      <c r="G83" s="178">
        <v>0</v>
      </c>
      <c r="H83" s="80">
        <f t="shared" si="23"/>
        <v>0</v>
      </c>
      <c r="I83" s="178">
        <v>0</v>
      </c>
      <c r="J83" s="80">
        <f t="shared" si="24"/>
        <v>0</v>
      </c>
      <c r="K83" s="178">
        <v>0</v>
      </c>
      <c r="L83" s="80">
        <f t="shared" si="25"/>
        <v>0</v>
      </c>
      <c r="M83" s="178">
        <v>0</v>
      </c>
      <c r="N83" s="80">
        <f t="shared" si="26"/>
        <v>0</v>
      </c>
      <c r="O83" s="178">
        <v>0</v>
      </c>
      <c r="P83" s="80">
        <f t="shared" si="27"/>
        <v>0</v>
      </c>
      <c r="Q83" s="178">
        <v>0</v>
      </c>
      <c r="R83" s="80">
        <f t="shared" si="28"/>
        <v>0</v>
      </c>
      <c r="S83" s="178">
        <v>0</v>
      </c>
      <c r="T83" s="80">
        <f t="shared" si="29"/>
        <v>0</v>
      </c>
      <c r="U83" s="178">
        <v>0</v>
      </c>
      <c r="V83" s="80">
        <f t="shared" si="30"/>
        <v>0</v>
      </c>
      <c r="X83" s="192"/>
    </row>
    <row r="84" spans="1:24" ht="12.75" customHeight="1">
      <c r="A84" s="2" t="s">
        <v>428</v>
      </c>
      <c r="B84" s="35"/>
      <c r="C84" s="178">
        <v>0</v>
      </c>
      <c r="D84" s="80">
        <f t="shared" si="21"/>
        <v>0</v>
      </c>
      <c r="E84" s="178">
        <v>0</v>
      </c>
      <c r="F84" s="80">
        <f t="shared" si="22"/>
        <v>0</v>
      </c>
      <c r="G84" s="178">
        <v>0</v>
      </c>
      <c r="H84" s="80">
        <f t="shared" si="23"/>
        <v>0</v>
      </c>
      <c r="I84" s="178">
        <v>0</v>
      </c>
      <c r="J84" s="80">
        <f t="shared" si="24"/>
        <v>0</v>
      </c>
      <c r="K84" s="178">
        <v>0</v>
      </c>
      <c r="L84" s="80">
        <f t="shared" si="25"/>
        <v>0</v>
      </c>
      <c r="M84" s="178">
        <v>0</v>
      </c>
      <c r="N84" s="80">
        <f t="shared" si="26"/>
        <v>0</v>
      </c>
      <c r="O84" s="178">
        <v>0</v>
      </c>
      <c r="P84" s="80">
        <f t="shared" si="27"/>
        <v>0</v>
      </c>
      <c r="Q84" s="178">
        <v>0</v>
      </c>
      <c r="R84" s="80">
        <f t="shared" si="28"/>
        <v>0</v>
      </c>
      <c r="S84" s="178">
        <v>0</v>
      </c>
      <c r="T84" s="80">
        <f t="shared" si="29"/>
        <v>0</v>
      </c>
      <c r="U84" s="178">
        <v>0</v>
      </c>
      <c r="V84" s="80">
        <f t="shared" si="30"/>
        <v>0</v>
      </c>
      <c r="X84" s="192"/>
    </row>
    <row r="85" spans="1:24" ht="12.75" customHeight="1">
      <c r="A85" s="2" t="s">
        <v>429</v>
      </c>
      <c r="B85" s="35"/>
      <c r="C85" s="178">
        <v>0</v>
      </c>
      <c r="D85" s="80">
        <f t="shared" si="21"/>
        <v>0</v>
      </c>
      <c r="E85" s="178">
        <v>0</v>
      </c>
      <c r="F85" s="80">
        <f t="shared" si="22"/>
        <v>0</v>
      </c>
      <c r="G85" s="178">
        <v>0</v>
      </c>
      <c r="H85" s="80">
        <f t="shared" si="23"/>
        <v>0</v>
      </c>
      <c r="I85" s="178">
        <v>0</v>
      </c>
      <c r="J85" s="80">
        <f t="shared" si="24"/>
        <v>0</v>
      </c>
      <c r="K85" s="178">
        <v>0</v>
      </c>
      <c r="L85" s="80">
        <f t="shared" si="25"/>
        <v>0</v>
      </c>
      <c r="M85" s="178">
        <v>0</v>
      </c>
      <c r="N85" s="80">
        <f t="shared" si="26"/>
        <v>0</v>
      </c>
      <c r="O85" s="178">
        <v>0</v>
      </c>
      <c r="P85" s="80">
        <f t="shared" si="27"/>
        <v>0</v>
      </c>
      <c r="Q85" s="178">
        <v>0</v>
      </c>
      <c r="R85" s="80">
        <f t="shared" si="28"/>
        <v>0</v>
      </c>
      <c r="S85" s="178">
        <v>0</v>
      </c>
      <c r="T85" s="80">
        <f t="shared" si="29"/>
        <v>0</v>
      </c>
      <c r="U85" s="178">
        <v>0</v>
      </c>
      <c r="V85" s="80">
        <f t="shared" si="30"/>
        <v>0</v>
      </c>
      <c r="X85" s="192"/>
    </row>
    <row r="86" spans="1:24" ht="12.75" customHeight="1">
      <c r="A86" s="2" t="s">
        <v>430</v>
      </c>
      <c r="B86" s="35"/>
      <c r="C86" s="178">
        <v>3432.9504000000006</v>
      </c>
      <c r="D86" s="80">
        <f t="shared" si="21"/>
        <v>4.0000000000000001E-3</v>
      </c>
      <c r="E86" s="178">
        <v>3568</v>
      </c>
      <c r="F86" s="80">
        <f t="shared" si="22"/>
        <v>4.0000000000000001E-3</v>
      </c>
      <c r="G86" s="178">
        <v>3899.8240000000005</v>
      </c>
      <c r="H86" s="80">
        <f t="shared" si="23"/>
        <v>4.000000000000001E-3</v>
      </c>
      <c r="I86" s="178">
        <v>4055.8169600000001</v>
      </c>
      <c r="J86" s="80">
        <f t="shared" si="24"/>
        <v>4.0000000000000001E-3</v>
      </c>
      <c r="K86" s="178">
        <v>4177.4914688000008</v>
      </c>
      <c r="L86" s="80">
        <f t="shared" si="25"/>
        <v>4.0000000000000001E-3</v>
      </c>
      <c r="M86" s="178">
        <v>4302.8162128640006</v>
      </c>
      <c r="N86" s="80">
        <f t="shared" si="26"/>
        <v>4.0000000000000001E-3</v>
      </c>
      <c r="O86" s="178">
        <v>4431.9006992499208</v>
      </c>
      <c r="P86" s="80">
        <f t="shared" si="27"/>
        <v>4.0000000000000001E-3</v>
      </c>
      <c r="Q86" s="178">
        <v>4564.8577202274182</v>
      </c>
      <c r="R86" s="80">
        <f t="shared" si="28"/>
        <v>4.000000000000001E-3</v>
      </c>
      <c r="S86" s="178">
        <v>4701.8034518342401</v>
      </c>
      <c r="T86" s="80">
        <f t="shared" si="29"/>
        <v>3.9999999999999992E-3</v>
      </c>
      <c r="U86" s="178">
        <v>4842.8575553892679</v>
      </c>
      <c r="V86" s="80">
        <f t="shared" si="30"/>
        <v>3.9999999999999992E-3</v>
      </c>
      <c r="X86" s="192"/>
    </row>
    <row r="87" spans="1:24" ht="12.75" customHeight="1">
      <c r="A87" s="2" t="s">
        <v>431</v>
      </c>
      <c r="B87" s="35"/>
      <c r="C87" s="178">
        <v>0</v>
      </c>
      <c r="D87" s="80">
        <f t="shared" si="21"/>
        <v>0</v>
      </c>
      <c r="E87" s="178">
        <v>0</v>
      </c>
      <c r="F87" s="80">
        <f t="shared" si="22"/>
        <v>0</v>
      </c>
      <c r="G87" s="178">
        <v>0</v>
      </c>
      <c r="H87" s="80">
        <f t="shared" si="23"/>
        <v>0</v>
      </c>
      <c r="I87" s="178">
        <v>0</v>
      </c>
      <c r="J87" s="80">
        <f t="shared" si="24"/>
        <v>0</v>
      </c>
      <c r="K87" s="178">
        <v>0</v>
      </c>
      <c r="L87" s="80">
        <f t="shared" si="25"/>
        <v>0</v>
      </c>
      <c r="M87" s="178">
        <v>0</v>
      </c>
      <c r="N87" s="80">
        <f t="shared" si="26"/>
        <v>0</v>
      </c>
      <c r="O87" s="178">
        <v>0</v>
      </c>
      <c r="P87" s="80">
        <f t="shared" si="27"/>
        <v>0</v>
      </c>
      <c r="Q87" s="178">
        <v>0</v>
      </c>
      <c r="R87" s="80">
        <f t="shared" si="28"/>
        <v>0</v>
      </c>
      <c r="S87" s="178">
        <v>0</v>
      </c>
      <c r="T87" s="80">
        <f t="shared" si="29"/>
        <v>0</v>
      </c>
      <c r="U87" s="178">
        <v>0</v>
      </c>
      <c r="V87" s="80">
        <f t="shared" si="30"/>
        <v>0</v>
      </c>
      <c r="X87" s="192"/>
    </row>
    <row r="88" spans="1:24" ht="12.75" customHeight="1">
      <c r="A88" s="2" t="s">
        <v>432</v>
      </c>
      <c r="B88" s="35"/>
      <c r="C88" s="178">
        <v>4377.0117600000003</v>
      </c>
      <c r="D88" s="80">
        <f t="shared" si="21"/>
        <v>5.0999999999999995E-3</v>
      </c>
      <c r="E88" s="178">
        <v>4549.2</v>
      </c>
      <c r="F88" s="80">
        <f t="shared" si="22"/>
        <v>5.0999999999999995E-3</v>
      </c>
      <c r="G88" s="178">
        <v>4972.2756000000008</v>
      </c>
      <c r="H88" s="80">
        <f t="shared" si="23"/>
        <v>5.1000000000000012E-3</v>
      </c>
      <c r="I88" s="178">
        <v>5171.1666240000004</v>
      </c>
      <c r="J88" s="80">
        <f t="shared" si="24"/>
        <v>5.1000000000000004E-3</v>
      </c>
      <c r="K88" s="178">
        <v>5326.3016227200014</v>
      </c>
      <c r="L88" s="80">
        <f t="shared" si="25"/>
        <v>5.1000000000000012E-3</v>
      </c>
      <c r="M88" s="178">
        <v>5486.090671401601</v>
      </c>
      <c r="N88" s="80">
        <f t="shared" si="26"/>
        <v>5.1000000000000004E-3</v>
      </c>
      <c r="O88" s="178">
        <v>5650.673391543648</v>
      </c>
      <c r="P88" s="80">
        <f t="shared" si="27"/>
        <v>5.0999999999999995E-3</v>
      </c>
      <c r="Q88" s="178">
        <v>5820.1935932899578</v>
      </c>
      <c r="R88" s="80">
        <f t="shared" si="28"/>
        <v>5.1000000000000004E-3</v>
      </c>
      <c r="S88" s="178">
        <v>5994.7994010886569</v>
      </c>
      <c r="T88" s="80">
        <f t="shared" si="29"/>
        <v>5.0999999999999995E-3</v>
      </c>
      <c r="U88" s="178">
        <v>6174.643383121318</v>
      </c>
      <c r="V88" s="80">
        <f t="shared" si="30"/>
        <v>5.1000000000000004E-3</v>
      </c>
      <c r="X88" s="192"/>
    </row>
    <row r="89" spans="1:24" ht="12.75" customHeight="1">
      <c r="A89" s="2" t="s">
        <v>433</v>
      </c>
      <c r="B89" s="35"/>
      <c r="C89" s="178">
        <v>0</v>
      </c>
      <c r="D89" s="80">
        <f t="shared" si="21"/>
        <v>0</v>
      </c>
      <c r="E89" s="178">
        <v>0</v>
      </c>
      <c r="F89" s="80">
        <f t="shared" si="22"/>
        <v>0</v>
      </c>
      <c r="G89" s="178">
        <v>0</v>
      </c>
      <c r="H89" s="80">
        <f t="shared" si="23"/>
        <v>0</v>
      </c>
      <c r="I89" s="178">
        <v>0</v>
      </c>
      <c r="J89" s="80">
        <f t="shared" si="24"/>
        <v>0</v>
      </c>
      <c r="K89" s="178">
        <v>0</v>
      </c>
      <c r="L89" s="80">
        <f t="shared" si="25"/>
        <v>0</v>
      </c>
      <c r="M89" s="178">
        <v>0</v>
      </c>
      <c r="N89" s="80">
        <f t="shared" si="26"/>
        <v>0</v>
      </c>
      <c r="O89" s="178">
        <v>0</v>
      </c>
      <c r="P89" s="80">
        <f t="shared" si="27"/>
        <v>0</v>
      </c>
      <c r="Q89" s="178">
        <v>0</v>
      </c>
      <c r="R89" s="80">
        <f t="shared" si="28"/>
        <v>0</v>
      </c>
      <c r="S89" s="178">
        <v>0</v>
      </c>
      <c r="T89" s="80">
        <f t="shared" si="29"/>
        <v>0</v>
      </c>
      <c r="U89" s="178">
        <v>0</v>
      </c>
      <c r="V89" s="80">
        <f t="shared" si="30"/>
        <v>0</v>
      </c>
      <c r="X89" s="192"/>
    </row>
    <row r="90" spans="1:24" ht="12.75" customHeight="1">
      <c r="A90" s="2" t="s">
        <v>434</v>
      </c>
      <c r="B90" s="35"/>
      <c r="C90" s="178">
        <v>171.64752000000004</v>
      </c>
      <c r="D90" s="80">
        <f t="shared" si="21"/>
        <v>2.0000000000000004E-4</v>
      </c>
      <c r="E90" s="178">
        <v>178.40000000000003</v>
      </c>
      <c r="F90" s="80">
        <f t="shared" si="22"/>
        <v>2.0000000000000004E-4</v>
      </c>
      <c r="G90" s="178">
        <v>194.99120000000002</v>
      </c>
      <c r="H90" s="80">
        <f t="shared" si="23"/>
        <v>2.0000000000000001E-4</v>
      </c>
      <c r="I90" s="178">
        <v>202.79084800000001</v>
      </c>
      <c r="J90" s="80">
        <f t="shared" si="24"/>
        <v>2.0000000000000001E-4</v>
      </c>
      <c r="K90" s="178">
        <v>208.87457344000003</v>
      </c>
      <c r="L90" s="80">
        <f t="shared" si="25"/>
        <v>2.0000000000000001E-4</v>
      </c>
      <c r="M90" s="178">
        <v>215.14081064320004</v>
      </c>
      <c r="N90" s="80">
        <f t="shared" si="26"/>
        <v>2.0000000000000001E-4</v>
      </c>
      <c r="O90" s="178">
        <v>221.59503496249602</v>
      </c>
      <c r="P90" s="80">
        <f t="shared" si="27"/>
        <v>1.9999999999999998E-4</v>
      </c>
      <c r="Q90" s="178">
        <v>228.2428860113709</v>
      </c>
      <c r="R90" s="80">
        <f t="shared" si="28"/>
        <v>2.0000000000000001E-4</v>
      </c>
      <c r="S90" s="178">
        <v>235.09017259171205</v>
      </c>
      <c r="T90" s="80">
        <f t="shared" si="29"/>
        <v>2.0000000000000001E-4</v>
      </c>
      <c r="U90" s="178">
        <v>242.14287776946344</v>
      </c>
      <c r="V90" s="80">
        <f t="shared" si="30"/>
        <v>2.0000000000000001E-4</v>
      </c>
      <c r="X90" s="192"/>
    </row>
    <row r="91" spans="1:24" ht="12.75" customHeight="1">
      <c r="A91" s="2" t="s">
        <v>435</v>
      </c>
      <c r="C91" s="178">
        <v>0</v>
      </c>
      <c r="D91" s="80">
        <f t="shared" si="21"/>
        <v>0</v>
      </c>
      <c r="E91" s="178">
        <v>0</v>
      </c>
      <c r="F91" s="80">
        <f t="shared" si="22"/>
        <v>0</v>
      </c>
      <c r="G91" s="178">
        <v>0</v>
      </c>
      <c r="H91" s="80">
        <f t="shared" si="23"/>
        <v>0</v>
      </c>
      <c r="I91" s="178">
        <v>0</v>
      </c>
      <c r="J91" s="80">
        <f t="shared" si="24"/>
        <v>0</v>
      </c>
      <c r="K91" s="178">
        <v>0</v>
      </c>
      <c r="L91" s="80">
        <f t="shared" si="25"/>
        <v>0</v>
      </c>
      <c r="M91" s="178">
        <v>0</v>
      </c>
      <c r="N91" s="80">
        <f t="shared" si="26"/>
        <v>0</v>
      </c>
      <c r="O91" s="178">
        <v>0</v>
      </c>
      <c r="P91" s="80">
        <f t="shared" si="27"/>
        <v>0</v>
      </c>
      <c r="Q91" s="178">
        <v>0</v>
      </c>
      <c r="R91" s="80">
        <f t="shared" si="28"/>
        <v>0</v>
      </c>
      <c r="S91" s="178">
        <v>0</v>
      </c>
      <c r="T91" s="80">
        <f t="shared" si="29"/>
        <v>0</v>
      </c>
      <c r="U91" s="178">
        <v>0</v>
      </c>
      <c r="V91" s="80">
        <f t="shared" si="30"/>
        <v>0</v>
      </c>
      <c r="X91" s="192"/>
    </row>
    <row r="92" spans="1:24" ht="12.75" customHeight="1">
      <c r="A92" s="2" t="s">
        <v>436</v>
      </c>
      <c r="B92" s="35"/>
      <c r="C92" s="178">
        <v>4462.8355200000005</v>
      </c>
      <c r="D92" s="80">
        <f t="shared" si="21"/>
        <v>5.1999999999999998E-3</v>
      </c>
      <c r="E92" s="178">
        <v>4638.3999999999996</v>
      </c>
      <c r="F92" s="80">
        <f t="shared" si="22"/>
        <v>5.1999999999999998E-3</v>
      </c>
      <c r="G92" s="178">
        <v>5069.7712000000001</v>
      </c>
      <c r="H92" s="80">
        <f t="shared" si="23"/>
        <v>5.1999999999999998E-3</v>
      </c>
      <c r="I92" s="178">
        <v>5272.5620479999998</v>
      </c>
      <c r="J92" s="80">
        <f t="shared" si="24"/>
        <v>5.1999999999999998E-3</v>
      </c>
      <c r="K92" s="178">
        <v>5430.7389094400005</v>
      </c>
      <c r="L92" s="80">
        <f t="shared" si="25"/>
        <v>5.1999999999999998E-3</v>
      </c>
      <c r="M92" s="178">
        <v>5593.6610767232005</v>
      </c>
      <c r="N92" s="80">
        <f t="shared" si="26"/>
        <v>5.1999999999999998E-3</v>
      </c>
      <c r="O92" s="178">
        <v>5761.4709090248953</v>
      </c>
      <c r="P92" s="80">
        <f t="shared" si="27"/>
        <v>5.1999999999999989E-3</v>
      </c>
      <c r="Q92" s="178">
        <v>5934.3150362956421</v>
      </c>
      <c r="R92" s="80">
        <f t="shared" si="28"/>
        <v>5.1999999999999998E-3</v>
      </c>
      <c r="S92" s="178">
        <v>6112.3444873845128</v>
      </c>
      <c r="T92" s="80">
        <f t="shared" si="29"/>
        <v>5.1999999999999998E-3</v>
      </c>
      <c r="U92" s="178">
        <v>6295.714822006049</v>
      </c>
      <c r="V92" s="80">
        <f t="shared" si="30"/>
        <v>5.1999999999999998E-3</v>
      </c>
      <c r="X92" s="192"/>
    </row>
    <row r="93" spans="1:24" ht="12.75" customHeight="1">
      <c r="A93" s="2" t="s">
        <v>437</v>
      </c>
      <c r="B93" s="35"/>
      <c r="C93" s="178">
        <v>0</v>
      </c>
      <c r="D93" s="80">
        <f t="shared" si="21"/>
        <v>0</v>
      </c>
      <c r="E93" s="178">
        <v>0</v>
      </c>
      <c r="F93" s="80">
        <f t="shared" si="22"/>
        <v>0</v>
      </c>
      <c r="G93" s="178">
        <v>0</v>
      </c>
      <c r="H93" s="80">
        <f t="shared" si="23"/>
        <v>0</v>
      </c>
      <c r="I93" s="178">
        <v>0</v>
      </c>
      <c r="J93" s="80">
        <f t="shared" si="24"/>
        <v>0</v>
      </c>
      <c r="K93" s="178">
        <v>0</v>
      </c>
      <c r="L93" s="80">
        <f t="shared" si="25"/>
        <v>0</v>
      </c>
      <c r="M93" s="178">
        <v>0</v>
      </c>
      <c r="N93" s="80">
        <f t="shared" si="26"/>
        <v>0</v>
      </c>
      <c r="O93" s="178">
        <v>0</v>
      </c>
      <c r="P93" s="80">
        <f t="shared" si="27"/>
        <v>0</v>
      </c>
      <c r="Q93" s="178">
        <v>0</v>
      </c>
      <c r="R93" s="80">
        <f t="shared" si="28"/>
        <v>0</v>
      </c>
      <c r="S93" s="178">
        <v>0</v>
      </c>
      <c r="T93" s="80">
        <f t="shared" si="29"/>
        <v>0</v>
      </c>
      <c r="U93" s="178">
        <v>0</v>
      </c>
      <c r="V93" s="80">
        <f t="shared" si="30"/>
        <v>0</v>
      </c>
      <c r="X93" s="192"/>
    </row>
    <row r="94" spans="1:24" ht="12.75" customHeight="1">
      <c r="A94" s="2" t="s">
        <v>438</v>
      </c>
      <c r="B94" s="35"/>
      <c r="C94" s="178">
        <v>0</v>
      </c>
      <c r="D94" s="80">
        <f t="shared" si="21"/>
        <v>0</v>
      </c>
      <c r="E94" s="178">
        <v>0</v>
      </c>
      <c r="F94" s="80">
        <f t="shared" si="22"/>
        <v>0</v>
      </c>
      <c r="G94" s="178">
        <v>0</v>
      </c>
      <c r="H94" s="80">
        <f t="shared" si="23"/>
        <v>0</v>
      </c>
      <c r="I94" s="178">
        <v>0</v>
      </c>
      <c r="J94" s="80">
        <f t="shared" si="24"/>
        <v>0</v>
      </c>
      <c r="K94" s="178">
        <v>0</v>
      </c>
      <c r="L94" s="80">
        <f t="shared" si="25"/>
        <v>0</v>
      </c>
      <c r="M94" s="178">
        <v>0</v>
      </c>
      <c r="N94" s="80">
        <f t="shared" si="26"/>
        <v>0</v>
      </c>
      <c r="O94" s="178">
        <v>0</v>
      </c>
      <c r="P94" s="80">
        <f t="shared" si="27"/>
        <v>0</v>
      </c>
      <c r="Q94" s="178">
        <v>0</v>
      </c>
      <c r="R94" s="80">
        <f t="shared" si="28"/>
        <v>0</v>
      </c>
      <c r="S94" s="178">
        <v>0</v>
      </c>
      <c r="T94" s="80">
        <f t="shared" si="29"/>
        <v>0</v>
      </c>
      <c r="U94" s="178">
        <v>0</v>
      </c>
      <c r="V94" s="80">
        <f t="shared" si="30"/>
        <v>0</v>
      </c>
      <c r="X94" s="192"/>
    </row>
    <row r="95" spans="1:24" ht="12.75" customHeight="1">
      <c r="A95" s="2" t="s">
        <v>439</v>
      </c>
      <c r="B95" s="35"/>
      <c r="C95" s="178">
        <v>0</v>
      </c>
      <c r="D95" s="80">
        <f t="shared" si="21"/>
        <v>0</v>
      </c>
      <c r="E95" s="178">
        <v>0</v>
      </c>
      <c r="F95" s="80">
        <f t="shared" si="22"/>
        <v>0</v>
      </c>
      <c r="G95" s="178">
        <v>0</v>
      </c>
      <c r="H95" s="80">
        <f t="shared" si="23"/>
        <v>0</v>
      </c>
      <c r="I95" s="178">
        <v>0</v>
      </c>
      <c r="J95" s="80">
        <f t="shared" si="24"/>
        <v>0</v>
      </c>
      <c r="K95" s="178">
        <v>0</v>
      </c>
      <c r="L95" s="80">
        <f t="shared" si="25"/>
        <v>0</v>
      </c>
      <c r="M95" s="178">
        <v>0</v>
      </c>
      <c r="N95" s="80">
        <f t="shared" si="26"/>
        <v>0</v>
      </c>
      <c r="O95" s="178">
        <v>0</v>
      </c>
      <c r="P95" s="80">
        <f t="shared" si="27"/>
        <v>0</v>
      </c>
      <c r="Q95" s="178">
        <v>0</v>
      </c>
      <c r="R95" s="80">
        <f t="shared" si="28"/>
        <v>0</v>
      </c>
      <c r="S95" s="178">
        <v>0</v>
      </c>
      <c r="T95" s="80">
        <f t="shared" si="29"/>
        <v>0</v>
      </c>
      <c r="U95" s="178">
        <v>0</v>
      </c>
      <c r="V95" s="80">
        <f t="shared" si="30"/>
        <v>0</v>
      </c>
      <c r="X95" s="192"/>
    </row>
    <row r="96" spans="1:24" ht="12.75" customHeight="1">
      <c r="A96" s="2" t="s">
        <v>440</v>
      </c>
      <c r="B96" s="35"/>
      <c r="C96" s="178">
        <v>0</v>
      </c>
      <c r="D96" s="80">
        <f t="shared" si="21"/>
        <v>0</v>
      </c>
      <c r="E96" s="178">
        <v>0</v>
      </c>
      <c r="F96" s="80">
        <f t="shared" si="22"/>
        <v>0</v>
      </c>
      <c r="G96" s="178">
        <v>0</v>
      </c>
      <c r="H96" s="80">
        <f t="shared" si="23"/>
        <v>0</v>
      </c>
      <c r="I96" s="178">
        <v>0</v>
      </c>
      <c r="J96" s="80">
        <f t="shared" si="24"/>
        <v>0</v>
      </c>
      <c r="K96" s="178">
        <v>0</v>
      </c>
      <c r="L96" s="80">
        <f t="shared" si="25"/>
        <v>0</v>
      </c>
      <c r="M96" s="178">
        <v>0</v>
      </c>
      <c r="N96" s="80">
        <f t="shared" si="26"/>
        <v>0</v>
      </c>
      <c r="O96" s="178">
        <v>0</v>
      </c>
      <c r="P96" s="80">
        <f t="shared" si="27"/>
        <v>0</v>
      </c>
      <c r="Q96" s="178">
        <v>0</v>
      </c>
      <c r="R96" s="80">
        <f t="shared" si="28"/>
        <v>0</v>
      </c>
      <c r="S96" s="178">
        <v>0</v>
      </c>
      <c r="T96" s="80">
        <f t="shared" si="29"/>
        <v>0</v>
      </c>
      <c r="U96" s="178">
        <v>0</v>
      </c>
      <c r="V96" s="80">
        <f t="shared" si="30"/>
        <v>0</v>
      </c>
      <c r="X96" s="192"/>
    </row>
    <row r="97" spans="1:24" ht="12.75" customHeight="1">
      <c r="A97" s="2" t="s">
        <v>441</v>
      </c>
      <c r="B97" s="35"/>
      <c r="C97" s="178">
        <v>11698.8326</v>
      </c>
      <c r="D97" s="80">
        <f t="shared" si="21"/>
        <v>1.3631228228639714E-2</v>
      </c>
      <c r="E97" s="178">
        <v>13102.692512000003</v>
      </c>
      <c r="F97" s="80">
        <f t="shared" si="22"/>
        <v>1.4689117165919287E-2</v>
      </c>
      <c r="G97" s="178">
        <v>13561.286749920002</v>
      </c>
      <c r="H97" s="80">
        <f t="shared" si="23"/>
        <v>1.3909639768276725E-2</v>
      </c>
      <c r="I97" s="178">
        <v>13995.247925917443</v>
      </c>
      <c r="J97" s="80">
        <f t="shared" si="24"/>
        <v>1.3802642539289981E-2</v>
      </c>
      <c r="K97" s="178">
        <v>14345.129124065377</v>
      </c>
      <c r="L97" s="80">
        <f t="shared" si="25"/>
        <v>1.3735639420167211E-2</v>
      </c>
      <c r="M97" s="178">
        <v>14703.757352167011</v>
      </c>
      <c r="N97" s="80">
        <f t="shared" si="26"/>
        <v>1.3668961558904263E-2</v>
      </c>
      <c r="O97" s="178">
        <v>15071.351285971183</v>
      </c>
      <c r="P97" s="80">
        <f t="shared" si="27"/>
        <v>1.3602607376579482E-2</v>
      </c>
      <c r="Q97" s="178">
        <v>15372.778311690608</v>
      </c>
      <c r="R97" s="80">
        <f t="shared" si="28"/>
        <v>1.3470543227292306E-2</v>
      </c>
      <c r="S97" s="178">
        <v>15680.23387792442</v>
      </c>
      <c r="T97" s="80">
        <f t="shared" si="29"/>
        <v>1.3339761254211794E-2</v>
      </c>
      <c r="U97" s="178">
        <v>16072.239724872528</v>
      </c>
      <c r="V97" s="80">
        <f t="shared" si="30"/>
        <v>1.3275005131618531E-2</v>
      </c>
      <c r="X97" s="192"/>
    </row>
    <row r="98" spans="1:24" ht="12.75" customHeight="1">
      <c r="A98" s="117" t="s">
        <v>444</v>
      </c>
      <c r="B98" s="35"/>
      <c r="C98" s="178">
        <v>1029.8851199999999</v>
      </c>
      <c r="D98" s="80">
        <f t="shared" si="21"/>
        <v>1.1999999999999997E-3</v>
      </c>
      <c r="E98" s="178">
        <v>1070.3999999999999</v>
      </c>
      <c r="F98" s="80">
        <f t="shared" si="22"/>
        <v>1.1999999999999999E-3</v>
      </c>
      <c r="G98" s="178">
        <v>1169.9472000000001</v>
      </c>
      <c r="H98" s="80">
        <f t="shared" si="23"/>
        <v>1.2000000000000001E-3</v>
      </c>
      <c r="I98" s="178">
        <v>1216.7450879999997</v>
      </c>
      <c r="J98" s="80">
        <f t="shared" si="24"/>
        <v>1.1999999999999997E-3</v>
      </c>
      <c r="K98" s="178">
        <v>1253.2474406400001</v>
      </c>
      <c r="L98" s="80">
        <f t="shared" si="25"/>
        <v>1.2000000000000001E-3</v>
      </c>
      <c r="M98" s="178">
        <v>1290.8448638592001</v>
      </c>
      <c r="N98" s="80">
        <f t="shared" si="26"/>
        <v>1.2000000000000001E-3</v>
      </c>
      <c r="O98" s="178">
        <v>1329.5702097749761</v>
      </c>
      <c r="P98" s="80">
        <f t="shared" si="27"/>
        <v>1.1999999999999999E-3</v>
      </c>
      <c r="Q98" s="178">
        <v>1369.4573160682251</v>
      </c>
      <c r="R98" s="80">
        <f t="shared" si="28"/>
        <v>1.1999999999999999E-3</v>
      </c>
      <c r="S98" s="178">
        <v>1410.541035550272</v>
      </c>
      <c r="T98" s="80">
        <f t="shared" si="29"/>
        <v>1.1999999999999997E-3</v>
      </c>
      <c r="U98" s="178">
        <v>1452.8572666167804</v>
      </c>
      <c r="V98" s="80">
        <f t="shared" si="30"/>
        <v>1.1999999999999999E-3</v>
      </c>
      <c r="X98" s="192"/>
    </row>
    <row r="99" spans="1:24" ht="12.75" customHeight="1">
      <c r="A99" s="117" t="s">
        <v>444</v>
      </c>
      <c r="B99" s="35"/>
      <c r="C99" s="178">
        <v>0</v>
      </c>
      <c r="D99" s="80">
        <f t="shared" si="21"/>
        <v>0</v>
      </c>
      <c r="E99" s="178">
        <v>0</v>
      </c>
      <c r="F99" s="80">
        <f t="shared" si="22"/>
        <v>0</v>
      </c>
      <c r="G99" s="178">
        <v>0</v>
      </c>
      <c r="H99" s="80">
        <f t="shared" si="23"/>
        <v>0</v>
      </c>
      <c r="I99" s="178">
        <v>0</v>
      </c>
      <c r="J99" s="80">
        <f t="shared" si="24"/>
        <v>0</v>
      </c>
      <c r="K99" s="178">
        <v>0</v>
      </c>
      <c r="L99" s="80">
        <f t="shared" si="25"/>
        <v>0</v>
      </c>
      <c r="M99" s="178">
        <v>0</v>
      </c>
      <c r="N99" s="80">
        <f t="shared" si="26"/>
        <v>0</v>
      </c>
      <c r="O99" s="178">
        <v>0</v>
      </c>
      <c r="P99" s="80">
        <f t="shared" si="27"/>
        <v>0</v>
      </c>
      <c r="Q99" s="178">
        <v>0</v>
      </c>
      <c r="R99" s="80">
        <f t="shared" si="28"/>
        <v>0</v>
      </c>
      <c r="S99" s="178">
        <v>0</v>
      </c>
      <c r="T99" s="80">
        <f t="shared" si="29"/>
        <v>0</v>
      </c>
      <c r="U99" s="178">
        <v>0</v>
      </c>
      <c r="V99" s="80">
        <f t="shared" si="30"/>
        <v>0</v>
      </c>
      <c r="X99" s="192"/>
    </row>
    <row r="100" spans="1:24" ht="12.75" customHeight="1">
      <c r="A100" s="117" t="s">
        <v>444</v>
      </c>
      <c r="B100" s="35"/>
      <c r="C100" s="178">
        <v>0</v>
      </c>
      <c r="D100" s="80">
        <f t="shared" si="21"/>
        <v>0</v>
      </c>
      <c r="E100" s="178">
        <v>0</v>
      </c>
      <c r="F100" s="80">
        <f t="shared" si="22"/>
        <v>0</v>
      </c>
      <c r="G100" s="178">
        <v>0</v>
      </c>
      <c r="H100" s="80">
        <f t="shared" si="23"/>
        <v>0</v>
      </c>
      <c r="I100" s="178">
        <v>0</v>
      </c>
      <c r="J100" s="80">
        <f t="shared" si="24"/>
        <v>0</v>
      </c>
      <c r="K100" s="178">
        <v>0</v>
      </c>
      <c r="L100" s="80">
        <f t="shared" si="25"/>
        <v>0</v>
      </c>
      <c r="M100" s="178">
        <v>0</v>
      </c>
      <c r="N100" s="80">
        <f t="shared" si="26"/>
        <v>0</v>
      </c>
      <c r="O100" s="178">
        <v>0</v>
      </c>
      <c r="P100" s="80">
        <f t="shared" si="27"/>
        <v>0</v>
      </c>
      <c r="Q100" s="178">
        <v>0</v>
      </c>
      <c r="R100" s="80">
        <f t="shared" si="28"/>
        <v>0</v>
      </c>
      <c r="S100" s="178">
        <v>0</v>
      </c>
      <c r="T100" s="80">
        <f t="shared" si="29"/>
        <v>0</v>
      </c>
      <c r="U100" s="178">
        <v>0</v>
      </c>
      <c r="V100" s="80">
        <f t="shared" si="30"/>
        <v>0</v>
      </c>
      <c r="X100" s="192"/>
    </row>
    <row r="101" spans="1:24" ht="12.75" customHeight="1">
      <c r="A101" s="2" t="s">
        <v>445</v>
      </c>
      <c r="B101" s="35"/>
      <c r="C101" s="178"/>
      <c r="D101" s="80">
        <f t="shared" si="21"/>
        <v>0</v>
      </c>
      <c r="E101" s="178"/>
      <c r="F101" s="80">
        <f t="shared" si="22"/>
        <v>0</v>
      </c>
      <c r="G101" s="178"/>
      <c r="H101" s="80">
        <f t="shared" si="23"/>
        <v>0</v>
      </c>
      <c r="I101" s="178">
        <v>0</v>
      </c>
      <c r="J101" s="80">
        <f t="shared" si="24"/>
        <v>0</v>
      </c>
      <c r="K101" s="178">
        <v>0</v>
      </c>
      <c r="L101" s="80">
        <f t="shared" si="25"/>
        <v>0</v>
      </c>
      <c r="M101" s="178">
        <v>0</v>
      </c>
      <c r="N101" s="80">
        <f t="shared" si="26"/>
        <v>0</v>
      </c>
      <c r="O101" s="178">
        <v>0</v>
      </c>
      <c r="P101" s="80">
        <f t="shared" si="27"/>
        <v>0</v>
      </c>
      <c r="Q101" s="178">
        <v>0</v>
      </c>
      <c r="R101" s="80">
        <f t="shared" si="28"/>
        <v>0</v>
      </c>
      <c r="S101" s="178">
        <v>0</v>
      </c>
      <c r="T101" s="80">
        <f t="shared" si="29"/>
        <v>0</v>
      </c>
      <c r="U101" s="178">
        <v>0</v>
      </c>
      <c r="V101" s="80">
        <f t="shared" si="30"/>
        <v>0</v>
      </c>
      <c r="X101" s="192"/>
    </row>
    <row r="102" spans="1:24" ht="12.75" customHeight="1">
      <c r="A102" s="117" t="s">
        <v>446</v>
      </c>
      <c r="B102" s="35"/>
      <c r="C102" s="178">
        <v>8582.3760000000002</v>
      </c>
      <c r="D102" s="80">
        <f t="shared" si="21"/>
        <v>9.9999999999999985E-3</v>
      </c>
      <c r="E102" s="178">
        <v>8920</v>
      </c>
      <c r="F102" s="80">
        <f t="shared" si="22"/>
        <v>0.01</v>
      </c>
      <c r="G102" s="178">
        <v>9749.5600000000013</v>
      </c>
      <c r="H102" s="80">
        <f t="shared" si="23"/>
        <v>1.0000000000000002E-2</v>
      </c>
      <c r="I102" s="178">
        <v>10139.5424</v>
      </c>
      <c r="J102" s="80">
        <f t="shared" si="24"/>
        <v>0.01</v>
      </c>
      <c r="K102" s="178">
        <v>10443.728672000003</v>
      </c>
      <c r="L102" s="80">
        <f t="shared" si="25"/>
        <v>1.0000000000000002E-2</v>
      </c>
      <c r="M102" s="178">
        <v>10757.040532160001</v>
      </c>
      <c r="N102" s="80">
        <f t="shared" si="26"/>
        <v>0.01</v>
      </c>
      <c r="O102" s="178">
        <v>11079.751748124801</v>
      </c>
      <c r="P102" s="80">
        <f t="shared" si="27"/>
        <v>0.01</v>
      </c>
      <c r="Q102" s="178">
        <v>11412.144300568545</v>
      </c>
      <c r="R102" s="80">
        <f t="shared" si="28"/>
        <v>1.0000000000000002E-2</v>
      </c>
      <c r="S102" s="178">
        <v>11754.508629585602</v>
      </c>
      <c r="T102" s="80">
        <f t="shared" si="29"/>
        <v>0.01</v>
      </c>
      <c r="U102" s="178">
        <v>12107.143888473171</v>
      </c>
      <c r="V102" s="80">
        <f t="shared" si="30"/>
        <v>0.01</v>
      </c>
      <c r="X102" s="192"/>
    </row>
    <row r="103" spans="1:24" ht="12.75" customHeight="1">
      <c r="A103" s="117" t="s">
        <v>446</v>
      </c>
      <c r="B103" s="35"/>
      <c r="C103" s="178">
        <v>0</v>
      </c>
      <c r="D103" s="80">
        <f t="shared" si="21"/>
        <v>0</v>
      </c>
      <c r="E103" s="178">
        <v>0</v>
      </c>
      <c r="F103" s="80">
        <f t="shared" si="22"/>
        <v>0</v>
      </c>
      <c r="G103" s="178">
        <v>0</v>
      </c>
      <c r="H103" s="80">
        <f t="shared" si="23"/>
        <v>0</v>
      </c>
      <c r="I103" s="178">
        <v>0</v>
      </c>
      <c r="J103" s="80">
        <f t="shared" si="24"/>
        <v>0</v>
      </c>
      <c r="K103" s="178">
        <v>0</v>
      </c>
      <c r="L103" s="80">
        <f t="shared" si="25"/>
        <v>0</v>
      </c>
      <c r="M103" s="178">
        <v>0</v>
      </c>
      <c r="N103" s="80">
        <f t="shared" si="26"/>
        <v>0</v>
      </c>
      <c r="O103" s="178">
        <v>0</v>
      </c>
      <c r="P103" s="80">
        <f t="shared" si="27"/>
        <v>0</v>
      </c>
      <c r="Q103" s="178">
        <v>0</v>
      </c>
      <c r="R103" s="80">
        <f t="shared" si="28"/>
        <v>0</v>
      </c>
      <c r="S103" s="178">
        <v>0</v>
      </c>
      <c r="T103" s="80">
        <f t="shared" si="29"/>
        <v>0</v>
      </c>
      <c r="U103" s="178">
        <v>0</v>
      </c>
      <c r="V103" s="80">
        <f t="shared" si="30"/>
        <v>0</v>
      </c>
      <c r="X103" s="192"/>
    </row>
    <row r="104" spans="1:24" ht="12.75" customHeight="1">
      <c r="A104" s="117" t="s">
        <v>446</v>
      </c>
      <c r="B104" s="1"/>
      <c r="C104" s="178">
        <v>0</v>
      </c>
      <c r="D104" s="80">
        <f t="shared" si="21"/>
        <v>0</v>
      </c>
      <c r="E104" s="178">
        <v>0</v>
      </c>
      <c r="F104" s="80">
        <f t="shared" si="22"/>
        <v>0</v>
      </c>
      <c r="G104" s="178">
        <v>0</v>
      </c>
      <c r="H104" s="80">
        <f t="shared" si="23"/>
        <v>0</v>
      </c>
      <c r="I104" s="178">
        <v>0</v>
      </c>
      <c r="J104" s="80">
        <f t="shared" si="24"/>
        <v>0</v>
      </c>
      <c r="K104" s="178">
        <v>0</v>
      </c>
      <c r="L104" s="80">
        <f t="shared" si="25"/>
        <v>0</v>
      </c>
      <c r="M104" s="178">
        <v>0</v>
      </c>
      <c r="N104" s="80">
        <f t="shared" si="26"/>
        <v>0</v>
      </c>
      <c r="O104" s="178">
        <v>0</v>
      </c>
      <c r="P104" s="80">
        <f t="shared" si="27"/>
        <v>0</v>
      </c>
      <c r="Q104" s="178">
        <v>0</v>
      </c>
      <c r="R104" s="80">
        <f t="shared" si="28"/>
        <v>0</v>
      </c>
      <c r="S104" s="178">
        <v>0</v>
      </c>
      <c r="T104" s="80">
        <f t="shared" si="29"/>
        <v>0</v>
      </c>
      <c r="U104" s="178">
        <v>0</v>
      </c>
      <c r="V104" s="80">
        <f t="shared" si="30"/>
        <v>0</v>
      </c>
      <c r="X104" s="192"/>
    </row>
    <row r="105" spans="1:24" ht="12.75" customHeight="1">
      <c r="A105" s="1" t="s">
        <v>447</v>
      </c>
      <c r="B105" s="53"/>
      <c r="C105" s="82">
        <f>SUM(C52:C104)</f>
        <v>176631.22684736576</v>
      </c>
      <c r="D105" s="83">
        <f t="shared" ref="D105" si="31">IFERROR(C105/C$28,0)</f>
        <v>0.20580690807227012</v>
      </c>
      <c r="E105" s="82">
        <f>SUM(E52:E104)</f>
        <v>184683.61210947321</v>
      </c>
      <c r="F105" s="83">
        <f t="shared" ref="F105" si="32">IFERROR(E105/E$28,0)</f>
        <v>0.2070444081944767</v>
      </c>
      <c r="G105" s="82">
        <f>SUM(G52:G104)</f>
        <v>200971.82972120508</v>
      </c>
      <c r="H105" s="83">
        <f t="shared" ref="H105" si="33">IFERROR(G105/G$28,0)</f>
        <v>0.20613425602920038</v>
      </c>
      <c r="I105" s="82">
        <f>SUM(I52:I104)</f>
        <v>208934.01466122232</v>
      </c>
      <c r="J105" s="83">
        <f t="shared" ref="J105" si="34">IFERROR(I105/I$28,0)</f>
        <v>0.20605862317930868</v>
      </c>
      <c r="K105" s="82">
        <f>SUM(K52:K104)</f>
        <v>215092.64249192152</v>
      </c>
      <c r="L105" s="83">
        <f t="shared" ref="L105" si="35">IFERROR(K105/K$28,0)</f>
        <v>0.20595387839650828</v>
      </c>
      <c r="M105" s="82">
        <f>SUM(M52:M104)</f>
        <v>221495.83612837948</v>
      </c>
      <c r="N105" s="83">
        <f t="shared" ref="N105" si="36">IFERROR(M105/M$28,0)</f>
        <v>0.20590778241113811</v>
      </c>
      <c r="O105" s="82">
        <f>SUM(O52:O104)</f>
        <v>228095.12562481713</v>
      </c>
      <c r="P105" s="83">
        <f t="shared" ref="P105" si="37">IFERROR(O105/O$28,0)</f>
        <v>0.20586663926240154</v>
      </c>
      <c r="Q105" s="82">
        <f>SUM(Q52:Q104)</f>
        <v>234828.33583247979</v>
      </c>
      <c r="R105" s="83">
        <f t="shared" ref="R105" si="38">IFERROR(Q105/Q$28,0)</f>
        <v>0.20577056304903263</v>
      </c>
      <c r="S105" s="82">
        <f>SUM(S52:S104)</f>
        <v>241760.72703666013</v>
      </c>
      <c r="T105" s="83">
        <f t="shared" ref="T105" si="39">IFERROR(S105/S$28,0)</f>
        <v>0.20567489008273693</v>
      </c>
      <c r="U105" s="82">
        <f>SUM(U52:U104)</f>
        <v>248980.56996910195</v>
      </c>
      <c r="V105" s="83">
        <f t="shared" si="30"/>
        <v>0.20564765089324535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448</v>
      </c>
      <c r="B107" s="53"/>
      <c r="C107" s="82">
        <f>C28-C33-C46-C105</f>
        <v>92970.045152634295</v>
      </c>
      <c r="D107" s="83">
        <f>IFERROR(C107/C$28,0)</f>
        <v>0.10832669781961812</v>
      </c>
      <c r="E107" s="82">
        <f>E28-E33-E46-E105</f>
        <v>70888.317490526708</v>
      </c>
      <c r="F107" s="83">
        <f>IFERROR(E107/E$28,0)</f>
        <v>7.9471207949020975E-2</v>
      </c>
      <c r="G107" s="82">
        <f>G28-G33-G46-G105</f>
        <v>98208.237414794887</v>
      </c>
      <c r="H107" s="83">
        <f>IFERROR(G107/G$28,0)</f>
        <v>0.10073094315517304</v>
      </c>
      <c r="I107" s="82">
        <f>I28-I33-I46-I105</f>
        <v>105045.5787831296</v>
      </c>
      <c r="J107" s="83">
        <f>IFERROR(I107/I$28,0)</f>
        <v>0.10359992062672335</v>
      </c>
      <c r="K107" s="82">
        <f>K28-K33-K46-K105</f>
        <v>110133.18749253932</v>
      </c>
      <c r="L107" s="83">
        <f>IFERROR(K107/K$28,0)</f>
        <v>0.10545389577939747</v>
      </c>
      <c r="M107" s="82">
        <f>M28-M33-M46-M105</f>
        <v>115359.28871081289</v>
      </c>
      <c r="N107" s="83">
        <f>IFERROR(M107/M$28,0)</f>
        <v>0.1072407307250788</v>
      </c>
      <c r="O107" s="82">
        <f>O28-O33-O46-O105</f>
        <v>120784.98591362874</v>
      </c>
      <c r="P107" s="83">
        <f>IFERROR(O107/O$28,0)</f>
        <v>0.10901416264499886</v>
      </c>
      <c r="Q107" s="82">
        <f>Q28-Q33-Q46-Q105</f>
        <v>128452.81160797839</v>
      </c>
      <c r="R107" s="83">
        <f>IFERROR(Q107/Q$28,0)</f>
        <v>0.11255799806315013</v>
      </c>
      <c r="S107" s="82">
        <f>S28-S33-S46-S105</f>
        <v>136432.18003398838</v>
      </c>
      <c r="T107" s="83">
        <f>IFERROR(S107/S$28,0)</f>
        <v>0.1160679568438908</v>
      </c>
      <c r="U107" s="82">
        <f>U28-U33-U46-U105</f>
        <v>142604.920169224</v>
      </c>
      <c r="V107" s="83">
        <f>IFERROR(U107/U$28,0)</f>
        <v>0.11778576473762209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449</v>
      </c>
      <c r="B110" s="40"/>
      <c r="C110" s="86" t="str">
        <f>C50</f>
        <v>FY 2018-19</v>
      </c>
      <c r="D110" s="86" t="s">
        <v>366</v>
      </c>
      <c r="E110" s="86" t="str">
        <f>E50</f>
        <v>FY 2019-20</v>
      </c>
      <c r="F110" s="86" t="s">
        <v>366</v>
      </c>
      <c r="G110" s="86" t="str">
        <f>G50</f>
        <v>FY 2020-21</v>
      </c>
      <c r="H110" s="86" t="s">
        <v>366</v>
      </c>
      <c r="I110" s="86" t="str">
        <f>I50</f>
        <v>FY 2021-22</v>
      </c>
      <c r="J110" s="86" t="s">
        <v>366</v>
      </c>
      <c r="K110" s="86" t="str">
        <f>K50</f>
        <v>FY 2022-23</v>
      </c>
      <c r="L110" s="86" t="s">
        <v>366</v>
      </c>
      <c r="M110" s="86" t="str">
        <f>M50</f>
        <v>FY 2023-24</v>
      </c>
      <c r="N110" s="86" t="s">
        <v>366</v>
      </c>
      <c r="O110" s="86" t="str">
        <f>O50</f>
        <v>FY 2024-25</v>
      </c>
      <c r="P110" s="86" t="s">
        <v>366</v>
      </c>
      <c r="Q110" s="86" t="str">
        <f>Q50</f>
        <v>FY 2025-26</v>
      </c>
      <c r="R110" s="86" t="s">
        <v>366</v>
      </c>
      <c r="S110" s="86" t="str">
        <f>S50</f>
        <v>FY 2026-27</v>
      </c>
      <c r="T110" s="86" t="s">
        <v>366</v>
      </c>
      <c r="U110" s="86" t="str">
        <f>U50</f>
        <v>FY 2027-28</v>
      </c>
      <c r="V110" s="86" t="s">
        <v>366</v>
      </c>
    </row>
    <row r="111" spans="1:24" ht="12.75" customHeight="1">
      <c r="A111" s="2" t="s">
        <v>403</v>
      </c>
      <c r="B111" s="35"/>
      <c r="C111" s="79">
        <f>C59</f>
        <v>0</v>
      </c>
      <c r="D111" s="80">
        <f t="shared" ref="D111:D116" si="40">IFERROR(C111/C$28,0)</f>
        <v>0</v>
      </c>
      <c r="E111" s="79">
        <f>E59</f>
        <v>0</v>
      </c>
      <c r="F111" s="80">
        <f t="shared" ref="F111:F116" si="41">IFERROR(E111/E$28,0)</f>
        <v>0</v>
      </c>
      <c r="G111" s="79">
        <f>G59</f>
        <v>0</v>
      </c>
      <c r="H111" s="80">
        <f t="shared" ref="H111:H116" si="42">IFERROR(G111/G$28,0)</f>
        <v>0</v>
      </c>
      <c r="I111" s="79">
        <f>I59</f>
        <v>0</v>
      </c>
      <c r="J111" s="80">
        <f t="shared" ref="J111:J116" si="43">IFERROR(I111/I$28,0)</f>
        <v>0</v>
      </c>
      <c r="K111" s="79">
        <f>K59</f>
        <v>0</v>
      </c>
      <c r="L111" s="80">
        <f t="shared" ref="L111:L116" si="44">IFERROR(K111/K$28,0)</f>
        <v>0</v>
      </c>
      <c r="M111" s="79">
        <f>M59</f>
        <v>0</v>
      </c>
      <c r="N111" s="80">
        <f t="shared" ref="N111:N116" si="45">IFERROR(M111/M$28,0)</f>
        <v>0</v>
      </c>
      <c r="O111" s="79">
        <f>O59</f>
        <v>0</v>
      </c>
      <c r="P111" s="80">
        <f t="shared" ref="P111:P116" si="46">IFERROR(O111/O$28,0)</f>
        <v>0</v>
      </c>
      <c r="Q111" s="79">
        <f>Q59</f>
        <v>0</v>
      </c>
      <c r="R111" s="80">
        <f t="shared" ref="R111:R116" si="47">IFERROR(Q111/Q$28,0)</f>
        <v>0</v>
      </c>
      <c r="S111" s="79">
        <f>S59</f>
        <v>0</v>
      </c>
      <c r="T111" s="80">
        <f t="shared" ref="T111:T116" si="48">IFERROR(S111/S$28,0)</f>
        <v>0</v>
      </c>
      <c r="U111" s="79">
        <f>U59</f>
        <v>0</v>
      </c>
      <c r="V111" s="80">
        <f t="shared" ref="V111:V116" si="49">IFERROR(U111/U$28,0)</f>
        <v>0</v>
      </c>
    </row>
    <row r="112" spans="1:24" ht="12.75" customHeight="1">
      <c r="A112" s="2" t="s">
        <v>450</v>
      </c>
      <c r="B112" s="35"/>
      <c r="C112" s="79">
        <f>C62</f>
        <v>0</v>
      </c>
      <c r="D112" s="80">
        <f t="shared" si="40"/>
        <v>0</v>
      </c>
      <c r="E112" s="79">
        <f>E62</f>
        <v>0</v>
      </c>
      <c r="F112" s="80">
        <f t="shared" si="41"/>
        <v>0</v>
      </c>
      <c r="G112" s="79">
        <f>G62</f>
        <v>0</v>
      </c>
      <c r="H112" s="80">
        <f t="shared" si="42"/>
        <v>0</v>
      </c>
      <c r="I112" s="79">
        <f>I62</f>
        <v>0</v>
      </c>
      <c r="J112" s="80">
        <f t="shared" si="43"/>
        <v>0</v>
      </c>
      <c r="K112" s="79">
        <f>K62</f>
        <v>0</v>
      </c>
      <c r="L112" s="80">
        <f t="shared" si="44"/>
        <v>0</v>
      </c>
      <c r="M112" s="79">
        <f>M62</f>
        <v>0</v>
      </c>
      <c r="N112" s="80">
        <f t="shared" si="45"/>
        <v>0</v>
      </c>
      <c r="O112" s="79">
        <f>O62</f>
        <v>0</v>
      </c>
      <c r="P112" s="80">
        <f t="shared" si="46"/>
        <v>0</v>
      </c>
      <c r="Q112" s="79">
        <f>Q62</f>
        <v>0</v>
      </c>
      <c r="R112" s="80">
        <f t="shared" si="47"/>
        <v>0</v>
      </c>
      <c r="S112" s="79">
        <f>S62</f>
        <v>0</v>
      </c>
      <c r="T112" s="80">
        <f t="shared" si="48"/>
        <v>0</v>
      </c>
      <c r="U112" s="79">
        <f>U62</f>
        <v>0</v>
      </c>
      <c r="V112" s="80">
        <f t="shared" si="49"/>
        <v>0</v>
      </c>
    </row>
    <row r="113" spans="1:22" ht="12.75" customHeight="1">
      <c r="A113" s="117" t="s">
        <v>446</v>
      </c>
      <c r="B113" s="41"/>
      <c r="C113" s="111">
        <v>0</v>
      </c>
      <c r="D113" s="80">
        <f t="shared" si="40"/>
        <v>0</v>
      </c>
      <c r="E113" s="111">
        <v>0</v>
      </c>
      <c r="F113" s="80">
        <f t="shared" si="41"/>
        <v>0</v>
      </c>
      <c r="G113" s="111">
        <v>0</v>
      </c>
      <c r="H113" s="80">
        <f t="shared" si="42"/>
        <v>0</v>
      </c>
      <c r="I113" s="111">
        <v>0</v>
      </c>
      <c r="J113" s="80">
        <f t="shared" si="43"/>
        <v>0</v>
      </c>
      <c r="K113" s="111">
        <v>0</v>
      </c>
      <c r="L113" s="80">
        <f t="shared" si="44"/>
        <v>0</v>
      </c>
      <c r="M113" s="111">
        <v>0</v>
      </c>
      <c r="N113" s="80">
        <f t="shared" si="45"/>
        <v>0</v>
      </c>
      <c r="O113" s="111">
        <v>0</v>
      </c>
      <c r="P113" s="80">
        <f t="shared" si="46"/>
        <v>0</v>
      </c>
      <c r="Q113" s="111">
        <v>0</v>
      </c>
      <c r="R113" s="80">
        <f t="shared" si="47"/>
        <v>0</v>
      </c>
      <c r="S113" s="111">
        <v>0</v>
      </c>
      <c r="T113" s="80">
        <f t="shared" si="48"/>
        <v>0</v>
      </c>
      <c r="U113" s="111">
        <v>0</v>
      </c>
      <c r="V113" s="80">
        <f t="shared" si="49"/>
        <v>0</v>
      </c>
    </row>
    <row r="114" spans="1:22" ht="12.75" customHeight="1">
      <c r="A114" s="117" t="s">
        <v>446</v>
      </c>
      <c r="B114" s="41"/>
      <c r="C114" s="111">
        <v>0</v>
      </c>
      <c r="D114" s="80">
        <f t="shared" si="40"/>
        <v>0</v>
      </c>
      <c r="E114" s="111">
        <v>0</v>
      </c>
      <c r="F114" s="80">
        <f t="shared" si="41"/>
        <v>0</v>
      </c>
      <c r="G114" s="111">
        <v>0</v>
      </c>
      <c r="H114" s="80">
        <f t="shared" si="42"/>
        <v>0</v>
      </c>
      <c r="I114" s="111">
        <v>0</v>
      </c>
      <c r="J114" s="80">
        <f t="shared" si="43"/>
        <v>0</v>
      </c>
      <c r="K114" s="111">
        <v>0</v>
      </c>
      <c r="L114" s="80">
        <f t="shared" si="44"/>
        <v>0</v>
      </c>
      <c r="M114" s="111">
        <v>0</v>
      </c>
      <c r="N114" s="80">
        <f t="shared" si="45"/>
        <v>0</v>
      </c>
      <c r="O114" s="111">
        <v>0</v>
      </c>
      <c r="P114" s="80">
        <f t="shared" si="46"/>
        <v>0</v>
      </c>
      <c r="Q114" s="111">
        <v>0</v>
      </c>
      <c r="R114" s="80">
        <f t="shared" si="47"/>
        <v>0</v>
      </c>
      <c r="S114" s="111">
        <v>0</v>
      </c>
      <c r="T114" s="80">
        <f t="shared" si="48"/>
        <v>0</v>
      </c>
      <c r="U114" s="111">
        <v>0</v>
      </c>
      <c r="V114" s="80">
        <f t="shared" si="49"/>
        <v>0</v>
      </c>
    </row>
    <row r="115" spans="1:22" ht="12.75" customHeight="1">
      <c r="A115" s="117" t="s">
        <v>446</v>
      </c>
      <c r="B115" s="41"/>
      <c r="C115" s="112">
        <v>0</v>
      </c>
      <c r="D115" s="80">
        <f t="shared" si="40"/>
        <v>0</v>
      </c>
      <c r="E115" s="112">
        <v>0</v>
      </c>
      <c r="F115" s="80">
        <f t="shared" si="41"/>
        <v>0</v>
      </c>
      <c r="G115" s="112">
        <v>0</v>
      </c>
      <c r="H115" s="80">
        <f t="shared" si="42"/>
        <v>0</v>
      </c>
      <c r="I115" s="112">
        <v>0</v>
      </c>
      <c r="J115" s="80">
        <f t="shared" si="43"/>
        <v>0</v>
      </c>
      <c r="K115" s="112">
        <v>0</v>
      </c>
      <c r="L115" s="80">
        <f t="shared" si="44"/>
        <v>0</v>
      </c>
      <c r="M115" s="112">
        <v>0</v>
      </c>
      <c r="N115" s="80">
        <f t="shared" si="45"/>
        <v>0</v>
      </c>
      <c r="O115" s="112">
        <v>0</v>
      </c>
      <c r="P115" s="80">
        <f t="shared" si="46"/>
        <v>0</v>
      </c>
      <c r="Q115" s="112">
        <v>0</v>
      </c>
      <c r="R115" s="80">
        <f t="shared" si="47"/>
        <v>0</v>
      </c>
      <c r="S115" s="112">
        <v>0</v>
      </c>
      <c r="T115" s="80">
        <f t="shared" si="48"/>
        <v>0</v>
      </c>
      <c r="U115" s="112">
        <v>0</v>
      </c>
      <c r="V115" s="80">
        <f t="shared" si="49"/>
        <v>0</v>
      </c>
    </row>
    <row r="116" spans="1:22" ht="12.75" customHeight="1">
      <c r="A116" s="40" t="s">
        <v>451</v>
      </c>
      <c r="B116" s="42"/>
      <c r="C116" s="85">
        <f>SUM(C111:C115)</f>
        <v>0</v>
      </c>
      <c r="D116" s="83">
        <f t="shared" si="40"/>
        <v>0</v>
      </c>
      <c r="E116" s="85">
        <f>SUM(E111:E115)</f>
        <v>0</v>
      </c>
      <c r="F116" s="83">
        <f t="shared" si="41"/>
        <v>0</v>
      </c>
      <c r="G116" s="85">
        <f>SUM(G111:G115)</f>
        <v>0</v>
      </c>
      <c r="H116" s="83">
        <f t="shared" si="42"/>
        <v>0</v>
      </c>
      <c r="I116" s="85">
        <f>SUM(I111:I115)</f>
        <v>0</v>
      </c>
      <c r="J116" s="83">
        <f t="shared" si="43"/>
        <v>0</v>
      </c>
      <c r="K116" s="85">
        <f>SUM(K111:K115)</f>
        <v>0</v>
      </c>
      <c r="L116" s="83">
        <f t="shared" si="44"/>
        <v>0</v>
      </c>
      <c r="M116" s="85">
        <f>SUM(M111:M115)</f>
        <v>0</v>
      </c>
      <c r="N116" s="83">
        <f t="shared" si="45"/>
        <v>0</v>
      </c>
      <c r="O116" s="85">
        <f>SUM(O111:O115)</f>
        <v>0</v>
      </c>
      <c r="P116" s="83">
        <f t="shared" si="46"/>
        <v>0</v>
      </c>
      <c r="Q116" s="85">
        <f>SUM(Q111:Q115)</f>
        <v>0</v>
      </c>
      <c r="R116" s="83">
        <f t="shared" si="47"/>
        <v>0</v>
      </c>
      <c r="S116" s="85">
        <f>SUM(S111:S115)</f>
        <v>0</v>
      </c>
      <c r="T116" s="83">
        <f t="shared" si="48"/>
        <v>0</v>
      </c>
      <c r="U116" s="85">
        <f>SUM(U111:U115)</f>
        <v>0</v>
      </c>
      <c r="V116" s="83">
        <f t="shared" si="49"/>
        <v>0</v>
      </c>
    </row>
    <row r="118" spans="1:22" ht="12.75" customHeight="1">
      <c r="A118" s="43" t="s">
        <v>452</v>
      </c>
      <c r="B118" s="43"/>
    </row>
    <row r="119" spans="1:22" ht="12.75" customHeight="1">
      <c r="A119" s="47" t="s">
        <v>453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A1:G32"/>
  <sheetViews>
    <sheetView workbookViewId="0" xr3:uid="{842E5F09-E766-5B8D-85AF-A39847EA96FD}">
      <selection activeCell="C6" sqref="C6"/>
    </sheetView>
  </sheetViews>
  <sheetFormatPr defaultColWidth="9.140625" defaultRowHeight="12.75"/>
  <cols>
    <col min="1" max="1" width="3.140625" style="2" customWidth="1"/>
    <col min="2" max="2" width="10.5703125" style="2" customWidth="1"/>
    <col min="3" max="3" width="30.5703125" style="2" customWidth="1"/>
    <col min="4" max="4" width="25.5703125" style="3" customWidth="1"/>
    <col min="5" max="5" width="1.5703125" style="3" customWidth="1"/>
    <col min="6" max="6" width="13.5703125" style="2" customWidth="1"/>
    <col min="7" max="7" width="1.5703125" style="3" customWidth="1"/>
    <col min="8" max="8" width="12.5703125" style="2" customWidth="1"/>
    <col min="9" max="9" width="5.7109375" style="2" customWidth="1"/>
    <col min="10" max="10" width="15.7109375" style="2" customWidth="1"/>
    <col min="11" max="11" width="3.140625" style="2" customWidth="1"/>
    <col min="12" max="12" width="9.7109375" style="2" customWidth="1"/>
    <col min="13" max="14" width="14.7109375" style="2" customWidth="1"/>
    <col min="15" max="15" width="4.7109375" style="2" customWidth="1"/>
    <col min="16" max="16" width="14.7109375" style="2" customWidth="1"/>
    <col min="17" max="17" width="5.7109375" style="2" customWidth="1"/>
    <col min="18" max="18" width="15.7109375" style="2" customWidth="1"/>
    <col min="19" max="16384" width="9.140625" style="2"/>
  </cols>
  <sheetData>
    <row r="1" spans="1:7" customFormat="1">
      <c r="A1" s="1" t="s">
        <v>0</v>
      </c>
    </row>
    <row r="2" spans="1:7" customFormat="1">
      <c r="A2" s="1" t="s">
        <v>1</v>
      </c>
    </row>
    <row r="3" spans="1:7">
      <c r="A3" s="1" t="s">
        <v>15</v>
      </c>
    </row>
    <row r="4" spans="1:7">
      <c r="A4" s="1"/>
    </row>
    <row r="5" spans="1:7">
      <c r="A5" s="1" t="s">
        <v>16</v>
      </c>
      <c r="C5" s="109" t="s">
        <v>97</v>
      </c>
    </row>
    <row r="7" spans="1:7">
      <c r="A7" s="50" t="s">
        <v>18</v>
      </c>
      <c r="B7" s="1" t="s">
        <v>98</v>
      </c>
      <c r="C7" s="1"/>
    </row>
    <row r="8" spans="1:7">
      <c r="A8" s="50"/>
      <c r="B8" s="4" t="s">
        <v>99</v>
      </c>
      <c r="C8" s="4"/>
    </row>
    <row r="9" spans="1:7">
      <c r="A9" s="51"/>
      <c r="D9" s="2"/>
      <c r="E9" s="2"/>
      <c r="G9" s="2"/>
    </row>
    <row r="10" spans="1:7">
      <c r="A10" s="3"/>
    </row>
    <row r="11" spans="1:7">
      <c r="A11" s="3"/>
      <c r="C11" s="151">
        <v>50000</v>
      </c>
      <c r="D11" s="3" t="s">
        <v>100</v>
      </c>
      <c r="E11" s="45"/>
    </row>
    <row r="12" spans="1:7">
      <c r="A12" s="3"/>
    </row>
    <row r="13" spans="1:7">
      <c r="A13" s="3"/>
    </row>
    <row r="14" spans="1:7">
      <c r="A14" s="3"/>
    </row>
    <row r="15" spans="1:7">
      <c r="A15" s="3"/>
    </row>
    <row r="16" spans="1:7">
      <c r="A16" s="3"/>
    </row>
    <row r="17" spans="1:1">
      <c r="A17" s="3"/>
    </row>
    <row r="18" spans="1:1">
      <c r="A18" s="3"/>
    </row>
    <row r="19" spans="1:1">
      <c r="A19" s="3"/>
    </row>
    <row r="20" spans="1:1">
      <c r="A20" s="3"/>
    </row>
    <row r="21" spans="1:1">
      <c r="A21" s="3"/>
    </row>
    <row r="22" spans="1:1">
      <c r="A22" s="3"/>
    </row>
    <row r="23" spans="1:1">
      <c r="A23" s="3"/>
    </row>
    <row r="24" spans="1:1">
      <c r="A24" s="3"/>
    </row>
    <row r="25" spans="1:1">
      <c r="A25" s="3"/>
    </row>
    <row r="26" spans="1:1">
      <c r="A26" s="3"/>
    </row>
    <row r="27" spans="1:1">
      <c r="A27" s="3"/>
    </row>
    <row r="28" spans="1:1">
      <c r="A28" s="3"/>
    </row>
    <row r="29" spans="1:1">
      <c r="A29" s="3"/>
    </row>
    <row r="30" spans="1:1">
      <c r="A30" s="3"/>
    </row>
    <row r="31" spans="1:1">
      <c r="A31" s="3"/>
    </row>
    <row r="32" spans="1:1">
      <c r="A32" s="3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7" tint="0.59999389629810485"/>
  </sheetPr>
  <dimension ref="A1:X119"/>
  <sheetViews>
    <sheetView topLeftCell="A9" zoomScale="70" zoomScaleNormal="70" workbookViewId="0" xr3:uid="{7075697D-051A-5480-9A35-AA80E904E1A1}">
      <selection activeCell="W59" sqref="W59"/>
    </sheetView>
  </sheetViews>
  <sheetFormatPr defaultColWidth="9.140625" defaultRowHeight="12.75" customHeight="1"/>
  <cols>
    <col min="1" max="1" width="9.5703125" style="2" customWidth="1"/>
    <col min="2" max="2" width="39.7109375" style="2" customWidth="1"/>
    <col min="3" max="3" width="12.7109375" style="2" customWidth="1"/>
    <col min="4" max="4" width="8.7109375" style="2" customWidth="1"/>
    <col min="5" max="5" width="12.7109375" style="2" customWidth="1"/>
    <col min="6" max="6" width="8.7109375" style="2" customWidth="1"/>
    <col min="7" max="7" width="12.710937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355</v>
      </c>
      <c r="G2" s="33" t="s">
        <v>51</v>
      </c>
      <c r="H2" s="34"/>
      <c r="I2" s="34"/>
      <c r="V2" s="32"/>
    </row>
    <row r="3" spans="1:22" ht="12.75" customHeight="1">
      <c r="A3" s="1" t="s">
        <v>357</v>
      </c>
      <c r="D3" s="118" t="s">
        <v>358</v>
      </c>
      <c r="G3" s="115" t="str">
        <f>+G2</f>
        <v>Dunkin Donuts (Parking Garage 5)</v>
      </c>
      <c r="H3" s="116"/>
      <c r="I3" s="116"/>
      <c r="V3" s="32"/>
    </row>
    <row r="4" spans="1:22" ht="12.75" customHeight="1">
      <c r="A4" s="1" t="s">
        <v>359</v>
      </c>
      <c r="B4" s="109" t="s">
        <v>221</v>
      </c>
      <c r="D4" s="118" t="s">
        <v>360</v>
      </c>
      <c r="G4" s="115" t="s">
        <v>65</v>
      </c>
      <c r="H4" s="116"/>
      <c r="I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361</v>
      </c>
      <c r="B7" s="1"/>
    </row>
    <row r="8" spans="1:22" ht="12.75" customHeight="1">
      <c r="A8" s="2" t="s">
        <v>362</v>
      </c>
      <c r="C8" s="109">
        <v>228</v>
      </c>
      <c r="E8" s="109">
        <f>+C8</f>
        <v>228</v>
      </c>
      <c r="G8" s="109">
        <f>+E8</f>
        <v>228</v>
      </c>
      <c r="I8" s="109">
        <f>+G8</f>
        <v>228</v>
      </c>
      <c r="K8" s="109">
        <f>+I8</f>
        <v>228</v>
      </c>
      <c r="M8" s="109">
        <f>+K8</f>
        <v>228</v>
      </c>
      <c r="O8" s="109">
        <f>+M8</f>
        <v>228</v>
      </c>
      <c r="Q8" s="109">
        <f>+O8</f>
        <v>228</v>
      </c>
      <c r="S8" s="109">
        <f>+Q8</f>
        <v>228</v>
      </c>
      <c r="U8" s="109">
        <f>+S8</f>
        <v>228</v>
      </c>
    </row>
    <row r="10" spans="1:22" ht="12.75" customHeight="1">
      <c r="A10" s="2" t="s">
        <v>462</v>
      </c>
      <c r="C10" s="201">
        <f>+C14/C8/C12</f>
        <v>279.10685805422651</v>
      </c>
      <c r="D10" s="202"/>
      <c r="E10" s="201">
        <f>+E14/E8/E12</f>
        <v>287.67067784935779</v>
      </c>
      <c r="G10" s="109"/>
      <c r="I10" s="109"/>
      <c r="K10" s="109"/>
      <c r="M10" s="109"/>
      <c r="O10" s="109"/>
      <c r="Q10" s="109"/>
      <c r="S10" s="109"/>
      <c r="U10" s="109"/>
    </row>
    <row r="12" spans="1:22" ht="12.75" customHeight="1">
      <c r="A12" s="2" t="s">
        <v>463</v>
      </c>
      <c r="C12" s="110">
        <v>4.29</v>
      </c>
      <c r="E12" s="110">
        <v>4.33</v>
      </c>
      <c r="G12" s="110"/>
      <c r="I12" s="110"/>
      <c r="K12" s="110"/>
      <c r="M12" s="110"/>
      <c r="O12" s="110"/>
      <c r="Q12" s="110"/>
      <c r="S12" s="110"/>
      <c r="U12" s="110"/>
    </row>
    <row r="14" spans="1:22" ht="12.75" customHeight="1">
      <c r="A14" s="2" t="s">
        <v>464</v>
      </c>
      <c r="C14" s="121">
        <v>273000</v>
      </c>
      <c r="E14" s="121">
        <v>284000</v>
      </c>
      <c r="G14" s="121">
        <f>G12*G10*G8</f>
        <v>0</v>
      </c>
      <c r="I14" s="121">
        <f>I12*I10*I8</f>
        <v>0</v>
      </c>
      <c r="K14" s="121">
        <f>K12*K10*K8</f>
        <v>0</v>
      </c>
      <c r="M14" s="121">
        <f>M12*M10*M8</f>
        <v>0</v>
      </c>
      <c r="O14" s="121">
        <f>O12*O10*O8</f>
        <v>0</v>
      </c>
      <c r="Q14" s="121">
        <f>Q12*Q10*Q8</f>
        <v>0</v>
      </c>
      <c r="S14" s="121">
        <f>S12*S10*S8</f>
        <v>0</v>
      </c>
      <c r="U14" s="121">
        <f>U12*U10*U8</f>
        <v>0</v>
      </c>
    </row>
    <row r="15" spans="1:22" ht="12.75" customHeight="1">
      <c r="A15" s="39">
        <v>0.05</v>
      </c>
    </row>
    <row r="16" spans="1:22" ht="12.75" customHeight="1">
      <c r="B16" s="35"/>
      <c r="C16" s="86" t="str">
        <f>C6</f>
        <v>FY 2018-19</v>
      </c>
      <c r="D16" s="86" t="s">
        <v>366</v>
      </c>
      <c r="E16" s="86" t="str">
        <f>E6</f>
        <v>FY 2019-20</v>
      </c>
      <c r="F16" s="86" t="s">
        <v>366</v>
      </c>
      <c r="G16" s="86" t="str">
        <f>G6</f>
        <v>FY 2020-21</v>
      </c>
      <c r="H16" s="86" t="s">
        <v>366</v>
      </c>
      <c r="I16" s="86" t="str">
        <f>I6</f>
        <v>FY 2021-22</v>
      </c>
      <c r="J16" s="86" t="s">
        <v>366</v>
      </c>
      <c r="K16" s="86" t="str">
        <f>K6</f>
        <v>FY 2022-23</v>
      </c>
      <c r="L16" s="86" t="s">
        <v>366</v>
      </c>
      <c r="M16" s="86" t="str">
        <f>M6</f>
        <v>FY 2023-24</v>
      </c>
      <c r="N16" s="86" t="s">
        <v>366</v>
      </c>
      <c r="O16" s="86" t="str">
        <f>O6</f>
        <v>FY 2024-25</v>
      </c>
      <c r="P16" s="86" t="s">
        <v>366</v>
      </c>
      <c r="Q16" s="86" t="str">
        <f>Q6</f>
        <v>FY 2025-26</v>
      </c>
      <c r="R16" s="86" t="s">
        <v>366</v>
      </c>
      <c r="S16" s="86" t="str">
        <f>S6</f>
        <v>FY 2026-27</v>
      </c>
      <c r="T16" s="86" t="s">
        <v>366</v>
      </c>
      <c r="U16" s="86" t="str">
        <f>U6</f>
        <v>FY 2027-28</v>
      </c>
      <c r="V16" s="86" t="s">
        <v>366</v>
      </c>
    </row>
    <row r="17" spans="1:24" ht="12.75" customHeight="1">
      <c r="A17" s="1" t="s">
        <v>367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368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369</v>
      </c>
      <c r="B19" s="35"/>
      <c r="C19" s="200">
        <f>+C14-C20-C21</f>
        <v>235653.6</v>
      </c>
      <c r="D19" s="80">
        <f>IFERROR(C19/C$28,0)</f>
        <v>0.86319999999999997</v>
      </c>
      <c r="E19" s="200">
        <f>+E14-E20-E21</f>
        <v>234868</v>
      </c>
      <c r="F19" s="80">
        <f>IFERROR(E19/E$28,0)</f>
        <v>0.82699999999999996</v>
      </c>
      <c r="G19" s="200">
        <f>+G14-G20</f>
        <v>0</v>
      </c>
      <c r="H19" s="80">
        <f>IFERROR(G19/G$28,0)</f>
        <v>0</v>
      </c>
      <c r="I19" s="200">
        <f>+I14-I20</f>
        <v>0</v>
      </c>
      <c r="J19" s="80">
        <f>IFERROR(I19/I$28,0)</f>
        <v>0</v>
      </c>
      <c r="K19" s="200">
        <f>+K14-K20</f>
        <v>0</v>
      </c>
      <c r="L19" s="80">
        <f>IFERROR(K19/K$28,0)</f>
        <v>0</v>
      </c>
      <c r="M19" s="200">
        <f>+M14-M20</f>
        <v>0</v>
      </c>
      <c r="N19" s="80">
        <f>IFERROR(M19/M$28,0)</f>
        <v>0</v>
      </c>
      <c r="O19" s="200">
        <f>+O14-O20</f>
        <v>0</v>
      </c>
      <c r="P19" s="80">
        <f>IFERROR(O19/O$28,0)</f>
        <v>0</v>
      </c>
      <c r="Q19" s="200">
        <f>+Q14-Q20</f>
        <v>0</v>
      </c>
      <c r="R19" s="80">
        <f>IFERROR(Q19/Q$28,0)</f>
        <v>0</v>
      </c>
      <c r="S19" s="200">
        <f>+S14-S20</f>
        <v>0</v>
      </c>
      <c r="T19" s="80">
        <f>IFERROR(S19/S$28,0)</f>
        <v>0</v>
      </c>
      <c r="U19" s="200">
        <f>+U14-U20</f>
        <v>0</v>
      </c>
      <c r="V19" s="80">
        <f>IFERROR(U19/U$28,0)</f>
        <v>0</v>
      </c>
    </row>
    <row r="20" spans="1:24" ht="12.75" customHeight="1">
      <c r="A20" s="2" t="s">
        <v>370</v>
      </c>
      <c r="B20" s="35"/>
      <c r="C20" s="111">
        <f>+C14*12.38%</f>
        <v>33797.4</v>
      </c>
      <c r="D20" s="80">
        <f>IFERROR(C20/C$28,0)</f>
        <v>0.12380000000000001</v>
      </c>
      <c r="E20" s="111">
        <f>+E14*16%</f>
        <v>45440</v>
      </c>
      <c r="F20" s="80">
        <f>IFERROR(E20/E$28,0)</f>
        <v>0.16</v>
      </c>
      <c r="G20" s="111"/>
      <c r="H20" s="80">
        <f>IFERROR(G20/G$28,0)</f>
        <v>0</v>
      </c>
      <c r="I20" s="111">
        <f t="shared" ref="I20:U21" si="0">G20*1.02</f>
        <v>0</v>
      </c>
      <c r="J20" s="80">
        <f>IFERROR(I20/I$28,0)</f>
        <v>0</v>
      </c>
      <c r="K20" s="111">
        <f t="shared" si="0"/>
        <v>0</v>
      </c>
      <c r="L20" s="80">
        <f>IFERROR(K20/K$28,0)</f>
        <v>0</v>
      </c>
      <c r="M20" s="111">
        <f t="shared" si="0"/>
        <v>0</v>
      </c>
      <c r="N20" s="80">
        <f>IFERROR(M20/M$28,0)</f>
        <v>0</v>
      </c>
      <c r="O20" s="111">
        <f t="shared" si="0"/>
        <v>0</v>
      </c>
      <c r="P20" s="80">
        <f>IFERROR(O20/O$28,0)</f>
        <v>0</v>
      </c>
      <c r="Q20" s="111">
        <f t="shared" si="0"/>
        <v>0</v>
      </c>
      <c r="R20" s="80">
        <f>IFERROR(Q20/Q$28,0)</f>
        <v>0</v>
      </c>
      <c r="S20" s="111">
        <f t="shared" si="0"/>
        <v>0</v>
      </c>
      <c r="T20" s="80">
        <f>IFERROR(S20/S$28,0)</f>
        <v>0</v>
      </c>
      <c r="U20" s="111">
        <f t="shared" si="0"/>
        <v>0</v>
      </c>
      <c r="V20" s="80">
        <f>IFERROR(U20/U$28,0)</f>
        <v>0</v>
      </c>
    </row>
    <row r="21" spans="1:24" ht="12.75" customHeight="1">
      <c r="A21" s="186" t="s">
        <v>371</v>
      </c>
      <c r="B21" s="195"/>
      <c r="C21" s="111">
        <f>+C14*0.013</f>
        <v>3549</v>
      </c>
      <c r="D21" s="80">
        <f>IFERROR(C21/C$28,0)</f>
        <v>1.2999999999999999E-2</v>
      </c>
      <c r="E21" s="111">
        <f>+E14*0.013</f>
        <v>3692</v>
      </c>
      <c r="F21" s="80">
        <f>IFERROR(E21/E$28,0)</f>
        <v>1.2999999999999999E-2</v>
      </c>
      <c r="G21" s="111"/>
      <c r="H21" s="80">
        <f>IFERROR(G21/G$28,0)</f>
        <v>0</v>
      </c>
      <c r="I21" s="111">
        <f t="shared" si="0"/>
        <v>0</v>
      </c>
      <c r="J21" s="80">
        <f>IFERROR(I21/I$28,0)</f>
        <v>0</v>
      </c>
      <c r="K21" s="111">
        <f t="shared" si="0"/>
        <v>0</v>
      </c>
      <c r="L21" s="80">
        <f>IFERROR(K21/K$28,0)</f>
        <v>0</v>
      </c>
      <c r="M21" s="111">
        <f t="shared" si="0"/>
        <v>0</v>
      </c>
      <c r="N21" s="80">
        <f>IFERROR(M21/M$28,0)</f>
        <v>0</v>
      </c>
      <c r="O21" s="111">
        <f t="shared" si="0"/>
        <v>0</v>
      </c>
      <c r="P21" s="80">
        <f>IFERROR(O21/O$28,0)</f>
        <v>0</v>
      </c>
      <c r="Q21" s="111">
        <f t="shared" si="0"/>
        <v>0</v>
      </c>
      <c r="R21" s="80">
        <f>IFERROR(Q21/Q$28,0)</f>
        <v>0</v>
      </c>
      <c r="S21" s="111">
        <f t="shared" si="0"/>
        <v>0</v>
      </c>
      <c r="T21" s="80">
        <f>IFERROR(S21/S$28,0)</f>
        <v>0</v>
      </c>
      <c r="U21" s="111">
        <f t="shared" si="0"/>
        <v>0</v>
      </c>
      <c r="V21" s="80">
        <f>IFERROR(U21/U$28,0)</f>
        <v>0</v>
      </c>
    </row>
    <row r="22" spans="1:24" ht="12.75" customHeight="1">
      <c r="A22" s="2" t="s">
        <v>372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373</v>
      </c>
      <c r="B23" s="123"/>
      <c r="C23" s="79"/>
      <c r="D23" s="80">
        <f t="shared" ref="D23:D28" si="1">IFERROR(C23/C$28,0)</f>
        <v>0</v>
      </c>
      <c r="E23" s="79"/>
      <c r="F23" s="80">
        <f t="shared" ref="F23:F28" si="2">IFERROR(E23/E$28,0)</f>
        <v>0</v>
      </c>
      <c r="G23" s="79"/>
      <c r="H23" s="80">
        <f t="shared" ref="H23:H28" si="3">IFERROR(G23/G$28,0)</f>
        <v>0</v>
      </c>
      <c r="I23" s="79"/>
      <c r="J23" s="80">
        <f t="shared" ref="J23:J28" si="4">IFERROR(I23/I$28,0)</f>
        <v>0</v>
      </c>
      <c r="K23" s="79"/>
      <c r="L23" s="80">
        <f t="shared" ref="L23:L28" si="5">IFERROR(K23/K$28,0)</f>
        <v>0</v>
      </c>
      <c r="M23" s="79"/>
      <c r="N23" s="80">
        <f t="shared" ref="N23:N28" si="6">IFERROR(M23/M$28,0)</f>
        <v>0</v>
      </c>
      <c r="O23" s="79"/>
      <c r="P23" s="80">
        <f t="shared" ref="P23:P28" si="7">IFERROR(O23/O$28,0)</f>
        <v>0</v>
      </c>
      <c r="Q23" s="79"/>
      <c r="R23" s="80">
        <f t="shared" ref="R23:R28" si="8">IFERROR(Q23/Q$28,0)</f>
        <v>0</v>
      </c>
      <c r="S23" s="79"/>
      <c r="T23" s="80">
        <f t="shared" ref="T23:T28" si="9">IFERROR(S23/S$28,0)</f>
        <v>0</v>
      </c>
      <c r="U23" s="79"/>
      <c r="V23" s="80">
        <f t="shared" ref="V23:V28" si="10">IFERROR(U23/U$28,0)</f>
        <v>0</v>
      </c>
    </row>
    <row r="24" spans="1:24" ht="12.75" customHeight="1">
      <c r="A24" s="122" t="s">
        <v>374</v>
      </c>
      <c r="B24" s="123"/>
      <c r="C24" s="79"/>
      <c r="D24" s="80">
        <f t="shared" si="1"/>
        <v>0</v>
      </c>
      <c r="E24" s="79"/>
      <c r="F24" s="80">
        <f t="shared" si="2"/>
        <v>0</v>
      </c>
      <c r="G24" s="79"/>
      <c r="H24" s="80">
        <f t="shared" si="3"/>
        <v>0</v>
      </c>
      <c r="I24" s="79"/>
      <c r="J24" s="80">
        <f t="shared" si="4"/>
        <v>0</v>
      </c>
      <c r="K24" s="79"/>
      <c r="L24" s="80">
        <f t="shared" si="5"/>
        <v>0</v>
      </c>
      <c r="M24" s="79"/>
      <c r="N24" s="80">
        <f t="shared" si="6"/>
        <v>0</v>
      </c>
      <c r="O24" s="79"/>
      <c r="P24" s="80">
        <f t="shared" si="7"/>
        <v>0</v>
      </c>
      <c r="Q24" s="79"/>
      <c r="R24" s="80">
        <f t="shared" si="8"/>
        <v>0</v>
      </c>
      <c r="S24" s="79"/>
      <c r="T24" s="80">
        <f t="shared" si="9"/>
        <v>0</v>
      </c>
      <c r="U24" s="79"/>
      <c r="V24" s="80">
        <f t="shared" si="10"/>
        <v>0</v>
      </c>
      <c r="X24" s="79"/>
    </row>
    <row r="25" spans="1:24" ht="12.75" customHeight="1">
      <c r="A25" s="2" t="s">
        <v>375</v>
      </c>
      <c r="B25" s="35"/>
      <c r="C25" s="111"/>
      <c r="D25" s="80">
        <f t="shared" si="1"/>
        <v>0</v>
      </c>
      <c r="E25" s="111"/>
      <c r="F25" s="80">
        <f t="shared" si="2"/>
        <v>0</v>
      </c>
      <c r="G25" s="111"/>
      <c r="H25" s="80">
        <f t="shared" si="3"/>
        <v>0</v>
      </c>
      <c r="I25" s="111"/>
      <c r="J25" s="80">
        <f t="shared" si="4"/>
        <v>0</v>
      </c>
      <c r="K25" s="111"/>
      <c r="L25" s="80">
        <f t="shared" si="5"/>
        <v>0</v>
      </c>
      <c r="M25" s="111"/>
      <c r="N25" s="80">
        <f t="shared" si="6"/>
        <v>0</v>
      </c>
      <c r="O25" s="111"/>
      <c r="P25" s="80">
        <f t="shared" si="7"/>
        <v>0</v>
      </c>
      <c r="Q25" s="111"/>
      <c r="R25" s="80">
        <f t="shared" si="8"/>
        <v>0</v>
      </c>
      <c r="S25" s="111"/>
      <c r="T25" s="80">
        <f t="shared" si="9"/>
        <v>0</v>
      </c>
      <c r="U25" s="111"/>
      <c r="V25" s="80">
        <f t="shared" si="10"/>
        <v>0</v>
      </c>
      <c r="X25" s="79"/>
    </row>
    <row r="26" spans="1:24" ht="12.75" customHeight="1">
      <c r="A26" s="122" t="s">
        <v>376</v>
      </c>
      <c r="B26" s="35"/>
      <c r="C26" s="79"/>
      <c r="D26" s="80">
        <f t="shared" si="1"/>
        <v>0</v>
      </c>
      <c r="E26" s="79"/>
      <c r="F26" s="80">
        <f t="shared" si="2"/>
        <v>0</v>
      </c>
      <c r="G26" s="79"/>
      <c r="H26" s="80">
        <f t="shared" si="3"/>
        <v>0</v>
      </c>
      <c r="I26" s="79"/>
      <c r="J26" s="80">
        <f t="shared" si="4"/>
        <v>0</v>
      </c>
      <c r="K26" s="79"/>
      <c r="L26" s="80">
        <f t="shared" si="5"/>
        <v>0</v>
      </c>
      <c r="M26" s="79"/>
      <c r="N26" s="80">
        <f t="shared" si="6"/>
        <v>0</v>
      </c>
      <c r="O26" s="79"/>
      <c r="P26" s="80">
        <f t="shared" si="7"/>
        <v>0</v>
      </c>
      <c r="Q26" s="79"/>
      <c r="R26" s="80">
        <f t="shared" si="8"/>
        <v>0</v>
      </c>
      <c r="S26" s="79"/>
      <c r="T26" s="80">
        <f t="shared" si="9"/>
        <v>0</v>
      </c>
      <c r="U26" s="79"/>
      <c r="V26" s="80">
        <f t="shared" si="10"/>
        <v>0</v>
      </c>
    </row>
    <row r="27" spans="1:24" ht="12.75" customHeight="1">
      <c r="A27" s="2" t="s">
        <v>377</v>
      </c>
      <c r="B27" s="35"/>
      <c r="C27" s="112"/>
      <c r="D27" s="80">
        <f t="shared" si="1"/>
        <v>0</v>
      </c>
      <c r="E27" s="112"/>
      <c r="F27" s="80">
        <f t="shared" si="2"/>
        <v>0</v>
      </c>
      <c r="G27" s="112"/>
      <c r="H27" s="80">
        <f t="shared" si="3"/>
        <v>0</v>
      </c>
      <c r="I27" s="112"/>
      <c r="J27" s="80">
        <f t="shared" si="4"/>
        <v>0</v>
      </c>
      <c r="K27" s="112"/>
      <c r="L27" s="80">
        <f t="shared" si="5"/>
        <v>0</v>
      </c>
      <c r="M27" s="112"/>
      <c r="N27" s="80">
        <f t="shared" si="6"/>
        <v>0</v>
      </c>
      <c r="O27" s="112"/>
      <c r="P27" s="80">
        <f t="shared" si="7"/>
        <v>0</v>
      </c>
      <c r="Q27" s="112"/>
      <c r="R27" s="80">
        <f t="shared" si="8"/>
        <v>0</v>
      </c>
      <c r="S27" s="112"/>
      <c r="T27" s="80">
        <f t="shared" si="9"/>
        <v>0</v>
      </c>
      <c r="U27" s="112"/>
      <c r="V27" s="80">
        <f t="shared" si="10"/>
        <v>0</v>
      </c>
    </row>
    <row r="28" spans="1:24" ht="12.75" customHeight="1">
      <c r="A28" s="1" t="s">
        <v>378</v>
      </c>
      <c r="B28" s="53"/>
      <c r="C28" s="82">
        <f>SUM(C19:C27)</f>
        <v>273000</v>
      </c>
      <c r="D28" s="83">
        <f t="shared" si="1"/>
        <v>1</v>
      </c>
      <c r="E28" s="82">
        <f>SUM(E19:E27)</f>
        <v>284000</v>
      </c>
      <c r="F28" s="83">
        <f t="shared" si="2"/>
        <v>1</v>
      </c>
      <c r="G28" s="82">
        <f>SUM(G19:G27)</f>
        <v>0</v>
      </c>
      <c r="H28" s="83">
        <f t="shared" si="3"/>
        <v>0</v>
      </c>
      <c r="I28" s="82">
        <f>SUM(I19:I27)</f>
        <v>0</v>
      </c>
      <c r="J28" s="83">
        <f t="shared" si="4"/>
        <v>0</v>
      </c>
      <c r="K28" s="82">
        <f>SUM(K19:K27)</f>
        <v>0</v>
      </c>
      <c r="L28" s="83">
        <f t="shared" si="5"/>
        <v>0</v>
      </c>
      <c r="M28" s="82">
        <f>SUM(M19:M27)</f>
        <v>0</v>
      </c>
      <c r="N28" s="83">
        <f t="shared" si="6"/>
        <v>0</v>
      </c>
      <c r="O28" s="82">
        <f>SUM(O19:O27)</f>
        <v>0</v>
      </c>
      <c r="P28" s="83">
        <f t="shared" si="7"/>
        <v>0</v>
      </c>
      <c r="Q28" s="82">
        <f>SUM(Q19:Q27)</f>
        <v>0</v>
      </c>
      <c r="R28" s="83">
        <f t="shared" si="8"/>
        <v>0</v>
      </c>
      <c r="S28" s="82">
        <f>SUM(S19:S27)</f>
        <v>0</v>
      </c>
      <c r="T28" s="83">
        <f t="shared" si="9"/>
        <v>0</v>
      </c>
      <c r="U28" s="82">
        <f>SUM(U19:U27)</f>
        <v>0</v>
      </c>
      <c r="V28" s="83">
        <f t="shared" si="10"/>
        <v>0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379</v>
      </c>
      <c r="B30" s="53"/>
      <c r="C30" s="197">
        <v>0.32900000000000001</v>
      </c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380</v>
      </c>
      <c r="B31" s="35"/>
      <c r="C31" s="178">
        <f>$C$30*C14</f>
        <v>89817</v>
      </c>
      <c r="D31" s="80">
        <f>IFERROR(C31/C$28,0)</f>
        <v>0.32900000000000001</v>
      </c>
      <c r="E31" s="178">
        <f>$C$30*E14</f>
        <v>93436</v>
      </c>
      <c r="F31" s="80">
        <f>IFERROR(E31/E$28,0)</f>
        <v>0.32900000000000001</v>
      </c>
      <c r="G31" s="178">
        <f>$C$30*G14</f>
        <v>0</v>
      </c>
      <c r="H31" s="80">
        <f>IFERROR(G31/G$28,0)</f>
        <v>0</v>
      </c>
      <c r="I31" s="178">
        <f>$C$30*I14</f>
        <v>0</v>
      </c>
      <c r="J31" s="80">
        <f>IFERROR(I31/I$28,0)</f>
        <v>0</v>
      </c>
      <c r="K31" s="178">
        <f>$C$30*K14</f>
        <v>0</v>
      </c>
      <c r="L31" s="80">
        <f>IFERROR(K31/K$28,0)</f>
        <v>0</v>
      </c>
      <c r="M31" s="178">
        <f>$C$30*M14</f>
        <v>0</v>
      </c>
      <c r="N31" s="80">
        <f>IFERROR(M31/M$28,0)</f>
        <v>0</v>
      </c>
      <c r="O31" s="178">
        <f>$C$30*O14</f>
        <v>0</v>
      </c>
      <c r="P31" s="80">
        <f>IFERROR(O31/O$28,0)</f>
        <v>0</v>
      </c>
      <c r="Q31" s="178">
        <f>$C$30*Q14</f>
        <v>0</v>
      </c>
      <c r="R31" s="80">
        <f>IFERROR(Q31/Q$28,0)</f>
        <v>0</v>
      </c>
      <c r="S31" s="178">
        <f>$C$30*S14</f>
        <v>0</v>
      </c>
      <c r="T31" s="80">
        <f>IFERROR(S31/S$28,0)</f>
        <v>0</v>
      </c>
      <c r="U31" s="178">
        <f>$C$30*U14</f>
        <v>0</v>
      </c>
      <c r="V31" s="80">
        <f>IFERROR(U31/U$28,0)</f>
        <v>0</v>
      </c>
    </row>
    <row r="32" spans="1:24" ht="12.75" customHeight="1">
      <c r="A32" s="8" t="s">
        <v>381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382</v>
      </c>
      <c r="B33" s="53"/>
      <c r="C33" s="82">
        <f>SUM(C31:C32)</f>
        <v>89817</v>
      </c>
      <c r="D33" s="83">
        <f>IFERROR(C33/C$28,0)</f>
        <v>0.32900000000000001</v>
      </c>
      <c r="E33" s="82">
        <f>SUM(E31:E32)</f>
        <v>93436</v>
      </c>
      <c r="F33" s="83">
        <f>IFERROR(E33/E$28,0)</f>
        <v>0.32900000000000001</v>
      </c>
      <c r="G33" s="82">
        <f>SUM(G31:G32)</f>
        <v>0</v>
      </c>
      <c r="H33" s="83">
        <f>IFERROR(G33/G$28,0)</f>
        <v>0</v>
      </c>
      <c r="I33" s="82">
        <f>SUM(I31:I32)</f>
        <v>0</v>
      </c>
      <c r="J33" s="83">
        <f>IFERROR(I33/I$28,0)</f>
        <v>0</v>
      </c>
      <c r="K33" s="82">
        <f>SUM(K31:K32)</f>
        <v>0</v>
      </c>
      <c r="L33" s="83">
        <f>IFERROR(K33/K$28,0)</f>
        <v>0</v>
      </c>
      <c r="M33" s="82">
        <f>SUM(M31:M32)</f>
        <v>0</v>
      </c>
      <c r="N33" s="83">
        <f>IFERROR(M33/M$28,0)</f>
        <v>0</v>
      </c>
      <c r="O33" s="82">
        <f>SUM(O31:O32)</f>
        <v>0</v>
      </c>
      <c r="P33" s="83">
        <f>IFERROR(O33/O$28,0)</f>
        <v>0</v>
      </c>
      <c r="Q33" s="82">
        <f>SUM(Q31:Q32)</f>
        <v>0</v>
      </c>
      <c r="R33" s="83">
        <f>IFERROR(Q33/Q$28,0)</f>
        <v>0</v>
      </c>
      <c r="S33" s="82">
        <f>SUM(S31:S32)</f>
        <v>0</v>
      </c>
      <c r="T33" s="83">
        <f>IFERROR(S33/S$28,0)</f>
        <v>0</v>
      </c>
      <c r="U33" s="82">
        <f>SUM(U31:U32)</f>
        <v>0</v>
      </c>
      <c r="V33" s="83">
        <f>IFERROR(U33/U$28,0)</f>
        <v>0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383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384</v>
      </c>
      <c r="B36" s="35"/>
      <c r="C36" s="178"/>
      <c r="D36" s="80">
        <f t="shared" ref="D36:D46" si="11">IFERROR(C36/C$28,0)</f>
        <v>0</v>
      </c>
      <c r="E36" s="178"/>
      <c r="F36" s="80">
        <f t="shared" ref="F36:F46" si="12">IFERROR(E36/E$28,0)</f>
        <v>0</v>
      </c>
      <c r="G36" s="178"/>
      <c r="H36" s="80">
        <f t="shared" ref="H36:H46" si="13">IFERROR(G36/G$28,0)</f>
        <v>0</v>
      </c>
      <c r="I36" s="178"/>
      <c r="J36" s="80">
        <f t="shared" ref="J36:J46" si="14">IFERROR(I36/I$28,0)</f>
        <v>0</v>
      </c>
      <c r="K36" s="178"/>
      <c r="L36" s="80">
        <f t="shared" ref="L36:L46" si="15">IFERROR(K36/K$28,0)</f>
        <v>0</v>
      </c>
      <c r="M36" s="178"/>
      <c r="N36" s="80">
        <f t="shared" ref="N36:N46" si="16">IFERROR(M36/M$28,0)</f>
        <v>0</v>
      </c>
      <c r="O36" s="178"/>
      <c r="P36" s="80">
        <f t="shared" ref="P36:P46" si="17">IFERROR(O36/O$28,0)</f>
        <v>0</v>
      </c>
      <c r="Q36" s="178"/>
      <c r="R36" s="80">
        <f t="shared" ref="R36:R46" si="18">IFERROR(Q36/Q$28,0)</f>
        <v>0</v>
      </c>
      <c r="S36" s="178"/>
      <c r="T36" s="80">
        <f t="shared" ref="T36:T46" si="19">IFERROR(S36/S$28,0)</f>
        <v>0</v>
      </c>
      <c r="U36" s="178"/>
      <c r="V36" s="80">
        <f t="shared" ref="V36:V46" si="20">IFERROR(U36/U$28,0)</f>
        <v>0</v>
      </c>
    </row>
    <row r="37" spans="1:22" ht="12.75" customHeight="1">
      <c r="A37" s="2" t="s">
        <v>385</v>
      </c>
      <c r="B37" s="35"/>
      <c r="C37" s="178">
        <v>64244</v>
      </c>
      <c r="D37" s="80">
        <f t="shared" si="11"/>
        <v>0.23532600732600734</v>
      </c>
      <c r="E37" s="178">
        <f>+C37*1.112</f>
        <v>71439.328000000009</v>
      </c>
      <c r="F37" s="80">
        <f t="shared" si="12"/>
        <v>0.25154692957746483</v>
      </c>
      <c r="G37" s="178"/>
      <c r="H37" s="80">
        <f t="shared" si="13"/>
        <v>0</v>
      </c>
      <c r="I37" s="178">
        <f>+G37*1.032</f>
        <v>0</v>
      </c>
      <c r="J37" s="80">
        <f t="shared" si="14"/>
        <v>0</v>
      </c>
      <c r="K37" s="178">
        <f>+I37*1.025</f>
        <v>0</v>
      </c>
      <c r="L37" s="80">
        <f t="shared" si="15"/>
        <v>0</v>
      </c>
      <c r="M37" s="178">
        <f>+K37*1.025</f>
        <v>0</v>
      </c>
      <c r="N37" s="80">
        <f t="shared" si="16"/>
        <v>0</v>
      </c>
      <c r="O37" s="178">
        <f>+M37*1.025</f>
        <v>0</v>
      </c>
      <c r="P37" s="80">
        <f t="shared" si="17"/>
        <v>0</v>
      </c>
      <c r="Q37" s="178">
        <f>+O37*1.025</f>
        <v>0</v>
      </c>
      <c r="R37" s="80">
        <f t="shared" si="18"/>
        <v>0</v>
      </c>
      <c r="S37" s="178">
        <f>+Q37*1.025</f>
        <v>0</v>
      </c>
      <c r="T37" s="80">
        <f t="shared" si="19"/>
        <v>0</v>
      </c>
      <c r="U37" s="178">
        <f>+S37*1.025</f>
        <v>0</v>
      </c>
      <c r="V37" s="80">
        <f t="shared" si="20"/>
        <v>0</v>
      </c>
    </row>
    <row r="38" spans="1:22" ht="12.75" customHeight="1">
      <c r="A38" s="2" t="s">
        <v>386</v>
      </c>
      <c r="B38" s="35"/>
      <c r="C38" s="178">
        <v>11583</v>
      </c>
      <c r="D38" s="80">
        <f t="shared" si="11"/>
        <v>4.2428571428571427E-2</v>
      </c>
      <c r="E38" s="178">
        <f t="shared" ref="E38:E39" si="21">+C38*1.112</f>
        <v>12880.296</v>
      </c>
      <c r="F38" s="80">
        <f t="shared" si="12"/>
        <v>4.5353154929577463E-2</v>
      </c>
      <c r="G38" s="178"/>
      <c r="H38" s="80">
        <f t="shared" si="13"/>
        <v>0</v>
      </c>
      <c r="I38" s="178">
        <f>+G38*1.032</f>
        <v>0</v>
      </c>
      <c r="J38" s="80">
        <f t="shared" si="14"/>
        <v>0</v>
      </c>
      <c r="K38" s="178">
        <f>+I38*1.025</f>
        <v>0</v>
      </c>
      <c r="L38" s="80">
        <f t="shared" si="15"/>
        <v>0</v>
      </c>
      <c r="M38" s="178">
        <f>+K38*1.025</f>
        <v>0</v>
      </c>
      <c r="N38" s="80">
        <f t="shared" si="16"/>
        <v>0</v>
      </c>
      <c r="O38" s="178">
        <f>+M38*1.025</f>
        <v>0</v>
      </c>
      <c r="P38" s="80">
        <f t="shared" si="17"/>
        <v>0</v>
      </c>
      <c r="Q38" s="178">
        <f>+O38*1.025</f>
        <v>0</v>
      </c>
      <c r="R38" s="80">
        <f t="shared" si="18"/>
        <v>0</v>
      </c>
      <c r="S38" s="178">
        <f>+Q38*1.025</f>
        <v>0</v>
      </c>
      <c r="T38" s="80">
        <f t="shared" si="19"/>
        <v>0</v>
      </c>
      <c r="U38" s="178">
        <f>+S38*1.025</f>
        <v>0</v>
      </c>
      <c r="V38" s="80">
        <f t="shared" si="20"/>
        <v>0</v>
      </c>
    </row>
    <row r="39" spans="1:22" ht="12.75" customHeight="1">
      <c r="A39" s="2" t="s">
        <v>387</v>
      </c>
      <c r="B39" s="35"/>
      <c r="C39" s="178">
        <v>6864</v>
      </c>
      <c r="D39" s="80">
        <f t="shared" si="11"/>
        <v>2.5142857142857144E-2</v>
      </c>
      <c r="E39" s="178">
        <f t="shared" si="21"/>
        <v>7632.7680000000009</v>
      </c>
      <c r="F39" s="80">
        <f t="shared" si="12"/>
        <v>2.6875943661971834E-2</v>
      </c>
      <c r="G39" s="178"/>
      <c r="H39" s="80">
        <f t="shared" si="13"/>
        <v>0</v>
      </c>
      <c r="I39" s="178">
        <f>+G39*1.032</f>
        <v>0</v>
      </c>
      <c r="J39" s="80">
        <f t="shared" si="14"/>
        <v>0</v>
      </c>
      <c r="K39" s="178">
        <f>+I39*1.025</f>
        <v>0</v>
      </c>
      <c r="L39" s="80">
        <f t="shared" si="15"/>
        <v>0</v>
      </c>
      <c r="M39" s="178">
        <f>+K39*1.025</f>
        <v>0</v>
      </c>
      <c r="N39" s="80">
        <f t="shared" si="16"/>
        <v>0</v>
      </c>
      <c r="O39" s="178">
        <f>+M39*1.025</f>
        <v>0</v>
      </c>
      <c r="P39" s="80">
        <f t="shared" si="17"/>
        <v>0</v>
      </c>
      <c r="Q39" s="178">
        <f>+O39*1.025</f>
        <v>0</v>
      </c>
      <c r="R39" s="80">
        <f t="shared" si="18"/>
        <v>0</v>
      </c>
      <c r="S39" s="178">
        <f>+Q39*1.025</f>
        <v>0</v>
      </c>
      <c r="T39" s="80">
        <f t="shared" si="19"/>
        <v>0</v>
      </c>
      <c r="U39" s="178">
        <f>+S39*1.025</f>
        <v>0</v>
      </c>
      <c r="V39" s="80">
        <f t="shared" si="20"/>
        <v>0</v>
      </c>
    </row>
    <row r="40" spans="1:22" ht="12.75" customHeight="1">
      <c r="A40" s="2" t="s">
        <v>388</v>
      </c>
      <c r="B40" s="35"/>
      <c r="C40" s="178">
        <f>C36*0.124</f>
        <v>0</v>
      </c>
      <c r="D40" s="80">
        <f t="shared" si="11"/>
        <v>0</v>
      </c>
      <c r="E40" s="193">
        <f>E36*0.124</f>
        <v>0</v>
      </c>
      <c r="F40" s="80">
        <f t="shared" si="12"/>
        <v>0</v>
      </c>
      <c r="G40" s="113"/>
      <c r="H40" s="80">
        <f t="shared" si="13"/>
        <v>0</v>
      </c>
      <c r="I40" s="113">
        <f>I36*0.124</f>
        <v>0</v>
      </c>
      <c r="J40" s="80">
        <f t="shared" si="14"/>
        <v>0</v>
      </c>
      <c r="K40" s="113">
        <f>K36*0.124</f>
        <v>0</v>
      </c>
      <c r="L40" s="80">
        <f t="shared" si="15"/>
        <v>0</v>
      </c>
      <c r="M40" s="113">
        <f>M36*0.124</f>
        <v>0</v>
      </c>
      <c r="N40" s="80">
        <f t="shared" si="16"/>
        <v>0</v>
      </c>
      <c r="O40" s="113">
        <f>O36*0.124</f>
        <v>0</v>
      </c>
      <c r="P40" s="80">
        <f t="shared" si="17"/>
        <v>0</v>
      </c>
      <c r="Q40" s="113">
        <f>Q36*0.124</f>
        <v>0</v>
      </c>
      <c r="R40" s="80">
        <f t="shared" si="18"/>
        <v>0</v>
      </c>
      <c r="S40" s="113">
        <f>S36*0.124</f>
        <v>0</v>
      </c>
      <c r="T40" s="80">
        <f t="shared" si="19"/>
        <v>0</v>
      </c>
      <c r="U40" s="113">
        <f>U36*0.124</f>
        <v>0</v>
      </c>
      <c r="V40" s="80">
        <f t="shared" si="20"/>
        <v>0</v>
      </c>
    </row>
    <row r="41" spans="1:22" ht="12.75" customHeight="1">
      <c r="A41" s="2" t="s">
        <v>389</v>
      </c>
      <c r="B41" s="35"/>
      <c r="C41" s="178">
        <f>C37*0.124</f>
        <v>7966.2560000000003</v>
      </c>
      <c r="D41" s="80">
        <f t="shared" si="11"/>
        <v>2.9180424908424908E-2</v>
      </c>
      <c r="E41" s="178">
        <f>E37*0.124</f>
        <v>8858.4766720000007</v>
      </c>
      <c r="F41" s="80">
        <f t="shared" si="12"/>
        <v>3.1191819267605635E-2</v>
      </c>
      <c r="G41" s="113"/>
      <c r="H41" s="80">
        <f t="shared" si="13"/>
        <v>0</v>
      </c>
      <c r="I41" s="113">
        <f>I37*0.124</f>
        <v>0</v>
      </c>
      <c r="J41" s="80">
        <f t="shared" si="14"/>
        <v>0</v>
      </c>
      <c r="K41" s="113">
        <f>K37*0.124</f>
        <v>0</v>
      </c>
      <c r="L41" s="80">
        <f t="shared" si="15"/>
        <v>0</v>
      </c>
      <c r="M41" s="113">
        <f>M37*0.124</f>
        <v>0</v>
      </c>
      <c r="N41" s="80">
        <f t="shared" si="16"/>
        <v>0</v>
      </c>
      <c r="O41" s="113">
        <f>O37*0.124</f>
        <v>0</v>
      </c>
      <c r="P41" s="80">
        <f t="shared" si="17"/>
        <v>0</v>
      </c>
      <c r="Q41" s="113">
        <f>Q37*0.124</f>
        <v>0</v>
      </c>
      <c r="R41" s="80">
        <f t="shared" si="18"/>
        <v>0</v>
      </c>
      <c r="S41" s="113">
        <f>S37*0.124</f>
        <v>0</v>
      </c>
      <c r="T41" s="80">
        <f t="shared" si="19"/>
        <v>0</v>
      </c>
      <c r="U41" s="113">
        <f>U37*0.124</f>
        <v>0</v>
      </c>
      <c r="V41" s="80">
        <f t="shared" si="20"/>
        <v>0</v>
      </c>
    </row>
    <row r="42" spans="1:22" ht="12.75" customHeight="1">
      <c r="A42" s="2" t="s">
        <v>390</v>
      </c>
      <c r="B42" s="35"/>
      <c r="C42" s="178"/>
      <c r="D42" s="80">
        <f t="shared" si="11"/>
        <v>0</v>
      </c>
      <c r="E42" s="178"/>
      <c r="F42" s="80">
        <f t="shared" si="12"/>
        <v>0</v>
      </c>
      <c r="G42" s="178"/>
      <c r="H42" s="80">
        <f t="shared" si="13"/>
        <v>0</v>
      </c>
      <c r="I42" s="178"/>
      <c r="J42" s="80">
        <f t="shared" si="14"/>
        <v>0</v>
      </c>
      <c r="K42" s="178"/>
      <c r="L42" s="80">
        <f t="shared" si="15"/>
        <v>0</v>
      </c>
      <c r="M42" s="178"/>
      <c r="N42" s="80">
        <f t="shared" si="16"/>
        <v>0</v>
      </c>
      <c r="O42" s="178"/>
      <c r="P42" s="80">
        <f t="shared" si="17"/>
        <v>0</v>
      </c>
      <c r="Q42" s="178"/>
      <c r="R42" s="80">
        <f t="shared" si="18"/>
        <v>0</v>
      </c>
      <c r="S42" s="178"/>
      <c r="T42" s="80">
        <f t="shared" si="19"/>
        <v>0</v>
      </c>
      <c r="U42" s="178"/>
      <c r="V42" s="80">
        <f t="shared" si="20"/>
        <v>0</v>
      </c>
    </row>
    <row r="43" spans="1:22" ht="12.75" customHeight="1">
      <c r="A43" s="2" t="s">
        <v>391</v>
      </c>
      <c r="B43" s="35"/>
      <c r="C43" s="178"/>
      <c r="D43" s="80">
        <f t="shared" si="11"/>
        <v>0</v>
      </c>
      <c r="E43" s="178"/>
      <c r="F43" s="80">
        <f t="shared" si="12"/>
        <v>0</v>
      </c>
      <c r="G43" s="178"/>
      <c r="H43" s="80">
        <f t="shared" si="13"/>
        <v>0</v>
      </c>
      <c r="I43" s="178"/>
      <c r="J43" s="80">
        <f t="shared" si="14"/>
        <v>0</v>
      </c>
      <c r="K43" s="178"/>
      <c r="L43" s="80">
        <f t="shared" si="15"/>
        <v>0</v>
      </c>
      <c r="M43" s="178"/>
      <c r="N43" s="80">
        <f t="shared" si="16"/>
        <v>0</v>
      </c>
      <c r="O43" s="178"/>
      <c r="P43" s="80">
        <f t="shared" si="17"/>
        <v>0</v>
      </c>
      <c r="Q43" s="178"/>
      <c r="R43" s="80">
        <f t="shared" si="18"/>
        <v>0</v>
      </c>
      <c r="S43" s="178"/>
      <c r="T43" s="80">
        <f t="shared" si="19"/>
        <v>0</v>
      </c>
      <c r="U43" s="178"/>
      <c r="V43" s="80">
        <f t="shared" si="20"/>
        <v>0</v>
      </c>
    </row>
    <row r="44" spans="1:22" ht="12.75" customHeight="1">
      <c r="A44" s="2" t="s">
        <v>392</v>
      </c>
      <c r="B44" s="35"/>
      <c r="C44" s="178"/>
      <c r="D44" s="80">
        <f t="shared" si="11"/>
        <v>0</v>
      </c>
      <c r="E44" s="178"/>
      <c r="F44" s="80">
        <f t="shared" si="12"/>
        <v>0</v>
      </c>
      <c r="G44" s="178"/>
      <c r="H44" s="80">
        <f t="shared" si="13"/>
        <v>0</v>
      </c>
      <c r="I44" s="178"/>
      <c r="J44" s="80">
        <f t="shared" si="14"/>
        <v>0</v>
      </c>
      <c r="K44" s="178"/>
      <c r="L44" s="80">
        <f t="shared" si="15"/>
        <v>0</v>
      </c>
      <c r="M44" s="178"/>
      <c r="N44" s="80">
        <f t="shared" si="16"/>
        <v>0</v>
      </c>
      <c r="O44" s="178"/>
      <c r="P44" s="80">
        <f t="shared" si="17"/>
        <v>0</v>
      </c>
      <c r="Q44" s="178"/>
      <c r="R44" s="80">
        <f t="shared" si="18"/>
        <v>0</v>
      </c>
      <c r="S44" s="178"/>
      <c r="T44" s="80">
        <f t="shared" si="19"/>
        <v>0</v>
      </c>
      <c r="U44" s="178"/>
      <c r="V44" s="80">
        <f t="shared" si="20"/>
        <v>0</v>
      </c>
    </row>
    <row r="45" spans="1:22" ht="12.75" customHeight="1">
      <c r="A45" s="2" t="s">
        <v>393</v>
      </c>
      <c r="B45" s="35"/>
      <c r="C45" s="181">
        <f>SUM(C36:C39)*0.094</f>
        <v>7772.9539999999997</v>
      </c>
      <c r="D45" s="80">
        <f t="shared" si="11"/>
        <v>2.8472358974358972E-2</v>
      </c>
      <c r="E45" s="181">
        <f>SUM(E36:E39)*0.094</f>
        <v>8643.5248480000009</v>
      </c>
      <c r="F45" s="80">
        <f t="shared" si="12"/>
        <v>3.0434946647887328E-2</v>
      </c>
      <c r="G45" s="114"/>
      <c r="H45" s="80">
        <f t="shared" si="13"/>
        <v>0</v>
      </c>
      <c r="I45" s="114">
        <f>SUM(I36:I39)*0.094</f>
        <v>0</v>
      </c>
      <c r="J45" s="80">
        <f t="shared" si="14"/>
        <v>0</v>
      </c>
      <c r="K45" s="114">
        <f>SUM(K36:K39)*0.094</f>
        <v>0</v>
      </c>
      <c r="L45" s="80">
        <f t="shared" si="15"/>
        <v>0</v>
      </c>
      <c r="M45" s="114">
        <f>SUM(M36:M39)*0.094</f>
        <v>0</v>
      </c>
      <c r="N45" s="80">
        <f t="shared" si="16"/>
        <v>0</v>
      </c>
      <c r="O45" s="114">
        <f>SUM(O36:O39)*0.094</f>
        <v>0</v>
      </c>
      <c r="P45" s="80">
        <f t="shared" si="17"/>
        <v>0</v>
      </c>
      <c r="Q45" s="114">
        <f>SUM(Q36:Q39)*0.094</f>
        <v>0</v>
      </c>
      <c r="R45" s="80">
        <f t="shared" si="18"/>
        <v>0</v>
      </c>
      <c r="S45" s="114">
        <f>SUM(S36:S39)*0.094</f>
        <v>0</v>
      </c>
      <c r="T45" s="80">
        <f t="shared" si="19"/>
        <v>0</v>
      </c>
      <c r="U45" s="114">
        <f>SUM(U36:U39)*0.094</f>
        <v>0</v>
      </c>
      <c r="V45" s="80">
        <f t="shared" si="20"/>
        <v>0</v>
      </c>
    </row>
    <row r="46" spans="1:22" ht="12.75" customHeight="1">
      <c r="A46" s="1" t="s">
        <v>394</v>
      </c>
      <c r="B46" s="53"/>
      <c r="C46" s="82">
        <f>SUM(C36:C45)</f>
        <v>98430.209999999992</v>
      </c>
      <c r="D46" s="83">
        <f t="shared" si="11"/>
        <v>0.36055021978021973</v>
      </c>
      <c r="E46" s="82">
        <f>SUM(E36:E45)</f>
        <v>109454.39352000001</v>
      </c>
      <c r="F46" s="83">
        <f t="shared" si="12"/>
        <v>0.38540279408450706</v>
      </c>
      <c r="G46" s="82">
        <f>SUM(G36:G45)</f>
        <v>0</v>
      </c>
      <c r="H46" s="83">
        <f t="shared" si="13"/>
        <v>0</v>
      </c>
      <c r="I46" s="82">
        <f>SUM(I36:I45)</f>
        <v>0</v>
      </c>
      <c r="J46" s="83">
        <f t="shared" si="14"/>
        <v>0</v>
      </c>
      <c r="K46" s="82">
        <f>SUM(K36:K45)</f>
        <v>0</v>
      </c>
      <c r="L46" s="83">
        <f t="shared" si="15"/>
        <v>0</v>
      </c>
      <c r="M46" s="82">
        <f>SUM(M36:M45)</f>
        <v>0</v>
      </c>
      <c r="N46" s="83">
        <f t="shared" si="16"/>
        <v>0</v>
      </c>
      <c r="O46" s="82">
        <f>SUM(O36:O45)</f>
        <v>0</v>
      </c>
      <c r="P46" s="83">
        <f t="shared" si="17"/>
        <v>0</v>
      </c>
      <c r="Q46" s="82">
        <f>SUM(Q36:Q45)</f>
        <v>0</v>
      </c>
      <c r="R46" s="83">
        <f t="shared" si="18"/>
        <v>0</v>
      </c>
      <c r="S46" s="82">
        <f>SUM(S36:S45)</f>
        <v>0</v>
      </c>
      <c r="T46" s="83">
        <f t="shared" si="19"/>
        <v>0</v>
      </c>
      <c r="U46" s="82">
        <f>SUM(U36:U45)</f>
        <v>0</v>
      </c>
      <c r="V46" s="83">
        <f t="shared" si="20"/>
        <v>0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366</v>
      </c>
      <c r="E50" s="86" t="str">
        <f>E6</f>
        <v>FY 2019-20</v>
      </c>
      <c r="F50" s="86" t="s">
        <v>366</v>
      </c>
      <c r="G50" s="86" t="str">
        <f>G6</f>
        <v>FY 2020-21</v>
      </c>
      <c r="H50" s="86" t="s">
        <v>366</v>
      </c>
      <c r="I50" s="86" t="str">
        <f>I6</f>
        <v>FY 2021-22</v>
      </c>
      <c r="J50" s="86" t="s">
        <v>366</v>
      </c>
      <c r="K50" s="86" t="str">
        <f>K6</f>
        <v>FY 2022-23</v>
      </c>
      <c r="L50" s="86" t="s">
        <v>366</v>
      </c>
      <c r="M50" s="86" t="str">
        <f>M6</f>
        <v>FY 2023-24</v>
      </c>
      <c r="N50" s="86" t="s">
        <v>366</v>
      </c>
      <c r="O50" s="86" t="str">
        <f>O6</f>
        <v>FY 2024-25</v>
      </c>
      <c r="P50" s="86" t="s">
        <v>366</v>
      </c>
      <c r="Q50" s="86" t="str">
        <f>Q6</f>
        <v>FY 2025-26</v>
      </c>
      <c r="R50" s="86" t="s">
        <v>366</v>
      </c>
      <c r="S50" s="86" t="str">
        <f>S6</f>
        <v>FY 2026-27</v>
      </c>
      <c r="T50" s="86" t="s">
        <v>366</v>
      </c>
      <c r="U50" s="86" t="str">
        <f>U6</f>
        <v>FY 2027-28</v>
      </c>
      <c r="V50" s="86" t="s">
        <v>366</v>
      </c>
    </row>
    <row r="51" spans="1:24" ht="12.75" customHeight="1">
      <c r="A51" s="1" t="s">
        <v>395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396</v>
      </c>
      <c r="B52" s="35"/>
      <c r="C52" s="178">
        <v>0</v>
      </c>
      <c r="D52" s="80">
        <f t="shared" ref="D52:D104" si="22">IFERROR(C52/C$28,0)</f>
        <v>0</v>
      </c>
      <c r="E52" s="178">
        <v>0</v>
      </c>
      <c r="F52" s="80">
        <f t="shared" ref="F52:F104" si="23">IFERROR(E52/E$28,0)</f>
        <v>0</v>
      </c>
      <c r="G52" s="178">
        <v>0</v>
      </c>
      <c r="H52" s="80">
        <f t="shared" ref="H52:H104" si="24">IFERROR(G52/G$28,0)</f>
        <v>0</v>
      </c>
      <c r="I52" s="178">
        <v>0</v>
      </c>
      <c r="J52" s="80">
        <f t="shared" ref="J52:J104" si="25">IFERROR(I52/I$28,0)</f>
        <v>0</v>
      </c>
      <c r="K52" s="178">
        <v>0</v>
      </c>
      <c r="L52" s="80">
        <f t="shared" ref="L52:L104" si="26">IFERROR(K52/K$28,0)</f>
        <v>0</v>
      </c>
      <c r="M52" s="178">
        <v>0</v>
      </c>
      <c r="N52" s="80">
        <f t="shared" ref="N52:N104" si="27">IFERROR(M52/M$28,0)</f>
        <v>0</v>
      </c>
      <c r="O52" s="178">
        <v>0</v>
      </c>
      <c r="P52" s="80">
        <f t="shared" ref="P52:P104" si="28">IFERROR(O52/O$28,0)</f>
        <v>0</v>
      </c>
      <c r="Q52" s="178">
        <v>0</v>
      </c>
      <c r="R52" s="80">
        <f t="shared" ref="R52:R104" si="29">IFERROR(Q52/Q$28,0)</f>
        <v>0</v>
      </c>
      <c r="S52" s="178">
        <v>0</v>
      </c>
      <c r="T52" s="80">
        <f t="shared" ref="T52:T104" si="30">IFERROR(S52/S$28,0)</f>
        <v>0</v>
      </c>
      <c r="U52" s="178">
        <v>0</v>
      </c>
      <c r="V52" s="80">
        <f t="shared" ref="V52:V105" si="31">IFERROR(U52/U$28,0)</f>
        <v>0</v>
      </c>
      <c r="X52" s="192"/>
    </row>
    <row r="53" spans="1:24" ht="12.75" customHeight="1">
      <c r="A53" s="2" t="s">
        <v>397</v>
      </c>
      <c r="B53" s="35"/>
      <c r="C53" s="178">
        <v>0</v>
      </c>
      <c r="D53" s="80">
        <f t="shared" si="22"/>
        <v>0</v>
      </c>
      <c r="E53" s="178">
        <v>0</v>
      </c>
      <c r="F53" s="80">
        <f t="shared" si="23"/>
        <v>0</v>
      </c>
      <c r="G53" s="178">
        <v>0</v>
      </c>
      <c r="H53" s="80">
        <f t="shared" si="24"/>
        <v>0</v>
      </c>
      <c r="I53" s="178">
        <v>0</v>
      </c>
      <c r="J53" s="80">
        <f t="shared" si="25"/>
        <v>0</v>
      </c>
      <c r="K53" s="178">
        <v>0</v>
      </c>
      <c r="L53" s="80">
        <f t="shared" si="26"/>
        <v>0</v>
      </c>
      <c r="M53" s="178">
        <v>0</v>
      </c>
      <c r="N53" s="80">
        <f t="shared" si="27"/>
        <v>0</v>
      </c>
      <c r="O53" s="178">
        <v>0</v>
      </c>
      <c r="P53" s="80">
        <f t="shared" si="28"/>
        <v>0</v>
      </c>
      <c r="Q53" s="178">
        <v>0</v>
      </c>
      <c r="R53" s="80">
        <f t="shared" si="29"/>
        <v>0</v>
      </c>
      <c r="S53" s="178">
        <v>0</v>
      </c>
      <c r="T53" s="80">
        <f t="shared" si="30"/>
        <v>0</v>
      </c>
      <c r="U53" s="178">
        <v>0</v>
      </c>
      <c r="V53" s="80">
        <f t="shared" si="31"/>
        <v>0</v>
      </c>
      <c r="X53" s="192"/>
    </row>
    <row r="54" spans="1:24" ht="12.75" customHeight="1">
      <c r="A54" s="2" t="s">
        <v>398</v>
      </c>
      <c r="B54" s="35"/>
      <c r="C54" s="178">
        <v>191.1</v>
      </c>
      <c r="D54" s="80">
        <f t="shared" si="22"/>
        <v>6.9999999999999999E-4</v>
      </c>
      <c r="E54" s="178">
        <v>198.79999999999998</v>
      </c>
      <c r="F54" s="80">
        <f t="shared" si="23"/>
        <v>6.9999999999999999E-4</v>
      </c>
      <c r="G54" s="178">
        <v>0</v>
      </c>
      <c r="H54" s="80">
        <f t="shared" si="24"/>
        <v>0</v>
      </c>
      <c r="I54" s="178">
        <v>0</v>
      </c>
      <c r="J54" s="80">
        <f t="shared" si="25"/>
        <v>0</v>
      </c>
      <c r="K54" s="178">
        <v>0</v>
      </c>
      <c r="L54" s="80">
        <f t="shared" si="26"/>
        <v>0</v>
      </c>
      <c r="M54" s="178">
        <v>0</v>
      </c>
      <c r="N54" s="80">
        <f t="shared" si="27"/>
        <v>0</v>
      </c>
      <c r="O54" s="178">
        <v>0</v>
      </c>
      <c r="P54" s="80">
        <f t="shared" si="28"/>
        <v>0</v>
      </c>
      <c r="Q54" s="178">
        <v>0</v>
      </c>
      <c r="R54" s="80">
        <f t="shared" si="29"/>
        <v>0</v>
      </c>
      <c r="S54" s="178">
        <v>0</v>
      </c>
      <c r="T54" s="80">
        <f t="shared" si="30"/>
        <v>0</v>
      </c>
      <c r="U54" s="178">
        <v>0</v>
      </c>
      <c r="V54" s="80">
        <f t="shared" si="31"/>
        <v>0</v>
      </c>
      <c r="X54" s="192"/>
    </row>
    <row r="55" spans="1:24" ht="12.75" customHeight="1">
      <c r="A55" s="2" t="s">
        <v>399</v>
      </c>
      <c r="B55" s="35"/>
      <c r="C55" s="178">
        <v>21840</v>
      </c>
      <c r="D55" s="80">
        <f t="shared" si="22"/>
        <v>0.08</v>
      </c>
      <c r="E55" s="178">
        <v>22720</v>
      </c>
      <c r="F55" s="80">
        <f t="shared" si="23"/>
        <v>0.08</v>
      </c>
      <c r="G55" s="178">
        <v>0</v>
      </c>
      <c r="H55" s="80">
        <f t="shared" si="24"/>
        <v>0</v>
      </c>
      <c r="I55" s="178">
        <v>0</v>
      </c>
      <c r="J55" s="80">
        <f t="shared" si="25"/>
        <v>0</v>
      </c>
      <c r="K55" s="178">
        <v>0</v>
      </c>
      <c r="L55" s="80">
        <f t="shared" si="26"/>
        <v>0</v>
      </c>
      <c r="M55" s="178">
        <v>0</v>
      </c>
      <c r="N55" s="80">
        <f t="shared" si="27"/>
        <v>0</v>
      </c>
      <c r="O55" s="178">
        <v>0</v>
      </c>
      <c r="P55" s="80">
        <f t="shared" si="28"/>
        <v>0</v>
      </c>
      <c r="Q55" s="178">
        <v>0</v>
      </c>
      <c r="R55" s="80">
        <f t="shared" si="29"/>
        <v>0</v>
      </c>
      <c r="S55" s="178">
        <v>0</v>
      </c>
      <c r="T55" s="80">
        <f t="shared" si="30"/>
        <v>0</v>
      </c>
      <c r="U55" s="178">
        <v>0</v>
      </c>
      <c r="V55" s="80">
        <f t="shared" si="31"/>
        <v>0</v>
      </c>
      <c r="X55" s="192"/>
    </row>
    <row r="56" spans="1:24" ht="12.75" customHeight="1">
      <c r="A56" s="2" t="s">
        <v>400</v>
      </c>
      <c r="B56" s="35"/>
      <c r="C56" s="178">
        <v>139.22999999999999</v>
      </c>
      <c r="D56" s="80">
        <f t="shared" si="22"/>
        <v>5.0999999999999993E-4</v>
      </c>
      <c r="E56" s="178">
        <v>144.84</v>
      </c>
      <c r="F56" s="80">
        <f t="shared" si="23"/>
        <v>5.1000000000000004E-4</v>
      </c>
      <c r="G56" s="178">
        <v>0</v>
      </c>
      <c r="H56" s="80">
        <f t="shared" si="24"/>
        <v>0</v>
      </c>
      <c r="I56" s="178">
        <v>0</v>
      </c>
      <c r="J56" s="80">
        <f t="shared" si="25"/>
        <v>0</v>
      </c>
      <c r="K56" s="178">
        <v>0</v>
      </c>
      <c r="L56" s="80">
        <f t="shared" si="26"/>
        <v>0</v>
      </c>
      <c r="M56" s="178">
        <v>0</v>
      </c>
      <c r="N56" s="80">
        <f t="shared" si="27"/>
        <v>0</v>
      </c>
      <c r="O56" s="178">
        <v>0</v>
      </c>
      <c r="P56" s="80">
        <f t="shared" si="28"/>
        <v>0</v>
      </c>
      <c r="Q56" s="178">
        <v>0</v>
      </c>
      <c r="R56" s="80">
        <f t="shared" si="29"/>
        <v>0</v>
      </c>
      <c r="S56" s="178">
        <v>0</v>
      </c>
      <c r="T56" s="80">
        <f t="shared" si="30"/>
        <v>0</v>
      </c>
      <c r="U56" s="178">
        <v>0</v>
      </c>
      <c r="V56" s="80">
        <f t="shared" si="31"/>
        <v>0</v>
      </c>
      <c r="X56" s="192"/>
    </row>
    <row r="57" spans="1:24" ht="12.75" customHeight="1">
      <c r="A57" s="2" t="s">
        <v>401</v>
      </c>
      <c r="B57" s="35"/>
      <c r="C57" s="178">
        <v>0</v>
      </c>
      <c r="D57" s="80">
        <f t="shared" si="22"/>
        <v>0</v>
      </c>
      <c r="E57" s="178">
        <v>0</v>
      </c>
      <c r="F57" s="80">
        <f t="shared" si="23"/>
        <v>0</v>
      </c>
      <c r="G57" s="178">
        <v>0</v>
      </c>
      <c r="H57" s="80">
        <f t="shared" si="24"/>
        <v>0</v>
      </c>
      <c r="I57" s="178">
        <v>0</v>
      </c>
      <c r="J57" s="80">
        <f t="shared" si="25"/>
        <v>0</v>
      </c>
      <c r="K57" s="178">
        <v>0</v>
      </c>
      <c r="L57" s="80">
        <f t="shared" si="26"/>
        <v>0</v>
      </c>
      <c r="M57" s="178">
        <v>0</v>
      </c>
      <c r="N57" s="80">
        <f t="shared" si="27"/>
        <v>0</v>
      </c>
      <c r="O57" s="178">
        <v>0</v>
      </c>
      <c r="P57" s="80">
        <f t="shared" si="28"/>
        <v>0</v>
      </c>
      <c r="Q57" s="178">
        <v>0</v>
      </c>
      <c r="R57" s="80">
        <f t="shared" si="29"/>
        <v>0</v>
      </c>
      <c r="S57" s="178">
        <v>0</v>
      </c>
      <c r="T57" s="80">
        <f t="shared" si="30"/>
        <v>0</v>
      </c>
      <c r="U57" s="178">
        <v>0</v>
      </c>
      <c r="V57" s="80">
        <f t="shared" si="31"/>
        <v>0</v>
      </c>
      <c r="X57" s="192"/>
    </row>
    <row r="58" spans="1:24" ht="12.75" customHeight="1">
      <c r="A58" s="2" t="s">
        <v>402</v>
      </c>
      <c r="B58" s="35"/>
      <c r="C58" s="178">
        <v>0</v>
      </c>
      <c r="D58" s="80">
        <f t="shared" si="22"/>
        <v>0</v>
      </c>
      <c r="E58" s="178">
        <v>0</v>
      </c>
      <c r="F58" s="80">
        <f t="shared" si="23"/>
        <v>0</v>
      </c>
      <c r="G58" s="178">
        <v>0</v>
      </c>
      <c r="H58" s="80">
        <f t="shared" si="24"/>
        <v>0</v>
      </c>
      <c r="I58" s="178">
        <v>0</v>
      </c>
      <c r="J58" s="80">
        <f t="shared" si="25"/>
        <v>0</v>
      </c>
      <c r="K58" s="178">
        <v>0</v>
      </c>
      <c r="L58" s="80">
        <f t="shared" si="26"/>
        <v>0</v>
      </c>
      <c r="M58" s="178">
        <v>0</v>
      </c>
      <c r="N58" s="80">
        <f t="shared" si="27"/>
        <v>0</v>
      </c>
      <c r="O58" s="178">
        <v>0</v>
      </c>
      <c r="P58" s="80">
        <f t="shared" si="28"/>
        <v>0</v>
      </c>
      <c r="Q58" s="178">
        <v>0</v>
      </c>
      <c r="R58" s="80">
        <f t="shared" si="29"/>
        <v>0</v>
      </c>
      <c r="S58" s="178">
        <v>0</v>
      </c>
      <c r="T58" s="80">
        <f t="shared" si="30"/>
        <v>0</v>
      </c>
      <c r="U58" s="178">
        <v>0</v>
      </c>
      <c r="V58" s="80">
        <f t="shared" si="31"/>
        <v>0</v>
      </c>
      <c r="X58" s="192"/>
    </row>
    <row r="59" spans="1:24" ht="12.75" customHeight="1">
      <c r="A59" s="2" t="s">
        <v>403</v>
      </c>
      <c r="B59" s="35"/>
      <c r="C59" s="178"/>
      <c r="D59" s="80">
        <f t="shared" si="22"/>
        <v>0</v>
      </c>
      <c r="E59" s="178"/>
      <c r="F59" s="80">
        <f t="shared" si="23"/>
        <v>0</v>
      </c>
      <c r="G59" s="178"/>
      <c r="H59" s="80">
        <f t="shared" si="24"/>
        <v>0</v>
      </c>
      <c r="I59" s="178"/>
      <c r="J59" s="80">
        <f t="shared" si="25"/>
        <v>0</v>
      </c>
      <c r="K59" s="178"/>
      <c r="L59" s="80">
        <f t="shared" si="26"/>
        <v>0</v>
      </c>
      <c r="M59" s="178"/>
      <c r="N59" s="80">
        <f t="shared" si="27"/>
        <v>0</v>
      </c>
      <c r="O59" s="178"/>
      <c r="P59" s="80">
        <f t="shared" si="28"/>
        <v>0</v>
      </c>
      <c r="Q59" s="178"/>
      <c r="R59" s="80">
        <f t="shared" si="29"/>
        <v>0</v>
      </c>
      <c r="S59" s="178"/>
      <c r="T59" s="80">
        <f t="shared" si="30"/>
        <v>0</v>
      </c>
      <c r="U59" s="178"/>
      <c r="V59" s="80">
        <f t="shared" si="31"/>
        <v>0</v>
      </c>
      <c r="X59" s="192"/>
    </row>
    <row r="60" spans="1:24" ht="12.75" customHeight="1">
      <c r="A60" s="2" t="s">
        <v>404</v>
      </c>
      <c r="B60" s="35"/>
      <c r="C60" s="178">
        <v>0</v>
      </c>
      <c r="D60" s="80">
        <f t="shared" si="22"/>
        <v>0</v>
      </c>
      <c r="E60" s="178">
        <v>0</v>
      </c>
      <c r="F60" s="80">
        <f t="shared" si="23"/>
        <v>0</v>
      </c>
      <c r="G60" s="178">
        <v>0</v>
      </c>
      <c r="H60" s="80">
        <f t="shared" si="24"/>
        <v>0</v>
      </c>
      <c r="I60" s="178">
        <v>0</v>
      </c>
      <c r="J60" s="80">
        <f t="shared" si="25"/>
        <v>0</v>
      </c>
      <c r="K60" s="178">
        <v>0</v>
      </c>
      <c r="L60" s="80">
        <f t="shared" si="26"/>
        <v>0</v>
      </c>
      <c r="M60" s="178">
        <v>0</v>
      </c>
      <c r="N60" s="80">
        <f t="shared" si="27"/>
        <v>0</v>
      </c>
      <c r="O60" s="178">
        <v>0</v>
      </c>
      <c r="P60" s="80">
        <f t="shared" si="28"/>
        <v>0</v>
      </c>
      <c r="Q60" s="178">
        <v>0</v>
      </c>
      <c r="R60" s="80">
        <f t="shared" si="29"/>
        <v>0</v>
      </c>
      <c r="S60" s="178">
        <v>0</v>
      </c>
      <c r="T60" s="80">
        <f t="shared" si="30"/>
        <v>0</v>
      </c>
      <c r="U60" s="178">
        <v>0</v>
      </c>
      <c r="V60" s="80">
        <f t="shared" si="31"/>
        <v>0</v>
      </c>
      <c r="X60" s="192"/>
    </row>
    <row r="61" spans="1:24" ht="12.75" customHeight="1">
      <c r="A61" s="2" t="s">
        <v>405</v>
      </c>
      <c r="B61" s="35"/>
      <c r="C61" s="178">
        <v>0</v>
      </c>
      <c r="D61" s="80">
        <f t="shared" si="22"/>
        <v>0</v>
      </c>
      <c r="E61" s="178">
        <v>0</v>
      </c>
      <c r="F61" s="80">
        <f t="shared" si="23"/>
        <v>0</v>
      </c>
      <c r="G61" s="178">
        <v>0</v>
      </c>
      <c r="H61" s="80">
        <f t="shared" si="24"/>
        <v>0</v>
      </c>
      <c r="I61" s="178">
        <v>0</v>
      </c>
      <c r="J61" s="80">
        <f t="shared" si="25"/>
        <v>0</v>
      </c>
      <c r="K61" s="178">
        <v>0</v>
      </c>
      <c r="L61" s="80">
        <f t="shared" si="26"/>
        <v>0</v>
      </c>
      <c r="M61" s="178">
        <v>0</v>
      </c>
      <c r="N61" s="80">
        <f t="shared" si="27"/>
        <v>0</v>
      </c>
      <c r="O61" s="178">
        <v>0</v>
      </c>
      <c r="P61" s="80">
        <f t="shared" si="28"/>
        <v>0</v>
      </c>
      <c r="Q61" s="178">
        <v>0</v>
      </c>
      <c r="R61" s="80">
        <f t="shared" si="29"/>
        <v>0</v>
      </c>
      <c r="S61" s="178">
        <v>0</v>
      </c>
      <c r="T61" s="80">
        <f t="shared" si="30"/>
        <v>0</v>
      </c>
      <c r="U61" s="178">
        <v>0</v>
      </c>
      <c r="V61" s="80">
        <f t="shared" si="31"/>
        <v>0</v>
      </c>
      <c r="X61" s="192"/>
    </row>
    <row r="62" spans="1:24" ht="12.75" customHeight="1">
      <c r="A62" s="2" t="s">
        <v>406</v>
      </c>
      <c r="B62" s="35"/>
      <c r="C62" s="178">
        <v>0</v>
      </c>
      <c r="D62" s="80">
        <f t="shared" si="22"/>
        <v>0</v>
      </c>
      <c r="E62" s="178">
        <v>0</v>
      </c>
      <c r="F62" s="80">
        <f t="shared" si="23"/>
        <v>0</v>
      </c>
      <c r="G62" s="178">
        <v>0</v>
      </c>
      <c r="H62" s="80">
        <f t="shared" si="24"/>
        <v>0</v>
      </c>
      <c r="I62" s="178">
        <v>0</v>
      </c>
      <c r="J62" s="80">
        <f t="shared" si="25"/>
        <v>0</v>
      </c>
      <c r="K62" s="178">
        <v>0</v>
      </c>
      <c r="L62" s="80">
        <f t="shared" si="26"/>
        <v>0</v>
      </c>
      <c r="M62" s="178">
        <v>0</v>
      </c>
      <c r="N62" s="80">
        <f t="shared" si="27"/>
        <v>0</v>
      </c>
      <c r="O62" s="178">
        <v>0</v>
      </c>
      <c r="P62" s="80">
        <f t="shared" si="28"/>
        <v>0</v>
      </c>
      <c r="Q62" s="178">
        <v>0</v>
      </c>
      <c r="R62" s="80">
        <f t="shared" si="29"/>
        <v>0</v>
      </c>
      <c r="S62" s="178">
        <v>0</v>
      </c>
      <c r="T62" s="80">
        <f t="shared" si="30"/>
        <v>0</v>
      </c>
      <c r="U62" s="178">
        <v>0</v>
      </c>
      <c r="V62" s="80">
        <f t="shared" si="31"/>
        <v>0</v>
      </c>
      <c r="X62" s="192"/>
    </row>
    <row r="63" spans="1:24" ht="12.75" customHeight="1">
      <c r="A63" s="2" t="s">
        <v>407</v>
      </c>
      <c r="B63" s="35"/>
      <c r="C63" s="178">
        <v>3321.230597311122</v>
      </c>
      <c r="D63" s="80">
        <f t="shared" si="22"/>
        <v>1.2165679843630484E-2</v>
      </c>
      <c r="E63" s="178">
        <v>3506.0626521102968</v>
      </c>
      <c r="F63" s="80">
        <f t="shared" si="23"/>
        <v>1.2345291028557383E-2</v>
      </c>
      <c r="G63" s="178">
        <v>0</v>
      </c>
      <c r="H63" s="80">
        <f t="shared" si="24"/>
        <v>0</v>
      </c>
      <c r="I63" s="178">
        <v>0</v>
      </c>
      <c r="J63" s="80">
        <f t="shared" si="25"/>
        <v>0</v>
      </c>
      <c r="K63" s="178">
        <v>0</v>
      </c>
      <c r="L63" s="80">
        <f t="shared" si="26"/>
        <v>0</v>
      </c>
      <c r="M63" s="178">
        <v>0</v>
      </c>
      <c r="N63" s="80">
        <f t="shared" si="27"/>
        <v>0</v>
      </c>
      <c r="O63" s="178">
        <v>0</v>
      </c>
      <c r="P63" s="80">
        <f t="shared" si="28"/>
        <v>0</v>
      </c>
      <c r="Q63" s="178">
        <v>0</v>
      </c>
      <c r="R63" s="80">
        <f t="shared" si="29"/>
        <v>0</v>
      </c>
      <c r="S63" s="178">
        <v>0</v>
      </c>
      <c r="T63" s="80">
        <f t="shared" si="30"/>
        <v>0</v>
      </c>
      <c r="U63" s="178">
        <v>0</v>
      </c>
      <c r="V63" s="80">
        <f t="shared" si="31"/>
        <v>0</v>
      </c>
      <c r="X63" s="192"/>
    </row>
    <row r="64" spans="1:24" ht="12.75" customHeight="1">
      <c r="A64" s="2" t="s">
        <v>408</v>
      </c>
      <c r="B64" s="35"/>
      <c r="C64" s="178">
        <v>1310.3999999999999</v>
      </c>
      <c r="D64" s="80">
        <f t="shared" si="22"/>
        <v>4.7999999999999996E-3</v>
      </c>
      <c r="E64" s="178">
        <v>1363.1999999999998</v>
      </c>
      <c r="F64" s="80">
        <f t="shared" si="23"/>
        <v>4.7999999999999996E-3</v>
      </c>
      <c r="G64" s="178">
        <v>0</v>
      </c>
      <c r="H64" s="80">
        <f t="shared" si="24"/>
        <v>0</v>
      </c>
      <c r="I64" s="178">
        <v>0</v>
      </c>
      <c r="J64" s="80">
        <f t="shared" si="25"/>
        <v>0</v>
      </c>
      <c r="K64" s="178">
        <v>0</v>
      </c>
      <c r="L64" s="80">
        <f t="shared" si="26"/>
        <v>0</v>
      </c>
      <c r="M64" s="178">
        <v>0</v>
      </c>
      <c r="N64" s="80">
        <f t="shared" si="27"/>
        <v>0</v>
      </c>
      <c r="O64" s="178">
        <v>0</v>
      </c>
      <c r="P64" s="80">
        <f t="shared" si="28"/>
        <v>0</v>
      </c>
      <c r="Q64" s="178">
        <v>0</v>
      </c>
      <c r="R64" s="80">
        <f t="shared" si="29"/>
        <v>0</v>
      </c>
      <c r="S64" s="178">
        <v>0</v>
      </c>
      <c r="T64" s="80">
        <f t="shared" si="30"/>
        <v>0</v>
      </c>
      <c r="U64" s="178">
        <v>0</v>
      </c>
      <c r="V64" s="80">
        <f t="shared" si="31"/>
        <v>0</v>
      </c>
      <c r="X64" s="192"/>
    </row>
    <row r="65" spans="1:24" ht="12.75" customHeight="1">
      <c r="A65" s="2" t="s">
        <v>409</v>
      </c>
      <c r="B65" s="35"/>
      <c r="C65" s="178">
        <v>136.5</v>
      </c>
      <c r="D65" s="80">
        <f t="shared" si="22"/>
        <v>5.0000000000000001E-4</v>
      </c>
      <c r="E65" s="178">
        <v>142</v>
      </c>
      <c r="F65" s="80">
        <f t="shared" si="23"/>
        <v>5.0000000000000001E-4</v>
      </c>
      <c r="G65" s="178">
        <v>0</v>
      </c>
      <c r="H65" s="80">
        <f t="shared" si="24"/>
        <v>0</v>
      </c>
      <c r="I65" s="178">
        <v>0</v>
      </c>
      <c r="J65" s="80">
        <f t="shared" si="25"/>
        <v>0</v>
      </c>
      <c r="K65" s="178">
        <v>0</v>
      </c>
      <c r="L65" s="80">
        <f t="shared" si="26"/>
        <v>0</v>
      </c>
      <c r="M65" s="178">
        <v>0</v>
      </c>
      <c r="N65" s="80">
        <f t="shared" si="27"/>
        <v>0</v>
      </c>
      <c r="O65" s="178">
        <v>0</v>
      </c>
      <c r="P65" s="80">
        <f t="shared" si="28"/>
        <v>0</v>
      </c>
      <c r="Q65" s="178">
        <v>0</v>
      </c>
      <c r="R65" s="80">
        <f t="shared" si="29"/>
        <v>0</v>
      </c>
      <c r="S65" s="178">
        <v>0</v>
      </c>
      <c r="T65" s="80">
        <f t="shared" si="30"/>
        <v>0</v>
      </c>
      <c r="U65" s="178">
        <v>0</v>
      </c>
      <c r="V65" s="80">
        <f t="shared" si="31"/>
        <v>0</v>
      </c>
      <c r="X65" s="192"/>
    </row>
    <row r="66" spans="1:24" ht="12.75" customHeight="1">
      <c r="A66" s="2" t="s">
        <v>410</v>
      </c>
      <c r="B66" s="35"/>
      <c r="C66" s="178">
        <v>764.4</v>
      </c>
      <c r="D66" s="80">
        <f t="shared" si="22"/>
        <v>2.8E-3</v>
      </c>
      <c r="E66" s="178">
        <v>795.19999999999993</v>
      </c>
      <c r="F66" s="80">
        <f t="shared" si="23"/>
        <v>2.8E-3</v>
      </c>
      <c r="G66" s="178">
        <v>0</v>
      </c>
      <c r="H66" s="80">
        <f t="shared" si="24"/>
        <v>0</v>
      </c>
      <c r="I66" s="178">
        <v>0</v>
      </c>
      <c r="J66" s="80">
        <f t="shared" si="25"/>
        <v>0</v>
      </c>
      <c r="K66" s="178">
        <v>0</v>
      </c>
      <c r="L66" s="80">
        <f t="shared" si="26"/>
        <v>0</v>
      </c>
      <c r="M66" s="178">
        <v>0</v>
      </c>
      <c r="N66" s="80">
        <f t="shared" si="27"/>
        <v>0</v>
      </c>
      <c r="O66" s="178">
        <v>0</v>
      </c>
      <c r="P66" s="80">
        <f t="shared" si="28"/>
        <v>0</v>
      </c>
      <c r="Q66" s="178">
        <v>0</v>
      </c>
      <c r="R66" s="80">
        <f t="shared" si="29"/>
        <v>0</v>
      </c>
      <c r="S66" s="178">
        <v>0</v>
      </c>
      <c r="T66" s="80">
        <f t="shared" si="30"/>
        <v>0</v>
      </c>
      <c r="U66" s="178">
        <v>0</v>
      </c>
      <c r="V66" s="80">
        <f t="shared" si="31"/>
        <v>0</v>
      </c>
      <c r="X66" s="192"/>
    </row>
    <row r="67" spans="1:24" ht="12.75" customHeight="1">
      <c r="A67" s="2" t="s">
        <v>411</v>
      </c>
      <c r="B67" s="35"/>
      <c r="C67" s="178">
        <v>4094.9999999999995</v>
      </c>
      <c r="D67" s="80">
        <f t="shared" si="22"/>
        <v>1.4999999999999998E-2</v>
      </c>
      <c r="E67" s="178">
        <v>4260</v>
      </c>
      <c r="F67" s="80">
        <f t="shared" si="23"/>
        <v>1.4999999999999999E-2</v>
      </c>
      <c r="G67" s="178">
        <v>0</v>
      </c>
      <c r="H67" s="80">
        <f t="shared" si="24"/>
        <v>0</v>
      </c>
      <c r="I67" s="178">
        <v>0</v>
      </c>
      <c r="J67" s="80">
        <f t="shared" si="25"/>
        <v>0</v>
      </c>
      <c r="K67" s="178">
        <v>0</v>
      </c>
      <c r="L67" s="80">
        <f t="shared" si="26"/>
        <v>0</v>
      </c>
      <c r="M67" s="178">
        <v>0</v>
      </c>
      <c r="N67" s="80">
        <f t="shared" si="27"/>
        <v>0</v>
      </c>
      <c r="O67" s="178">
        <v>0</v>
      </c>
      <c r="P67" s="80">
        <f t="shared" si="28"/>
        <v>0</v>
      </c>
      <c r="Q67" s="178">
        <v>0</v>
      </c>
      <c r="R67" s="80">
        <f t="shared" si="29"/>
        <v>0</v>
      </c>
      <c r="S67" s="178">
        <v>0</v>
      </c>
      <c r="T67" s="80">
        <f t="shared" si="30"/>
        <v>0</v>
      </c>
      <c r="U67" s="178">
        <v>0</v>
      </c>
      <c r="V67" s="80">
        <f t="shared" si="31"/>
        <v>0</v>
      </c>
      <c r="X67" s="192"/>
    </row>
    <row r="68" spans="1:24" ht="12.75" customHeight="1">
      <c r="A68" s="2" t="s">
        <v>412</v>
      </c>
      <c r="B68" s="35"/>
      <c r="C68" s="178">
        <v>464.09999999999997</v>
      </c>
      <c r="D68" s="80">
        <f t="shared" si="22"/>
        <v>1.6999999999999999E-3</v>
      </c>
      <c r="E68" s="178">
        <v>482.79999999999995</v>
      </c>
      <c r="F68" s="80">
        <f t="shared" si="23"/>
        <v>1.6999999999999999E-3</v>
      </c>
      <c r="G68" s="178">
        <v>0</v>
      </c>
      <c r="H68" s="80">
        <f t="shared" si="24"/>
        <v>0</v>
      </c>
      <c r="I68" s="178">
        <v>0</v>
      </c>
      <c r="J68" s="80">
        <f t="shared" si="25"/>
        <v>0</v>
      </c>
      <c r="K68" s="178">
        <v>0</v>
      </c>
      <c r="L68" s="80">
        <f t="shared" si="26"/>
        <v>0</v>
      </c>
      <c r="M68" s="178">
        <v>0</v>
      </c>
      <c r="N68" s="80">
        <f t="shared" si="27"/>
        <v>0</v>
      </c>
      <c r="O68" s="178">
        <v>0</v>
      </c>
      <c r="P68" s="80">
        <f t="shared" si="28"/>
        <v>0</v>
      </c>
      <c r="Q68" s="178">
        <v>0</v>
      </c>
      <c r="R68" s="80">
        <f t="shared" si="29"/>
        <v>0</v>
      </c>
      <c r="S68" s="178">
        <v>0</v>
      </c>
      <c r="T68" s="80">
        <f t="shared" si="30"/>
        <v>0</v>
      </c>
      <c r="U68" s="178">
        <v>0</v>
      </c>
      <c r="V68" s="80">
        <f t="shared" si="31"/>
        <v>0</v>
      </c>
      <c r="X68" s="192"/>
    </row>
    <row r="69" spans="1:24" ht="12.75" customHeight="1">
      <c r="A69" s="2" t="s">
        <v>413</v>
      </c>
      <c r="B69" s="35"/>
      <c r="C69" s="178">
        <v>0</v>
      </c>
      <c r="D69" s="80">
        <f t="shared" si="22"/>
        <v>0</v>
      </c>
      <c r="E69" s="178">
        <v>0</v>
      </c>
      <c r="F69" s="80">
        <f t="shared" si="23"/>
        <v>0</v>
      </c>
      <c r="G69" s="178">
        <v>0</v>
      </c>
      <c r="H69" s="80">
        <f t="shared" si="24"/>
        <v>0</v>
      </c>
      <c r="I69" s="178">
        <v>0</v>
      </c>
      <c r="J69" s="80">
        <f t="shared" si="25"/>
        <v>0</v>
      </c>
      <c r="K69" s="178">
        <v>0</v>
      </c>
      <c r="L69" s="80">
        <f t="shared" si="26"/>
        <v>0</v>
      </c>
      <c r="M69" s="178">
        <v>0</v>
      </c>
      <c r="N69" s="80">
        <f t="shared" si="27"/>
        <v>0</v>
      </c>
      <c r="O69" s="178">
        <v>0</v>
      </c>
      <c r="P69" s="80">
        <f t="shared" si="28"/>
        <v>0</v>
      </c>
      <c r="Q69" s="178">
        <v>0</v>
      </c>
      <c r="R69" s="80">
        <f t="shared" si="29"/>
        <v>0</v>
      </c>
      <c r="S69" s="178">
        <v>0</v>
      </c>
      <c r="T69" s="80">
        <f t="shared" si="30"/>
        <v>0</v>
      </c>
      <c r="U69" s="178">
        <v>0</v>
      </c>
      <c r="V69" s="80">
        <f t="shared" si="31"/>
        <v>0</v>
      </c>
      <c r="X69" s="192"/>
    </row>
    <row r="70" spans="1:24" ht="12.75" customHeight="1">
      <c r="A70" s="2" t="s">
        <v>414</v>
      </c>
      <c r="B70" s="35"/>
      <c r="C70" s="178">
        <v>27.3</v>
      </c>
      <c r="D70" s="80">
        <f t="shared" si="22"/>
        <v>1E-4</v>
      </c>
      <c r="E70" s="178">
        <v>28.400000000000002</v>
      </c>
      <c r="F70" s="80">
        <f t="shared" si="23"/>
        <v>1E-4</v>
      </c>
      <c r="G70" s="178">
        <v>0</v>
      </c>
      <c r="H70" s="80">
        <f t="shared" si="24"/>
        <v>0</v>
      </c>
      <c r="I70" s="178">
        <v>0</v>
      </c>
      <c r="J70" s="80">
        <f t="shared" si="25"/>
        <v>0</v>
      </c>
      <c r="K70" s="178">
        <v>0</v>
      </c>
      <c r="L70" s="80">
        <f t="shared" si="26"/>
        <v>0</v>
      </c>
      <c r="M70" s="178">
        <v>0</v>
      </c>
      <c r="N70" s="80">
        <f t="shared" si="27"/>
        <v>0</v>
      </c>
      <c r="O70" s="178">
        <v>0</v>
      </c>
      <c r="P70" s="80">
        <f t="shared" si="28"/>
        <v>0</v>
      </c>
      <c r="Q70" s="178">
        <v>0</v>
      </c>
      <c r="R70" s="80">
        <f t="shared" si="29"/>
        <v>0</v>
      </c>
      <c r="S70" s="178">
        <v>0</v>
      </c>
      <c r="T70" s="80">
        <f t="shared" si="30"/>
        <v>0</v>
      </c>
      <c r="U70" s="178">
        <v>0</v>
      </c>
      <c r="V70" s="80">
        <f t="shared" si="31"/>
        <v>0</v>
      </c>
      <c r="X70" s="192"/>
    </row>
    <row r="71" spans="1:24" ht="12.75" customHeight="1">
      <c r="A71" s="2" t="s">
        <v>415</v>
      </c>
      <c r="B71" s="35"/>
      <c r="C71" s="178">
        <v>0</v>
      </c>
      <c r="D71" s="80">
        <f t="shared" si="22"/>
        <v>0</v>
      </c>
      <c r="E71" s="178">
        <v>0</v>
      </c>
      <c r="F71" s="80">
        <f t="shared" si="23"/>
        <v>0</v>
      </c>
      <c r="G71" s="178">
        <v>0</v>
      </c>
      <c r="H71" s="80">
        <f t="shared" si="24"/>
        <v>0</v>
      </c>
      <c r="I71" s="178">
        <v>0</v>
      </c>
      <c r="J71" s="80">
        <f t="shared" si="25"/>
        <v>0</v>
      </c>
      <c r="K71" s="178">
        <v>0</v>
      </c>
      <c r="L71" s="80">
        <f t="shared" si="26"/>
        <v>0</v>
      </c>
      <c r="M71" s="178">
        <v>0</v>
      </c>
      <c r="N71" s="80">
        <f t="shared" si="27"/>
        <v>0</v>
      </c>
      <c r="O71" s="178">
        <v>0</v>
      </c>
      <c r="P71" s="80">
        <f t="shared" si="28"/>
        <v>0</v>
      </c>
      <c r="Q71" s="178">
        <v>0</v>
      </c>
      <c r="R71" s="80">
        <f t="shared" si="29"/>
        <v>0</v>
      </c>
      <c r="S71" s="178">
        <v>0</v>
      </c>
      <c r="T71" s="80">
        <f t="shared" si="30"/>
        <v>0</v>
      </c>
      <c r="U71" s="178">
        <v>0</v>
      </c>
      <c r="V71" s="80">
        <f t="shared" si="31"/>
        <v>0</v>
      </c>
      <c r="X71" s="192"/>
    </row>
    <row r="72" spans="1:24" ht="12.75" customHeight="1">
      <c r="A72" s="2" t="s">
        <v>416</v>
      </c>
      <c r="B72" s="35"/>
      <c r="C72" s="178">
        <v>0</v>
      </c>
      <c r="D72" s="80">
        <f t="shared" si="22"/>
        <v>0</v>
      </c>
      <c r="E72" s="178">
        <v>0</v>
      </c>
      <c r="F72" s="80">
        <f t="shared" si="23"/>
        <v>0</v>
      </c>
      <c r="G72" s="178">
        <v>0</v>
      </c>
      <c r="H72" s="80">
        <f t="shared" si="24"/>
        <v>0</v>
      </c>
      <c r="I72" s="178">
        <v>0</v>
      </c>
      <c r="J72" s="80">
        <f t="shared" si="25"/>
        <v>0</v>
      </c>
      <c r="K72" s="178">
        <v>0</v>
      </c>
      <c r="L72" s="80">
        <f t="shared" si="26"/>
        <v>0</v>
      </c>
      <c r="M72" s="178">
        <v>0</v>
      </c>
      <c r="N72" s="80">
        <f t="shared" si="27"/>
        <v>0</v>
      </c>
      <c r="O72" s="178">
        <v>0</v>
      </c>
      <c r="P72" s="80">
        <f t="shared" si="28"/>
        <v>0</v>
      </c>
      <c r="Q72" s="178">
        <v>0</v>
      </c>
      <c r="R72" s="80">
        <f t="shared" si="29"/>
        <v>0</v>
      </c>
      <c r="S72" s="178">
        <v>0</v>
      </c>
      <c r="T72" s="80">
        <f t="shared" si="30"/>
        <v>0</v>
      </c>
      <c r="U72" s="178">
        <v>0</v>
      </c>
      <c r="V72" s="80">
        <f t="shared" si="31"/>
        <v>0</v>
      </c>
      <c r="X72" s="192"/>
    </row>
    <row r="73" spans="1:24" ht="12.75" customHeight="1">
      <c r="A73" s="2" t="s">
        <v>417</v>
      </c>
      <c r="B73" s="35"/>
      <c r="C73" s="178">
        <v>0</v>
      </c>
      <c r="D73" s="80">
        <f t="shared" si="22"/>
        <v>0</v>
      </c>
      <c r="E73" s="178">
        <v>0</v>
      </c>
      <c r="F73" s="80">
        <f t="shared" si="23"/>
        <v>0</v>
      </c>
      <c r="G73" s="178">
        <v>0</v>
      </c>
      <c r="H73" s="80">
        <f t="shared" si="24"/>
        <v>0</v>
      </c>
      <c r="I73" s="178">
        <v>0</v>
      </c>
      <c r="J73" s="80">
        <f t="shared" si="25"/>
        <v>0</v>
      </c>
      <c r="K73" s="178">
        <v>0</v>
      </c>
      <c r="L73" s="80">
        <f t="shared" si="26"/>
        <v>0</v>
      </c>
      <c r="M73" s="178">
        <v>0</v>
      </c>
      <c r="N73" s="80">
        <f t="shared" si="27"/>
        <v>0</v>
      </c>
      <c r="O73" s="178">
        <v>0</v>
      </c>
      <c r="P73" s="80">
        <f t="shared" si="28"/>
        <v>0</v>
      </c>
      <c r="Q73" s="178">
        <v>0</v>
      </c>
      <c r="R73" s="80">
        <f t="shared" si="29"/>
        <v>0</v>
      </c>
      <c r="S73" s="178">
        <v>0</v>
      </c>
      <c r="T73" s="80">
        <f t="shared" si="30"/>
        <v>0</v>
      </c>
      <c r="U73" s="178">
        <v>0</v>
      </c>
      <c r="V73" s="80">
        <f t="shared" si="31"/>
        <v>0</v>
      </c>
      <c r="X73" s="192"/>
    </row>
    <row r="74" spans="1:24" ht="12.75" customHeight="1">
      <c r="A74" s="2" t="s">
        <v>418</v>
      </c>
      <c r="B74" s="35"/>
      <c r="C74" s="178">
        <v>0</v>
      </c>
      <c r="D74" s="80">
        <f t="shared" si="22"/>
        <v>0</v>
      </c>
      <c r="E74" s="178">
        <v>0</v>
      </c>
      <c r="F74" s="80">
        <f t="shared" si="23"/>
        <v>0</v>
      </c>
      <c r="G74" s="178">
        <v>0</v>
      </c>
      <c r="H74" s="80">
        <f t="shared" si="24"/>
        <v>0</v>
      </c>
      <c r="I74" s="178">
        <v>0</v>
      </c>
      <c r="J74" s="80">
        <f t="shared" si="25"/>
        <v>0</v>
      </c>
      <c r="K74" s="178">
        <v>0</v>
      </c>
      <c r="L74" s="80">
        <f t="shared" si="26"/>
        <v>0</v>
      </c>
      <c r="M74" s="178">
        <v>0</v>
      </c>
      <c r="N74" s="80">
        <f t="shared" si="27"/>
        <v>0</v>
      </c>
      <c r="O74" s="178">
        <v>0</v>
      </c>
      <c r="P74" s="80">
        <f t="shared" si="28"/>
        <v>0</v>
      </c>
      <c r="Q74" s="178">
        <v>0</v>
      </c>
      <c r="R74" s="80">
        <f t="shared" si="29"/>
        <v>0</v>
      </c>
      <c r="S74" s="178">
        <v>0</v>
      </c>
      <c r="T74" s="80">
        <f t="shared" si="30"/>
        <v>0</v>
      </c>
      <c r="U74" s="178">
        <v>0</v>
      </c>
      <c r="V74" s="80">
        <f t="shared" si="31"/>
        <v>0</v>
      </c>
      <c r="X74" s="192"/>
    </row>
    <row r="75" spans="1:24" ht="12.75" customHeight="1">
      <c r="A75" s="2" t="s">
        <v>419</v>
      </c>
      <c r="B75" s="35"/>
      <c r="C75" s="178">
        <v>1228.5</v>
      </c>
      <c r="D75" s="80">
        <f t="shared" si="22"/>
        <v>4.4999999999999997E-3</v>
      </c>
      <c r="E75" s="178">
        <v>1278</v>
      </c>
      <c r="F75" s="80">
        <f t="shared" si="23"/>
        <v>4.4999999999999997E-3</v>
      </c>
      <c r="G75" s="178">
        <v>0</v>
      </c>
      <c r="H75" s="80">
        <f t="shared" si="24"/>
        <v>0</v>
      </c>
      <c r="I75" s="178">
        <v>0</v>
      </c>
      <c r="J75" s="80">
        <f t="shared" si="25"/>
        <v>0</v>
      </c>
      <c r="K75" s="178">
        <v>0</v>
      </c>
      <c r="L75" s="80">
        <f t="shared" si="26"/>
        <v>0</v>
      </c>
      <c r="M75" s="178">
        <v>0</v>
      </c>
      <c r="N75" s="80">
        <f t="shared" si="27"/>
        <v>0</v>
      </c>
      <c r="O75" s="178">
        <v>0</v>
      </c>
      <c r="P75" s="80">
        <f t="shared" si="28"/>
        <v>0</v>
      </c>
      <c r="Q75" s="178">
        <v>0</v>
      </c>
      <c r="R75" s="80">
        <f t="shared" si="29"/>
        <v>0</v>
      </c>
      <c r="S75" s="178">
        <v>0</v>
      </c>
      <c r="T75" s="80">
        <f t="shared" si="30"/>
        <v>0</v>
      </c>
      <c r="U75" s="178">
        <v>0</v>
      </c>
      <c r="V75" s="80">
        <f t="shared" si="31"/>
        <v>0</v>
      </c>
      <c r="X75" s="192"/>
    </row>
    <row r="76" spans="1:24" ht="12.75" customHeight="1">
      <c r="A76" s="2" t="s">
        <v>420</v>
      </c>
      <c r="B76" s="35"/>
      <c r="C76" s="178">
        <v>109.2</v>
      </c>
      <c r="D76" s="80">
        <f t="shared" si="22"/>
        <v>4.0000000000000002E-4</v>
      </c>
      <c r="E76" s="178">
        <v>113.60000000000001</v>
      </c>
      <c r="F76" s="80">
        <f t="shared" si="23"/>
        <v>4.0000000000000002E-4</v>
      </c>
      <c r="G76" s="178">
        <v>0</v>
      </c>
      <c r="H76" s="80">
        <f t="shared" si="24"/>
        <v>0</v>
      </c>
      <c r="I76" s="178">
        <v>0</v>
      </c>
      <c r="J76" s="80">
        <f t="shared" si="25"/>
        <v>0</v>
      </c>
      <c r="K76" s="178">
        <v>0</v>
      </c>
      <c r="L76" s="80">
        <f t="shared" si="26"/>
        <v>0</v>
      </c>
      <c r="M76" s="178">
        <v>0</v>
      </c>
      <c r="N76" s="80">
        <f t="shared" si="27"/>
        <v>0</v>
      </c>
      <c r="O76" s="178">
        <v>0</v>
      </c>
      <c r="P76" s="80">
        <f t="shared" si="28"/>
        <v>0</v>
      </c>
      <c r="Q76" s="178">
        <v>0</v>
      </c>
      <c r="R76" s="80">
        <f t="shared" si="29"/>
        <v>0</v>
      </c>
      <c r="S76" s="178">
        <v>0</v>
      </c>
      <c r="T76" s="80">
        <f t="shared" si="30"/>
        <v>0</v>
      </c>
      <c r="U76" s="178">
        <v>0</v>
      </c>
      <c r="V76" s="80">
        <f t="shared" si="31"/>
        <v>0</v>
      </c>
      <c r="X76" s="192"/>
    </row>
    <row r="77" spans="1:24" ht="12.75" customHeight="1">
      <c r="A77" s="2" t="s">
        <v>421</v>
      </c>
      <c r="B77" s="35"/>
      <c r="C77" s="178">
        <v>354.9</v>
      </c>
      <c r="D77" s="80">
        <f t="shared" si="22"/>
        <v>1.2999999999999999E-3</v>
      </c>
      <c r="E77" s="178">
        <v>369.2</v>
      </c>
      <c r="F77" s="80">
        <f t="shared" si="23"/>
        <v>1.2999999999999999E-3</v>
      </c>
      <c r="G77" s="178">
        <v>0</v>
      </c>
      <c r="H77" s="80">
        <f t="shared" si="24"/>
        <v>0</v>
      </c>
      <c r="I77" s="178">
        <v>0</v>
      </c>
      <c r="J77" s="80">
        <f t="shared" si="25"/>
        <v>0</v>
      </c>
      <c r="K77" s="178">
        <v>0</v>
      </c>
      <c r="L77" s="80">
        <f t="shared" si="26"/>
        <v>0</v>
      </c>
      <c r="M77" s="178">
        <v>0</v>
      </c>
      <c r="N77" s="80">
        <f t="shared" si="27"/>
        <v>0</v>
      </c>
      <c r="O77" s="178">
        <v>0</v>
      </c>
      <c r="P77" s="80">
        <f t="shared" si="28"/>
        <v>0</v>
      </c>
      <c r="Q77" s="178">
        <v>0</v>
      </c>
      <c r="R77" s="80">
        <f t="shared" si="29"/>
        <v>0</v>
      </c>
      <c r="S77" s="178">
        <v>0</v>
      </c>
      <c r="T77" s="80">
        <f t="shared" si="30"/>
        <v>0</v>
      </c>
      <c r="U77" s="178">
        <v>0</v>
      </c>
      <c r="V77" s="80">
        <f t="shared" si="31"/>
        <v>0</v>
      </c>
      <c r="X77" s="192"/>
    </row>
    <row r="78" spans="1:24" ht="12.75" customHeight="1">
      <c r="A78" s="2" t="s">
        <v>422</v>
      </c>
      <c r="B78" s="35"/>
      <c r="C78" s="178">
        <v>6006</v>
      </c>
      <c r="D78" s="80">
        <f t="shared" si="22"/>
        <v>2.1999999999999999E-2</v>
      </c>
      <c r="E78" s="178">
        <v>6247.9999999999991</v>
      </c>
      <c r="F78" s="80">
        <f t="shared" si="23"/>
        <v>2.1999999999999995E-2</v>
      </c>
      <c r="G78" s="178">
        <v>0</v>
      </c>
      <c r="H78" s="80">
        <f t="shared" si="24"/>
        <v>0</v>
      </c>
      <c r="I78" s="178">
        <v>0</v>
      </c>
      <c r="J78" s="80">
        <f t="shared" si="25"/>
        <v>0</v>
      </c>
      <c r="K78" s="178">
        <v>0</v>
      </c>
      <c r="L78" s="80">
        <f t="shared" si="26"/>
        <v>0</v>
      </c>
      <c r="M78" s="178">
        <v>0</v>
      </c>
      <c r="N78" s="80">
        <f t="shared" si="27"/>
        <v>0</v>
      </c>
      <c r="O78" s="178">
        <v>0</v>
      </c>
      <c r="P78" s="80">
        <f t="shared" si="28"/>
        <v>0</v>
      </c>
      <c r="Q78" s="178">
        <v>0</v>
      </c>
      <c r="R78" s="80">
        <f t="shared" si="29"/>
        <v>0</v>
      </c>
      <c r="S78" s="178">
        <v>0</v>
      </c>
      <c r="T78" s="80">
        <f t="shared" si="30"/>
        <v>0</v>
      </c>
      <c r="U78" s="178">
        <v>0</v>
      </c>
      <c r="V78" s="80">
        <f t="shared" si="31"/>
        <v>0</v>
      </c>
      <c r="X78" s="192"/>
    </row>
    <row r="79" spans="1:24" ht="12.75" customHeight="1">
      <c r="A79" s="2" t="s">
        <v>423</v>
      </c>
      <c r="B79" s="35"/>
      <c r="C79" s="178">
        <v>0</v>
      </c>
      <c r="D79" s="80">
        <f t="shared" si="22"/>
        <v>0</v>
      </c>
      <c r="E79" s="178">
        <v>0</v>
      </c>
      <c r="F79" s="80">
        <f t="shared" si="23"/>
        <v>0</v>
      </c>
      <c r="G79" s="178">
        <v>0</v>
      </c>
      <c r="H79" s="80">
        <f t="shared" si="24"/>
        <v>0</v>
      </c>
      <c r="I79" s="178">
        <v>0</v>
      </c>
      <c r="J79" s="80">
        <f t="shared" si="25"/>
        <v>0</v>
      </c>
      <c r="K79" s="178">
        <v>0</v>
      </c>
      <c r="L79" s="80">
        <f t="shared" si="26"/>
        <v>0</v>
      </c>
      <c r="M79" s="178">
        <v>0</v>
      </c>
      <c r="N79" s="80">
        <f t="shared" si="27"/>
        <v>0</v>
      </c>
      <c r="O79" s="178">
        <v>0</v>
      </c>
      <c r="P79" s="80">
        <f t="shared" si="28"/>
        <v>0</v>
      </c>
      <c r="Q79" s="178">
        <v>0</v>
      </c>
      <c r="R79" s="80">
        <f t="shared" si="29"/>
        <v>0</v>
      </c>
      <c r="S79" s="178">
        <v>0</v>
      </c>
      <c r="T79" s="80">
        <f t="shared" si="30"/>
        <v>0</v>
      </c>
      <c r="U79" s="178">
        <v>0</v>
      </c>
      <c r="V79" s="80">
        <f t="shared" si="31"/>
        <v>0</v>
      </c>
      <c r="X79" s="192"/>
    </row>
    <row r="80" spans="1:24" ht="12.75" customHeight="1">
      <c r="A80" s="2" t="s">
        <v>424</v>
      </c>
      <c r="B80" s="35"/>
      <c r="C80" s="178">
        <v>0</v>
      </c>
      <c r="D80" s="80">
        <f t="shared" si="22"/>
        <v>0</v>
      </c>
      <c r="E80" s="178">
        <v>0</v>
      </c>
      <c r="F80" s="80">
        <f t="shared" si="23"/>
        <v>0</v>
      </c>
      <c r="G80" s="178">
        <v>0</v>
      </c>
      <c r="H80" s="80">
        <f t="shared" si="24"/>
        <v>0</v>
      </c>
      <c r="I80" s="178">
        <v>0</v>
      </c>
      <c r="J80" s="80">
        <f t="shared" si="25"/>
        <v>0</v>
      </c>
      <c r="K80" s="178">
        <v>0</v>
      </c>
      <c r="L80" s="80">
        <f t="shared" si="26"/>
        <v>0</v>
      </c>
      <c r="M80" s="178">
        <v>0</v>
      </c>
      <c r="N80" s="80">
        <f t="shared" si="27"/>
        <v>0</v>
      </c>
      <c r="O80" s="178">
        <v>0</v>
      </c>
      <c r="P80" s="80">
        <f t="shared" si="28"/>
        <v>0</v>
      </c>
      <c r="Q80" s="178">
        <v>0</v>
      </c>
      <c r="R80" s="80">
        <f t="shared" si="29"/>
        <v>0</v>
      </c>
      <c r="S80" s="178">
        <v>0</v>
      </c>
      <c r="T80" s="80">
        <f t="shared" si="30"/>
        <v>0</v>
      </c>
      <c r="U80" s="178">
        <v>0</v>
      </c>
      <c r="V80" s="80">
        <f t="shared" si="31"/>
        <v>0</v>
      </c>
      <c r="X80" s="192"/>
    </row>
    <row r="81" spans="1:24" ht="12.75" customHeight="1">
      <c r="A81" s="2" t="s">
        <v>425</v>
      </c>
      <c r="B81" s="35"/>
      <c r="C81" s="178">
        <v>0</v>
      </c>
      <c r="D81" s="80">
        <f t="shared" si="22"/>
        <v>0</v>
      </c>
      <c r="E81" s="178">
        <v>0</v>
      </c>
      <c r="F81" s="80">
        <f t="shared" si="23"/>
        <v>0</v>
      </c>
      <c r="G81" s="178">
        <v>0</v>
      </c>
      <c r="H81" s="80">
        <f t="shared" si="24"/>
        <v>0</v>
      </c>
      <c r="I81" s="178">
        <v>0</v>
      </c>
      <c r="J81" s="80">
        <f t="shared" si="25"/>
        <v>0</v>
      </c>
      <c r="K81" s="178">
        <v>0</v>
      </c>
      <c r="L81" s="80">
        <f t="shared" si="26"/>
        <v>0</v>
      </c>
      <c r="M81" s="178">
        <v>0</v>
      </c>
      <c r="N81" s="80">
        <f t="shared" si="27"/>
        <v>0</v>
      </c>
      <c r="O81" s="178">
        <v>0</v>
      </c>
      <c r="P81" s="80">
        <f t="shared" si="28"/>
        <v>0</v>
      </c>
      <c r="Q81" s="178">
        <v>0</v>
      </c>
      <c r="R81" s="80">
        <f t="shared" si="29"/>
        <v>0</v>
      </c>
      <c r="S81" s="178">
        <v>0</v>
      </c>
      <c r="T81" s="80">
        <f t="shared" si="30"/>
        <v>0</v>
      </c>
      <c r="U81" s="178">
        <v>0</v>
      </c>
      <c r="V81" s="80">
        <f t="shared" si="31"/>
        <v>0</v>
      </c>
      <c r="X81" s="192"/>
    </row>
    <row r="82" spans="1:24" ht="12.75" customHeight="1">
      <c r="A82" s="2" t="s">
        <v>426</v>
      </c>
      <c r="B82" s="35"/>
      <c r="C82" s="178">
        <v>0</v>
      </c>
      <c r="D82" s="80">
        <f t="shared" si="22"/>
        <v>0</v>
      </c>
      <c r="E82" s="178">
        <v>0</v>
      </c>
      <c r="F82" s="80">
        <f t="shared" si="23"/>
        <v>0</v>
      </c>
      <c r="G82" s="178">
        <v>0</v>
      </c>
      <c r="H82" s="80">
        <f t="shared" si="24"/>
        <v>0</v>
      </c>
      <c r="I82" s="178">
        <v>0</v>
      </c>
      <c r="J82" s="80">
        <f t="shared" si="25"/>
        <v>0</v>
      </c>
      <c r="K82" s="178">
        <v>0</v>
      </c>
      <c r="L82" s="80">
        <f t="shared" si="26"/>
        <v>0</v>
      </c>
      <c r="M82" s="178">
        <v>0</v>
      </c>
      <c r="N82" s="80">
        <f t="shared" si="27"/>
        <v>0</v>
      </c>
      <c r="O82" s="178">
        <v>0</v>
      </c>
      <c r="P82" s="80">
        <f t="shared" si="28"/>
        <v>0</v>
      </c>
      <c r="Q82" s="178">
        <v>0</v>
      </c>
      <c r="R82" s="80">
        <f t="shared" si="29"/>
        <v>0</v>
      </c>
      <c r="S82" s="178">
        <v>0</v>
      </c>
      <c r="T82" s="80">
        <f t="shared" si="30"/>
        <v>0</v>
      </c>
      <c r="U82" s="178">
        <v>0</v>
      </c>
      <c r="V82" s="80">
        <f t="shared" si="31"/>
        <v>0</v>
      </c>
      <c r="X82" s="192"/>
    </row>
    <row r="83" spans="1:24" ht="12.75" customHeight="1">
      <c r="A83" s="2" t="s">
        <v>427</v>
      </c>
      <c r="B83" s="35"/>
      <c r="C83" s="178">
        <v>0</v>
      </c>
      <c r="D83" s="80">
        <f t="shared" si="22"/>
        <v>0</v>
      </c>
      <c r="E83" s="178">
        <v>0</v>
      </c>
      <c r="F83" s="80">
        <f t="shared" si="23"/>
        <v>0</v>
      </c>
      <c r="G83" s="178">
        <v>0</v>
      </c>
      <c r="H83" s="80">
        <f t="shared" si="24"/>
        <v>0</v>
      </c>
      <c r="I83" s="178">
        <v>0</v>
      </c>
      <c r="J83" s="80">
        <f t="shared" si="25"/>
        <v>0</v>
      </c>
      <c r="K83" s="178">
        <v>0</v>
      </c>
      <c r="L83" s="80">
        <f t="shared" si="26"/>
        <v>0</v>
      </c>
      <c r="M83" s="178">
        <v>0</v>
      </c>
      <c r="N83" s="80">
        <f t="shared" si="27"/>
        <v>0</v>
      </c>
      <c r="O83" s="178">
        <v>0</v>
      </c>
      <c r="P83" s="80">
        <f t="shared" si="28"/>
        <v>0</v>
      </c>
      <c r="Q83" s="178">
        <v>0</v>
      </c>
      <c r="R83" s="80">
        <f t="shared" si="29"/>
        <v>0</v>
      </c>
      <c r="S83" s="178">
        <v>0</v>
      </c>
      <c r="T83" s="80">
        <f t="shared" si="30"/>
        <v>0</v>
      </c>
      <c r="U83" s="178">
        <v>0</v>
      </c>
      <c r="V83" s="80">
        <f t="shared" si="31"/>
        <v>0</v>
      </c>
      <c r="X83" s="192"/>
    </row>
    <row r="84" spans="1:24" ht="12.75" customHeight="1">
      <c r="A84" s="2" t="s">
        <v>428</v>
      </c>
      <c r="B84" s="35"/>
      <c r="C84" s="178">
        <v>0</v>
      </c>
      <c r="D84" s="80">
        <f t="shared" si="22"/>
        <v>0</v>
      </c>
      <c r="E84" s="178">
        <v>0</v>
      </c>
      <c r="F84" s="80">
        <f t="shared" si="23"/>
        <v>0</v>
      </c>
      <c r="G84" s="178">
        <v>0</v>
      </c>
      <c r="H84" s="80">
        <f t="shared" si="24"/>
        <v>0</v>
      </c>
      <c r="I84" s="178">
        <v>0</v>
      </c>
      <c r="J84" s="80">
        <f t="shared" si="25"/>
        <v>0</v>
      </c>
      <c r="K84" s="178">
        <v>0</v>
      </c>
      <c r="L84" s="80">
        <f t="shared" si="26"/>
        <v>0</v>
      </c>
      <c r="M84" s="178">
        <v>0</v>
      </c>
      <c r="N84" s="80">
        <f t="shared" si="27"/>
        <v>0</v>
      </c>
      <c r="O84" s="178">
        <v>0</v>
      </c>
      <c r="P84" s="80">
        <f t="shared" si="28"/>
        <v>0</v>
      </c>
      <c r="Q84" s="178">
        <v>0</v>
      </c>
      <c r="R84" s="80">
        <f t="shared" si="29"/>
        <v>0</v>
      </c>
      <c r="S84" s="178">
        <v>0</v>
      </c>
      <c r="T84" s="80">
        <f t="shared" si="30"/>
        <v>0</v>
      </c>
      <c r="U84" s="178">
        <v>0</v>
      </c>
      <c r="V84" s="80">
        <f t="shared" si="31"/>
        <v>0</v>
      </c>
      <c r="X84" s="192"/>
    </row>
    <row r="85" spans="1:24" ht="12.75" customHeight="1">
      <c r="A85" s="2" t="s">
        <v>429</v>
      </c>
      <c r="B85" s="35"/>
      <c r="C85" s="178">
        <v>0</v>
      </c>
      <c r="D85" s="80">
        <f t="shared" si="22"/>
        <v>0</v>
      </c>
      <c r="E85" s="178">
        <v>0</v>
      </c>
      <c r="F85" s="80">
        <f t="shared" si="23"/>
        <v>0</v>
      </c>
      <c r="G85" s="178">
        <v>0</v>
      </c>
      <c r="H85" s="80">
        <f t="shared" si="24"/>
        <v>0</v>
      </c>
      <c r="I85" s="178">
        <v>0</v>
      </c>
      <c r="J85" s="80">
        <f t="shared" si="25"/>
        <v>0</v>
      </c>
      <c r="K85" s="178">
        <v>0</v>
      </c>
      <c r="L85" s="80">
        <f t="shared" si="26"/>
        <v>0</v>
      </c>
      <c r="M85" s="178">
        <v>0</v>
      </c>
      <c r="N85" s="80">
        <f t="shared" si="27"/>
        <v>0</v>
      </c>
      <c r="O85" s="178">
        <v>0</v>
      </c>
      <c r="P85" s="80">
        <f t="shared" si="28"/>
        <v>0</v>
      </c>
      <c r="Q85" s="178">
        <v>0</v>
      </c>
      <c r="R85" s="80">
        <f t="shared" si="29"/>
        <v>0</v>
      </c>
      <c r="S85" s="178">
        <v>0</v>
      </c>
      <c r="T85" s="80">
        <f t="shared" si="30"/>
        <v>0</v>
      </c>
      <c r="U85" s="178">
        <v>0</v>
      </c>
      <c r="V85" s="80">
        <f t="shared" si="31"/>
        <v>0</v>
      </c>
      <c r="X85" s="192"/>
    </row>
    <row r="86" spans="1:24" ht="12.75" customHeight="1">
      <c r="A86" s="2" t="s">
        <v>430</v>
      </c>
      <c r="B86" s="35"/>
      <c r="C86" s="178">
        <v>1092</v>
      </c>
      <c r="D86" s="80">
        <f t="shared" si="22"/>
        <v>4.0000000000000001E-3</v>
      </c>
      <c r="E86" s="178">
        <v>1136</v>
      </c>
      <c r="F86" s="80">
        <f t="shared" si="23"/>
        <v>4.0000000000000001E-3</v>
      </c>
      <c r="G86" s="178">
        <v>0</v>
      </c>
      <c r="H86" s="80">
        <f t="shared" si="24"/>
        <v>0</v>
      </c>
      <c r="I86" s="178">
        <v>0</v>
      </c>
      <c r="J86" s="80">
        <f t="shared" si="25"/>
        <v>0</v>
      </c>
      <c r="K86" s="178">
        <v>0</v>
      </c>
      <c r="L86" s="80">
        <f t="shared" si="26"/>
        <v>0</v>
      </c>
      <c r="M86" s="178">
        <v>0</v>
      </c>
      <c r="N86" s="80">
        <f t="shared" si="27"/>
        <v>0</v>
      </c>
      <c r="O86" s="178">
        <v>0</v>
      </c>
      <c r="P86" s="80">
        <f t="shared" si="28"/>
        <v>0</v>
      </c>
      <c r="Q86" s="178">
        <v>0</v>
      </c>
      <c r="R86" s="80">
        <f t="shared" si="29"/>
        <v>0</v>
      </c>
      <c r="S86" s="178">
        <v>0</v>
      </c>
      <c r="T86" s="80">
        <f t="shared" si="30"/>
        <v>0</v>
      </c>
      <c r="U86" s="178">
        <v>0</v>
      </c>
      <c r="V86" s="80">
        <f t="shared" si="31"/>
        <v>0</v>
      </c>
      <c r="X86" s="192"/>
    </row>
    <row r="87" spans="1:24" ht="12.75" customHeight="1">
      <c r="A87" s="2" t="s">
        <v>431</v>
      </c>
      <c r="B87" s="35"/>
      <c r="C87" s="178">
        <v>0</v>
      </c>
      <c r="D87" s="80">
        <f t="shared" si="22"/>
        <v>0</v>
      </c>
      <c r="E87" s="178">
        <v>0</v>
      </c>
      <c r="F87" s="80">
        <f t="shared" si="23"/>
        <v>0</v>
      </c>
      <c r="G87" s="178">
        <v>0</v>
      </c>
      <c r="H87" s="80">
        <f t="shared" si="24"/>
        <v>0</v>
      </c>
      <c r="I87" s="178">
        <v>0</v>
      </c>
      <c r="J87" s="80">
        <f t="shared" si="25"/>
        <v>0</v>
      </c>
      <c r="K87" s="178">
        <v>0</v>
      </c>
      <c r="L87" s="80">
        <f t="shared" si="26"/>
        <v>0</v>
      </c>
      <c r="M87" s="178">
        <v>0</v>
      </c>
      <c r="N87" s="80">
        <f t="shared" si="27"/>
        <v>0</v>
      </c>
      <c r="O87" s="178">
        <v>0</v>
      </c>
      <c r="P87" s="80">
        <f t="shared" si="28"/>
        <v>0</v>
      </c>
      <c r="Q87" s="178">
        <v>0</v>
      </c>
      <c r="R87" s="80">
        <f t="shared" si="29"/>
        <v>0</v>
      </c>
      <c r="S87" s="178">
        <v>0</v>
      </c>
      <c r="T87" s="80">
        <f t="shared" si="30"/>
        <v>0</v>
      </c>
      <c r="U87" s="178">
        <v>0</v>
      </c>
      <c r="V87" s="80">
        <f t="shared" si="31"/>
        <v>0</v>
      </c>
      <c r="X87" s="192"/>
    </row>
    <row r="88" spans="1:24" ht="12.75" customHeight="1">
      <c r="A88" s="2" t="s">
        <v>432</v>
      </c>
      <c r="B88" s="35"/>
      <c r="C88" s="178">
        <v>1392.3000000000002</v>
      </c>
      <c r="D88" s="80">
        <f t="shared" si="22"/>
        <v>5.1000000000000004E-3</v>
      </c>
      <c r="E88" s="178">
        <v>1448.4</v>
      </c>
      <c r="F88" s="80">
        <f t="shared" si="23"/>
        <v>5.1000000000000004E-3</v>
      </c>
      <c r="G88" s="178">
        <v>0</v>
      </c>
      <c r="H88" s="80">
        <f t="shared" si="24"/>
        <v>0</v>
      </c>
      <c r="I88" s="178">
        <v>0</v>
      </c>
      <c r="J88" s="80">
        <f t="shared" si="25"/>
        <v>0</v>
      </c>
      <c r="K88" s="178">
        <v>0</v>
      </c>
      <c r="L88" s="80">
        <f t="shared" si="26"/>
        <v>0</v>
      </c>
      <c r="M88" s="178">
        <v>0</v>
      </c>
      <c r="N88" s="80">
        <f t="shared" si="27"/>
        <v>0</v>
      </c>
      <c r="O88" s="178">
        <v>0</v>
      </c>
      <c r="P88" s="80">
        <f t="shared" si="28"/>
        <v>0</v>
      </c>
      <c r="Q88" s="178">
        <v>0</v>
      </c>
      <c r="R88" s="80">
        <f t="shared" si="29"/>
        <v>0</v>
      </c>
      <c r="S88" s="178">
        <v>0</v>
      </c>
      <c r="T88" s="80">
        <f t="shared" si="30"/>
        <v>0</v>
      </c>
      <c r="U88" s="178">
        <v>0</v>
      </c>
      <c r="V88" s="80">
        <f t="shared" si="31"/>
        <v>0</v>
      </c>
      <c r="X88" s="192"/>
    </row>
    <row r="89" spans="1:24" ht="12.75" customHeight="1">
      <c r="A89" s="2" t="s">
        <v>433</v>
      </c>
      <c r="B89" s="35"/>
      <c r="C89" s="178">
        <v>0</v>
      </c>
      <c r="D89" s="80">
        <f t="shared" si="22"/>
        <v>0</v>
      </c>
      <c r="E89" s="178">
        <v>0</v>
      </c>
      <c r="F89" s="80">
        <f t="shared" si="23"/>
        <v>0</v>
      </c>
      <c r="G89" s="178">
        <v>0</v>
      </c>
      <c r="H89" s="80">
        <f t="shared" si="24"/>
        <v>0</v>
      </c>
      <c r="I89" s="178">
        <v>0</v>
      </c>
      <c r="J89" s="80">
        <f t="shared" si="25"/>
        <v>0</v>
      </c>
      <c r="K89" s="178">
        <v>0</v>
      </c>
      <c r="L89" s="80">
        <f t="shared" si="26"/>
        <v>0</v>
      </c>
      <c r="M89" s="178">
        <v>0</v>
      </c>
      <c r="N89" s="80">
        <f t="shared" si="27"/>
        <v>0</v>
      </c>
      <c r="O89" s="178">
        <v>0</v>
      </c>
      <c r="P89" s="80">
        <f t="shared" si="28"/>
        <v>0</v>
      </c>
      <c r="Q89" s="178">
        <v>0</v>
      </c>
      <c r="R89" s="80">
        <f t="shared" si="29"/>
        <v>0</v>
      </c>
      <c r="S89" s="178">
        <v>0</v>
      </c>
      <c r="T89" s="80">
        <f t="shared" si="30"/>
        <v>0</v>
      </c>
      <c r="U89" s="178">
        <v>0</v>
      </c>
      <c r="V89" s="80">
        <f t="shared" si="31"/>
        <v>0</v>
      </c>
      <c r="X89" s="192"/>
    </row>
    <row r="90" spans="1:24" ht="12.75" customHeight="1">
      <c r="A90" s="2" t="s">
        <v>434</v>
      </c>
      <c r="B90" s="35"/>
      <c r="C90" s="178">
        <v>54.6</v>
      </c>
      <c r="D90" s="80">
        <f t="shared" si="22"/>
        <v>2.0000000000000001E-4</v>
      </c>
      <c r="E90" s="178">
        <v>56.800000000000004</v>
      </c>
      <c r="F90" s="80">
        <f t="shared" si="23"/>
        <v>2.0000000000000001E-4</v>
      </c>
      <c r="G90" s="178">
        <v>0</v>
      </c>
      <c r="H90" s="80">
        <f t="shared" si="24"/>
        <v>0</v>
      </c>
      <c r="I90" s="178">
        <v>0</v>
      </c>
      <c r="J90" s="80">
        <f t="shared" si="25"/>
        <v>0</v>
      </c>
      <c r="K90" s="178">
        <v>0</v>
      </c>
      <c r="L90" s="80">
        <f t="shared" si="26"/>
        <v>0</v>
      </c>
      <c r="M90" s="178">
        <v>0</v>
      </c>
      <c r="N90" s="80">
        <f t="shared" si="27"/>
        <v>0</v>
      </c>
      <c r="O90" s="178">
        <v>0</v>
      </c>
      <c r="P90" s="80">
        <f t="shared" si="28"/>
        <v>0</v>
      </c>
      <c r="Q90" s="178">
        <v>0</v>
      </c>
      <c r="R90" s="80">
        <f t="shared" si="29"/>
        <v>0</v>
      </c>
      <c r="S90" s="178">
        <v>0</v>
      </c>
      <c r="T90" s="80">
        <f t="shared" si="30"/>
        <v>0</v>
      </c>
      <c r="U90" s="178">
        <v>0</v>
      </c>
      <c r="V90" s="80">
        <f t="shared" si="31"/>
        <v>0</v>
      </c>
      <c r="X90" s="192"/>
    </row>
    <row r="91" spans="1:24" ht="12.75" customHeight="1">
      <c r="A91" s="2" t="s">
        <v>435</v>
      </c>
      <c r="C91" s="178">
        <v>0</v>
      </c>
      <c r="D91" s="80">
        <f t="shared" si="22"/>
        <v>0</v>
      </c>
      <c r="E91" s="178">
        <v>0</v>
      </c>
      <c r="F91" s="80">
        <f t="shared" si="23"/>
        <v>0</v>
      </c>
      <c r="G91" s="178">
        <v>0</v>
      </c>
      <c r="H91" s="80">
        <f t="shared" si="24"/>
        <v>0</v>
      </c>
      <c r="I91" s="178">
        <v>0</v>
      </c>
      <c r="J91" s="80">
        <f t="shared" si="25"/>
        <v>0</v>
      </c>
      <c r="K91" s="178">
        <v>0</v>
      </c>
      <c r="L91" s="80">
        <f t="shared" si="26"/>
        <v>0</v>
      </c>
      <c r="M91" s="178">
        <v>0</v>
      </c>
      <c r="N91" s="80">
        <f t="shared" si="27"/>
        <v>0</v>
      </c>
      <c r="O91" s="178">
        <v>0</v>
      </c>
      <c r="P91" s="80">
        <f t="shared" si="28"/>
        <v>0</v>
      </c>
      <c r="Q91" s="178">
        <v>0</v>
      </c>
      <c r="R91" s="80">
        <f t="shared" si="29"/>
        <v>0</v>
      </c>
      <c r="S91" s="178">
        <v>0</v>
      </c>
      <c r="T91" s="80">
        <f t="shared" si="30"/>
        <v>0</v>
      </c>
      <c r="U91" s="178">
        <v>0</v>
      </c>
      <c r="V91" s="80">
        <f t="shared" si="31"/>
        <v>0</v>
      </c>
      <c r="X91" s="192"/>
    </row>
    <row r="92" spans="1:24" ht="12.75" customHeight="1">
      <c r="A92" s="2" t="s">
        <v>436</v>
      </c>
      <c r="B92" s="35"/>
      <c r="C92" s="178">
        <v>1419.6</v>
      </c>
      <c r="D92" s="80">
        <f t="shared" si="22"/>
        <v>5.1999999999999998E-3</v>
      </c>
      <c r="E92" s="178">
        <v>1476.8</v>
      </c>
      <c r="F92" s="80">
        <f t="shared" si="23"/>
        <v>5.1999999999999998E-3</v>
      </c>
      <c r="G92" s="178">
        <v>0</v>
      </c>
      <c r="H92" s="80">
        <f t="shared" si="24"/>
        <v>0</v>
      </c>
      <c r="I92" s="178">
        <v>0</v>
      </c>
      <c r="J92" s="80">
        <f t="shared" si="25"/>
        <v>0</v>
      </c>
      <c r="K92" s="178">
        <v>0</v>
      </c>
      <c r="L92" s="80">
        <f t="shared" si="26"/>
        <v>0</v>
      </c>
      <c r="M92" s="178">
        <v>0</v>
      </c>
      <c r="N92" s="80">
        <f t="shared" si="27"/>
        <v>0</v>
      </c>
      <c r="O92" s="178">
        <v>0</v>
      </c>
      <c r="P92" s="80">
        <f t="shared" si="28"/>
        <v>0</v>
      </c>
      <c r="Q92" s="178">
        <v>0</v>
      </c>
      <c r="R92" s="80">
        <f t="shared" si="29"/>
        <v>0</v>
      </c>
      <c r="S92" s="178">
        <v>0</v>
      </c>
      <c r="T92" s="80">
        <f t="shared" si="30"/>
        <v>0</v>
      </c>
      <c r="U92" s="178">
        <v>0</v>
      </c>
      <c r="V92" s="80">
        <f t="shared" si="31"/>
        <v>0</v>
      </c>
      <c r="X92" s="192"/>
    </row>
    <row r="93" spans="1:24" ht="12.75" customHeight="1">
      <c r="A93" s="2" t="s">
        <v>437</v>
      </c>
      <c r="B93" s="35"/>
      <c r="C93" s="178">
        <v>0</v>
      </c>
      <c r="D93" s="80">
        <f t="shared" si="22"/>
        <v>0</v>
      </c>
      <c r="E93" s="178">
        <v>0</v>
      </c>
      <c r="F93" s="80">
        <f t="shared" si="23"/>
        <v>0</v>
      </c>
      <c r="G93" s="178">
        <v>0</v>
      </c>
      <c r="H93" s="80">
        <f t="shared" si="24"/>
        <v>0</v>
      </c>
      <c r="I93" s="178">
        <v>0</v>
      </c>
      <c r="J93" s="80">
        <f t="shared" si="25"/>
        <v>0</v>
      </c>
      <c r="K93" s="178">
        <v>0</v>
      </c>
      <c r="L93" s="80">
        <f t="shared" si="26"/>
        <v>0</v>
      </c>
      <c r="M93" s="178">
        <v>0</v>
      </c>
      <c r="N93" s="80">
        <f t="shared" si="27"/>
        <v>0</v>
      </c>
      <c r="O93" s="178">
        <v>0</v>
      </c>
      <c r="P93" s="80">
        <f t="shared" si="28"/>
        <v>0</v>
      </c>
      <c r="Q93" s="178">
        <v>0</v>
      </c>
      <c r="R93" s="80">
        <f t="shared" si="29"/>
        <v>0</v>
      </c>
      <c r="S93" s="178">
        <v>0</v>
      </c>
      <c r="T93" s="80">
        <f t="shared" si="30"/>
        <v>0</v>
      </c>
      <c r="U93" s="178">
        <v>0</v>
      </c>
      <c r="V93" s="80">
        <f t="shared" si="31"/>
        <v>0</v>
      </c>
      <c r="X93" s="192"/>
    </row>
    <row r="94" spans="1:24" ht="12.75" customHeight="1">
      <c r="A94" s="2" t="s">
        <v>438</v>
      </c>
      <c r="B94" s="35"/>
      <c r="C94" s="178">
        <v>0</v>
      </c>
      <c r="D94" s="80">
        <f t="shared" si="22"/>
        <v>0</v>
      </c>
      <c r="E94" s="178">
        <v>0</v>
      </c>
      <c r="F94" s="80">
        <f t="shared" si="23"/>
        <v>0</v>
      </c>
      <c r="G94" s="178">
        <v>0</v>
      </c>
      <c r="H94" s="80">
        <f t="shared" si="24"/>
        <v>0</v>
      </c>
      <c r="I94" s="178">
        <v>0</v>
      </c>
      <c r="J94" s="80">
        <f t="shared" si="25"/>
        <v>0</v>
      </c>
      <c r="K94" s="178">
        <v>0</v>
      </c>
      <c r="L94" s="80">
        <f t="shared" si="26"/>
        <v>0</v>
      </c>
      <c r="M94" s="178">
        <v>0</v>
      </c>
      <c r="N94" s="80">
        <f t="shared" si="27"/>
        <v>0</v>
      </c>
      <c r="O94" s="178">
        <v>0</v>
      </c>
      <c r="P94" s="80">
        <f t="shared" si="28"/>
        <v>0</v>
      </c>
      <c r="Q94" s="178">
        <v>0</v>
      </c>
      <c r="R94" s="80">
        <f t="shared" si="29"/>
        <v>0</v>
      </c>
      <c r="S94" s="178">
        <v>0</v>
      </c>
      <c r="T94" s="80">
        <f t="shared" si="30"/>
        <v>0</v>
      </c>
      <c r="U94" s="178">
        <v>0</v>
      </c>
      <c r="V94" s="80">
        <f t="shared" si="31"/>
        <v>0</v>
      </c>
      <c r="X94" s="192"/>
    </row>
    <row r="95" spans="1:24" ht="12.75" customHeight="1">
      <c r="A95" s="2" t="s">
        <v>439</v>
      </c>
      <c r="B95" s="35"/>
      <c r="C95" s="178">
        <v>0</v>
      </c>
      <c r="D95" s="80">
        <f t="shared" si="22"/>
        <v>0</v>
      </c>
      <c r="E95" s="178">
        <v>0</v>
      </c>
      <c r="F95" s="80">
        <f t="shared" si="23"/>
        <v>0</v>
      </c>
      <c r="G95" s="178">
        <v>0</v>
      </c>
      <c r="H95" s="80">
        <f t="shared" si="24"/>
        <v>0</v>
      </c>
      <c r="I95" s="178">
        <v>0</v>
      </c>
      <c r="J95" s="80">
        <f t="shared" si="25"/>
        <v>0</v>
      </c>
      <c r="K95" s="178">
        <v>0</v>
      </c>
      <c r="L95" s="80">
        <f t="shared" si="26"/>
        <v>0</v>
      </c>
      <c r="M95" s="178">
        <v>0</v>
      </c>
      <c r="N95" s="80">
        <f t="shared" si="27"/>
        <v>0</v>
      </c>
      <c r="O95" s="178">
        <v>0</v>
      </c>
      <c r="P95" s="80">
        <f t="shared" si="28"/>
        <v>0</v>
      </c>
      <c r="Q95" s="178">
        <v>0</v>
      </c>
      <c r="R95" s="80">
        <f t="shared" si="29"/>
        <v>0</v>
      </c>
      <c r="S95" s="178">
        <v>0</v>
      </c>
      <c r="T95" s="80">
        <f t="shared" si="30"/>
        <v>0</v>
      </c>
      <c r="U95" s="178">
        <v>0</v>
      </c>
      <c r="V95" s="80">
        <f t="shared" si="31"/>
        <v>0</v>
      </c>
      <c r="X95" s="192"/>
    </row>
    <row r="96" spans="1:24" ht="12.75" customHeight="1">
      <c r="A96" s="2" t="s">
        <v>440</v>
      </c>
      <c r="B96" s="35"/>
      <c r="C96" s="178">
        <v>0</v>
      </c>
      <c r="D96" s="80">
        <f t="shared" si="22"/>
        <v>0</v>
      </c>
      <c r="E96" s="178">
        <v>0</v>
      </c>
      <c r="F96" s="80">
        <f t="shared" si="23"/>
        <v>0</v>
      </c>
      <c r="G96" s="178">
        <v>0</v>
      </c>
      <c r="H96" s="80">
        <f t="shared" si="24"/>
        <v>0</v>
      </c>
      <c r="I96" s="178">
        <v>0</v>
      </c>
      <c r="J96" s="80">
        <f t="shared" si="25"/>
        <v>0</v>
      </c>
      <c r="K96" s="178">
        <v>0</v>
      </c>
      <c r="L96" s="80">
        <f t="shared" si="26"/>
        <v>0</v>
      </c>
      <c r="M96" s="178">
        <v>0</v>
      </c>
      <c r="N96" s="80">
        <f t="shared" si="27"/>
        <v>0</v>
      </c>
      <c r="O96" s="178">
        <v>0</v>
      </c>
      <c r="P96" s="80">
        <f t="shared" si="28"/>
        <v>0</v>
      </c>
      <c r="Q96" s="178">
        <v>0</v>
      </c>
      <c r="R96" s="80">
        <f t="shared" si="29"/>
        <v>0</v>
      </c>
      <c r="S96" s="178">
        <v>0</v>
      </c>
      <c r="T96" s="80">
        <f t="shared" si="30"/>
        <v>0</v>
      </c>
      <c r="U96" s="178">
        <v>0</v>
      </c>
      <c r="V96" s="80">
        <f t="shared" si="31"/>
        <v>0</v>
      </c>
      <c r="X96" s="192"/>
    </row>
    <row r="97" spans="1:24" ht="12.75" customHeight="1">
      <c r="A97" s="2" t="s">
        <v>441</v>
      </c>
      <c r="B97" s="35"/>
      <c r="C97" s="178">
        <v>3663.2112999999999</v>
      </c>
      <c r="D97" s="80">
        <f t="shared" si="22"/>
        <v>1.341835641025641E-2</v>
      </c>
      <c r="E97" s="178">
        <v>4073.4909656000004</v>
      </c>
      <c r="F97" s="80">
        <f t="shared" si="23"/>
        <v>1.4343278047887325E-2</v>
      </c>
      <c r="G97" s="178">
        <v>0</v>
      </c>
      <c r="H97" s="80">
        <f t="shared" si="24"/>
        <v>0</v>
      </c>
      <c r="I97" s="178">
        <v>0</v>
      </c>
      <c r="J97" s="80">
        <f t="shared" si="25"/>
        <v>0</v>
      </c>
      <c r="K97" s="178">
        <v>0</v>
      </c>
      <c r="L97" s="80">
        <f t="shared" si="26"/>
        <v>0</v>
      </c>
      <c r="M97" s="178">
        <v>0</v>
      </c>
      <c r="N97" s="80">
        <f t="shared" si="27"/>
        <v>0</v>
      </c>
      <c r="O97" s="178">
        <v>0</v>
      </c>
      <c r="P97" s="80">
        <f t="shared" si="28"/>
        <v>0</v>
      </c>
      <c r="Q97" s="178">
        <v>0</v>
      </c>
      <c r="R97" s="80">
        <f t="shared" si="29"/>
        <v>0</v>
      </c>
      <c r="S97" s="178">
        <v>0</v>
      </c>
      <c r="T97" s="80">
        <f t="shared" si="30"/>
        <v>0</v>
      </c>
      <c r="U97" s="178">
        <v>0</v>
      </c>
      <c r="V97" s="80">
        <f t="shared" si="31"/>
        <v>0</v>
      </c>
      <c r="X97" s="192"/>
    </row>
    <row r="98" spans="1:24" ht="12.75" customHeight="1">
      <c r="A98" s="117" t="s">
        <v>444</v>
      </c>
      <c r="B98" s="35"/>
      <c r="C98" s="178">
        <v>327.59999999999997</v>
      </c>
      <c r="D98" s="80">
        <f t="shared" si="22"/>
        <v>1.1999999999999999E-3</v>
      </c>
      <c r="E98" s="178">
        <v>340.79999999999995</v>
      </c>
      <c r="F98" s="80">
        <f t="shared" si="23"/>
        <v>1.1999999999999999E-3</v>
      </c>
      <c r="G98" s="178">
        <v>0</v>
      </c>
      <c r="H98" s="80">
        <f t="shared" si="24"/>
        <v>0</v>
      </c>
      <c r="I98" s="178">
        <v>0</v>
      </c>
      <c r="J98" s="80">
        <f t="shared" si="25"/>
        <v>0</v>
      </c>
      <c r="K98" s="178">
        <v>0</v>
      </c>
      <c r="L98" s="80">
        <f t="shared" si="26"/>
        <v>0</v>
      </c>
      <c r="M98" s="178">
        <v>0</v>
      </c>
      <c r="N98" s="80">
        <f t="shared" si="27"/>
        <v>0</v>
      </c>
      <c r="O98" s="178">
        <v>0</v>
      </c>
      <c r="P98" s="80">
        <f t="shared" si="28"/>
        <v>0</v>
      </c>
      <c r="Q98" s="178">
        <v>0</v>
      </c>
      <c r="R98" s="80">
        <f t="shared" si="29"/>
        <v>0</v>
      </c>
      <c r="S98" s="178">
        <v>0</v>
      </c>
      <c r="T98" s="80">
        <f t="shared" si="30"/>
        <v>0</v>
      </c>
      <c r="U98" s="178">
        <v>0</v>
      </c>
      <c r="V98" s="80">
        <f t="shared" si="31"/>
        <v>0</v>
      </c>
      <c r="X98" s="192"/>
    </row>
    <row r="99" spans="1:24" ht="12.75" customHeight="1">
      <c r="A99" s="117" t="s">
        <v>444</v>
      </c>
      <c r="B99" s="35"/>
      <c r="C99" s="178">
        <v>0</v>
      </c>
      <c r="D99" s="80">
        <f t="shared" si="22"/>
        <v>0</v>
      </c>
      <c r="E99" s="178">
        <v>0</v>
      </c>
      <c r="F99" s="80">
        <f t="shared" si="23"/>
        <v>0</v>
      </c>
      <c r="G99" s="178">
        <v>0</v>
      </c>
      <c r="H99" s="80">
        <f t="shared" si="24"/>
        <v>0</v>
      </c>
      <c r="I99" s="178">
        <v>0</v>
      </c>
      <c r="J99" s="80">
        <f t="shared" si="25"/>
        <v>0</v>
      </c>
      <c r="K99" s="178">
        <v>0</v>
      </c>
      <c r="L99" s="80">
        <f t="shared" si="26"/>
        <v>0</v>
      </c>
      <c r="M99" s="178">
        <v>0</v>
      </c>
      <c r="N99" s="80">
        <f t="shared" si="27"/>
        <v>0</v>
      </c>
      <c r="O99" s="178">
        <v>0</v>
      </c>
      <c r="P99" s="80">
        <f t="shared" si="28"/>
        <v>0</v>
      </c>
      <c r="Q99" s="178">
        <v>0</v>
      </c>
      <c r="R99" s="80">
        <f t="shared" si="29"/>
        <v>0</v>
      </c>
      <c r="S99" s="178">
        <v>0</v>
      </c>
      <c r="T99" s="80">
        <f t="shared" si="30"/>
        <v>0</v>
      </c>
      <c r="U99" s="178">
        <v>0</v>
      </c>
      <c r="V99" s="80">
        <f t="shared" si="31"/>
        <v>0</v>
      </c>
      <c r="X99" s="192"/>
    </row>
    <row r="100" spans="1:24" ht="12.75" customHeight="1">
      <c r="A100" s="117" t="s">
        <v>444</v>
      </c>
      <c r="B100" s="35"/>
      <c r="C100" s="178">
        <v>0</v>
      </c>
      <c r="D100" s="80">
        <f t="shared" si="22"/>
        <v>0</v>
      </c>
      <c r="E100" s="178">
        <v>0</v>
      </c>
      <c r="F100" s="80">
        <f t="shared" si="23"/>
        <v>0</v>
      </c>
      <c r="G100" s="178">
        <v>0</v>
      </c>
      <c r="H100" s="80">
        <f t="shared" si="24"/>
        <v>0</v>
      </c>
      <c r="I100" s="178">
        <v>0</v>
      </c>
      <c r="J100" s="80">
        <f t="shared" si="25"/>
        <v>0</v>
      </c>
      <c r="K100" s="178">
        <v>0</v>
      </c>
      <c r="L100" s="80">
        <f t="shared" si="26"/>
        <v>0</v>
      </c>
      <c r="M100" s="178">
        <v>0</v>
      </c>
      <c r="N100" s="80">
        <f t="shared" si="27"/>
        <v>0</v>
      </c>
      <c r="O100" s="178">
        <v>0</v>
      </c>
      <c r="P100" s="80">
        <f t="shared" si="28"/>
        <v>0</v>
      </c>
      <c r="Q100" s="178">
        <v>0</v>
      </c>
      <c r="R100" s="80">
        <f t="shared" si="29"/>
        <v>0</v>
      </c>
      <c r="S100" s="178">
        <v>0</v>
      </c>
      <c r="T100" s="80">
        <f t="shared" si="30"/>
        <v>0</v>
      </c>
      <c r="U100" s="178">
        <v>0</v>
      </c>
      <c r="V100" s="80">
        <f t="shared" si="31"/>
        <v>0</v>
      </c>
      <c r="X100" s="192"/>
    </row>
    <row r="101" spans="1:24" ht="12.75" customHeight="1">
      <c r="A101" s="2" t="s">
        <v>445</v>
      </c>
      <c r="B101" s="35"/>
      <c r="C101" s="178"/>
      <c r="D101" s="80">
        <f t="shared" si="22"/>
        <v>0</v>
      </c>
      <c r="E101" s="178"/>
      <c r="F101" s="80">
        <f t="shared" si="23"/>
        <v>0</v>
      </c>
      <c r="G101" s="178"/>
      <c r="H101" s="80">
        <f t="shared" si="24"/>
        <v>0</v>
      </c>
      <c r="I101" s="178">
        <v>0</v>
      </c>
      <c r="J101" s="80">
        <f t="shared" si="25"/>
        <v>0</v>
      </c>
      <c r="K101" s="178">
        <v>0</v>
      </c>
      <c r="L101" s="80">
        <f t="shared" si="26"/>
        <v>0</v>
      </c>
      <c r="M101" s="178">
        <v>0</v>
      </c>
      <c r="N101" s="80">
        <f t="shared" si="27"/>
        <v>0</v>
      </c>
      <c r="O101" s="178">
        <v>0</v>
      </c>
      <c r="P101" s="80">
        <f t="shared" si="28"/>
        <v>0</v>
      </c>
      <c r="Q101" s="178">
        <v>0</v>
      </c>
      <c r="R101" s="80">
        <f t="shared" si="29"/>
        <v>0</v>
      </c>
      <c r="S101" s="178">
        <v>0</v>
      </c>
      <c r="T101" s="80">
        <f t="shared" si="30"/>
        <v>0</v>
      </c>
      <c r="U101" s="178">
        <v>0</v>
      </c>
      <c r="V101" s="80">
        <f t="shared" si="31"/>
        <v>0</v>
      </c>
      <c r="X101" s="192"/>
    </row>
    <row r="102" spans="1:24" ht="12.75" customHeight="1">
      <c r="A102" s="117" t="s">
        <v>446</v>
      </c>
      <c r="B102" s="35"/>
      <c r="C102" s="178">
        <v>2730</v>
      </c>
      <c r="D102" s="80">
        <f t="shared" si="22"/>
        <v>0.01</v>
      </c>
      <c r="E102" s="178">
        <v>2840</v>
      </c>
      <c r="F102" s="80">
        <f t="shared" si="23"/>
        <v>0.01</v>
      </c>
      <c r="G102" s="178">
        <v>0</v>
      </c>
      <c r="H102" s="80">
        <f t="shared" si="24"/>
        <v>0</v>
      </c>
      <c r="I102" s="178">
        <v>0</v>
      </c>
      <c r="J102" s="80">
        <f t="shared" si="25"/>
        <v>0</v>
      </c>
      <c r="K102" s="178">
        <v>0</v>
      </c>
      <c r="L102" s="80">
        <f t="shared" si="26"/>
        <v>0</v>
      </c>
      <c r="M102" s="178">
        <v>0</v>
      </c>
      <c r="N102" s="80">
        <f t="shared" si="27"/>
        <v>0</v>
      </c>
      <c r="O102" s="178">
        <v>0</v>
      </c>
      <c r="P102" s="80">
        <f t="shared" si="28"/>
        <v>0</v>
      </c>
      <c r="Q102" s="178">
        <v>0</v>
      </c>
      <c r="R102" s="80">
        <f t="shared" si="29"/>
        <v>0</v>
      </c>
      <c r="S102" s="178">
        <v>0</v>
      </c>
      <c r="T102" s="80">
        <f t="shared" si="30"/>
        <v>0</v>
      </c>
      <c r="U102" s="178">
        <v>0</v>
      </c>
      <c r="V102" s="80">
        <f t="shared" si="31"/>
        <v>0</v>
      </c>
      <c r="X102" s="192"/>
    </row>
    <row r="103" spans="1:24" ht="12.75" customHeight="1">
      <c r="A103" s="117" t="s">
        <v>446</v>
      </c>
      <c r="B103" s="35"/>
      <c r="C103" s="178">
        <v>0</v>
      </c>
      <c r="D103" s="80">
        <f t="shared" si="22"/>
        <v>0</v>
      </c>
      <c r="E103" s="178">
        <v>0</v>
      </c>
      <c r="F103" s="80">
        <f t="shared" si="23"/>
        <v>0</v>
      </c>
      <c r="G103" s="178">
        <v>0</v>
      </c>
      <c r="H103" s="80">
        <f t="shared" si="24"/>
        <v>0</v>
      </c>
      <c r="I103" s="178">
        <v>0</v>
      </c>
      <c r="J103" s="80">
        <f t="shared" si="25"/>
        <v>0</v>
      </c>
      <c r="K103" s="178">
        <v>0</v>
      </c>
      <c r="L103" s="80">
        <f t="shared" si="26"/>
        <v>0</v>
      </c>
      <c r="M103" s="178">
        <v>0</v>
      </c>
      <c r="N103" s="80">
        <f t="shared" si="27"/>
        <v>0</v>
      </c>
      <c r="O103" s="178">
        <v>0</v>
      </c>
      <c r="P103" s="80">
        <f t="shared" si="28"/>
        <v>0</v>
      </c>
      <c r="Q103" s="178">
        <v>0</v>
      </c>
      <c r="R103" s="80">
        <f t="shared" si="29"/>
        <v>0</v>
      </c>
      <c r="S103" s="178">
        <v>0</v>
      </c>
      <c r="T103" s="80">
        <f t="shared" si="30"/>
        <v>0</v>
      </c>
      <c r="U103" s="178">
        <v>0</v>
      </c>
      <c r="V103" s="80">
        <f t="shared" si="31"/>
        <v>0</v>
      </c>
      <c r="X103" s="192"/>
    </row>
    <row r="104" spans="1:24" ht="12.75" customHeight="1">
      <c r="A104" s="117" t="s">
        <v>446</v>
      </c>
      <c r="B104" s="1"/>
      <c r="C104" s="178">
        <v>0</v>
      </c>
      <c r="D104" s="80">
        <f t="shared" si="22"/>
        <v>0</v>
      </c>
      <c r="E104" s="178">
        <v>0</v>
      </c>
      <c r="F104" s="80">
        <f t="shared" si="23"/>
        <v>0</v>
      </c>
      <c r="G104" s="178">
        <v>0</v>
      </c>
      <c r="H104" s="80">
        <f t="shared" si="24"/>
        <v>0</v>
      </c>
      <c r="I104" s="178">
        <v>0</v>
      </c>
      <c r="J104" s="80">
        <f t="shared" si="25"/>
        <v>0</v>
      </c>
      <c r="K104" s="178">
        <v>0</v>
      </c>
      <c r="L104" s="80">
        <f t="shared" si="26"/>
        <v>0</v>
      </c>
      <c r="M104" s="178">
        <v>0</v>
      </c>
      <c r="N104" s="80">
        <f t="shared" si="27"/>
        <v>0</v>
      </c>
      <c r="O104" s="178">
        <v>0</v>
      </c>
      <c r="P104" s="80">
        <f t="shared" si="28"/>
        <v>0</v>
      </c>
      <c r="Q104" s="178">
        <v>0</v>
      </c>
      <c r="R104" s="80">
        <f t="shared" si="29"/>
        <v>0</v>
      </c>
      <c r="S104" s="178">
        <v>0</v>
      </c>
      <c r="T104" s="80">
        <f t="shared" si="30"/>
        <v>0</v>
      </c>
      <c r="U104" s="178">
        <v>0</v>
      </c>
      <c r="V104" s="80">
        <f t="shared" si="31"/>
        <v>0</v>
      </c>
      <c r="X104" s="192"/>
    </row>
    <row r="105" spans="1:24" ht="12.75" customHeight="1">
      <c r="A105" s="1" t="s">
        <v>447</v>
      </c>
      <c r="B105" s="53"/>
      <c r="C105" s="82">
        <f>SUM(C52:C104)</f>
        <v>50667.17189731112</v>
      </c>
      <c r="D105" s="83">
        <f t="shared" ref="D105" si="32">IFERROR(C105/C$28,0)</f>
        <v>0.18559403625388687</v>
      </c>
      <c r="E105" s="82">
        <f>SUM(E52:E104)</f>
        <v>53022.39361771031</v>
      </c>
      <c r="F105" s="83">
        <f t="shared" ref="F105" si="33">IFERROR(E105/E$28,0)</f>
        <v>0.18669856907644475</v>
      </c>
      <c r="G105" s="82">
        <f>SUM(G52:G104)</f>
        <v>0</v>
      </c>
      <c r="H105" s="83">
        <f t="shared" ref="H105" si="34">IFERROR(G105/G$28,0)</f>
        <v>0</v>
      </c>
      <c r="I105" s="82">
        <f>SUM(I52:I104)</f>
        <v>0</v>
      </c>
      <c r="J105" s="83">
        <f t="shared" ref="J105" si="35">IFERROR(I105/I$28,0)</f>
        <v>0</v>
      </c>
      <c r="K105" s="82">
        <f>SUM(K52:K104)</f>
        <v>0</v>
      </c>
      <c r="L105" s="83">
        <f t="shared" ref="L105" si="36">IFERROR(K105/K$28,0)</f>
        <v>0</v>
      </c>
      <c r="M105" s="82">
        <f>SUM(M52:M104)</f>
        <v>0</v>
      </c>
      <c r="N105" s="83">
        <f t="shared" ref="N105" si="37">IFERROR(M105/M$28,0)</f>
        <v>0</v>
      </c>
      <c r="O105" s="82">
        <f>SUM(O52:O104)</f>
        <v>0</v>
      </c>
      <c r="P105" s="83">
        <f t="shared" ref="P105" si="38">IFERROR(O105/O$28,0)</f>
        <v>0</v>
      </c>
      <c r="Q105" s="82">
        <f>SUM(Q52:Q104)</f>
        <v>0</v>
      </c>
      <c r="R105" s="83">
        <f t="shared" ref="R105" si="39">IFERROR(Q105/Q$28,0)</f>
        <v>0</v>
      </c>
      <c r="S105" s="82">
        <f>SUM(S52:S104)</f>
        <v>0</v>
      </c>
      <c r="T105" s="83">
        <f t="shared" ref="T105" si="40">IFERROR(S105/S$28,0)</f>
        <v>0</v>
      </c>
      <c r="U105" s="82">
        <f>SUM(U52:U104)</f>
        <v>0</v>
      </c>
      <c r="V105" s="83">
        <f t="shared" si="31"/>
        <v>0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448</v>
      </c>
      <c r="B107" s="53"/>
      <c r="C107" s="82">
        <f>C28-C33-C46-C105</f>
        <v>34085.618102688888</v>
      </c>
      <c r="D107" s="83">
        <f>IFERROR(C107/C$28,0)</f>
        <v>0.12485574396589336</v>
      </c>
      <c r="E107" s="82">
        <f>E28-E33-E46-E105</f>
        <v>28087.212862289678</v>
      </c>
      <c r="F107" s="83">
        <f>IFERROR(E107/E$28,0)</f>
        <v>9.8898636839048162E-2</v>
      </c>
      <c r="G107" s="82">
        <f>G28-G33-G46-G105</f>
        <v>0</v>
      </c>
      <c r="H107" s="83">
        <f>IFERROR(G107/G$28,0)</f>
        <v>0</v>
      </c>
      <c r="I107" s="82">
        <f>I28-I33-I46-I105</f>
        <v>0</v>
      </c>
      <c r="J107" s="83">
        <f>IFERROR(I107/I$28,0)</f>
        <v>0</v>
      </c>
      <c r="K107" s="82">
        <f>K28-K33-K46-K105</f>
        <v>0</v>
      </c>
      <c r="L107" s="83">
        <f>IFERROR(K107/K$28,0)</f>
        <v>0</v>
      </c>
      <c r="M107" s="82">
        <f>M28-M33-M46-M105</f>
        <v>0</v>
      </c>
      <c r="N107" s="83">
        <f>IFERROR(M107/M$28,0)</f>
        <v>0</v>
      </c>
      <c r="O107" s="82">
        <f>O28-O33-O46-O105</f>
        <v>0</v>
      </c>
      <c r="P107" s="83">
        <f>IFERROR(O107/O$28,0)</f>
        <v>0</v>
      </c>
      <c r="Q107" s="82">
        <f>Q28-Q33-Q46-Q105</f>
        <v>0</v>
      </c>
      <c r="R107" s="83">
        <f>IFERROR(Q107/Q$28,0)</f>
        <v>0</v>
      </c>
      <c r="S107" s="82">
        <f>S28-S33-S46-S105</f>
        <v>0</v>
      </c>
      <c r="T107" s="83">
        <f>IFERROR(S107/S$28,0)</f>
        <v>0</v>
      </c>
      <c r="U107" s="82">
        <f>U28-U33-U46-U105</f>
        <v>0</v>
      </c>
      <c r="V107" s="83">
        <f>IFERROR(U107/U$28,0)</f>
        <v>0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449</v>
      </c>
      <c r="B110" s="40"/>
      <c r="C110" s="86" t="str">
        <f>C50</f>
        <v>FY 2018-19</v>
      </c>
      <c r="D110" s="86" t="s">
        <v>366</v>
      </c>
      <c r="E110" s="86" t="str">
        <f>E50</f>
        <v>FY 2019-20</v>
      </c>
      <c r="F110" s="86" t="s">
        <v>366</v>
      </c>
      <c r="G110" s="86" t="str">
        <f>G50</f>
        <v>FY 2020-21</v>
      </c>
      <c r="H110" s="86" t="s">
        <v>366</v>
      </c>
      <c r="I110" s="86" t="str">
        <f>I50</f>
        <v>FY 2021-22</v>
      </c>
      <c r="J110" s="86" t="s">
        <v>366</v>
      </c>
      <c r="K110" s="86" t="str">
        <f>K50</f>
        <v>FY 2022-23</v>
      </c>
      <c r="L110" s="86" t="s">
        <v>366</v>
      </c>
      <c r="M110" s="86" t="str">
        <f>M50</f>
        <v>FY 2023-24</v>
      </c>
      <c r="N110" s="86" t="s">
        <v>366</v>
      </c>
      <c r="O110" s="86" t="str">
        <f>O50</f>
        <v>FY 2024-25</v>
      </c>
      <c r="P110" s="86" t="s">
        <v>366</v>
      </c>
      <c r="Q110" s="86" t="str">
        <f>Q50</f>
        <v>FY 2025-26</v>
      </c>
      <c r="R110" s="86" t="s">
        <v>366</v>
      </c>
      <c r="S110" s="86" t="str">
        <f>S50</f>
        <v>FY 2026-27</v>
      </c>
      <c r="T110" s="86" t="s">
        <v>366</v>
      </c>
      <c r="U110" s="86" t="str">
        <f>U50</f>
        <v>FY 2027-28</v>
      </c>
      <c r="V110" s="86" t="s">
        <v>366</v>
      </c>
    </row>
    <row r="111" spans="1:24" ht="12.75" customHeight="1">
      <c r="A111" s="2" t="s">
        <v>403</v>
      </c>
      <c r="B111" s="35"/>
      <c r="C111" s="79">
        <f>C59</f>
        <v>0</v>
      </c>
      <c r="D111" s="80">
        <f t="shared" ref="D111:D116" si="41">IFERROR(C111/C$28,0)</f>
        <v>0</v>
      </c>
      <c r="E111" s="79">
        <f>E59</f>
        <v>0</v>
      </c>
      <c r="F111" s="80">
        <f t="shared" ref="F111:F116" si="42">IFERROR(E111/E$28,0)</f>
        <v>0</v>
      </c>
      <c r="G111" s="79">
        <f>G59</f>
        <v>0</v>
      </c>
      <c r="H111" s="80">
        <f t="shared" ref="H111:H116" si="43">IFERROR(G111/G$28,0)</f>
        <v>0</v>
      </c>
      <c r="I111" s="79">
        <f>I59</f>
        <v>0</v>
      </c>
      <c r="J111" s="80">
        <f t="shared" ref="J111:J116" si="44">IFERROR(I111/I$28,0)</f>
        <v>0</v>
      </c>
      <c r="K111" s="79">
        <f>K59</f>
        <v>0</v>
      </c>
      <c r="L111" s="80">
        <f t="shared" ref="L111:L116" si="45">IFERROR(K111/K$28,0)</f>
        <v>0</v>
      </c>
      <c r="M111" s="79">
        <f>M59</f>
        <v>0</v>
      </c>
      <c r="N111" s="80">
        <f t="shared" ref="N111:N116" si="46">IFERROR(M111/M$28,0)</f>
        <v>0</v>
      </c>
      <c r="O111" s="79">
        <f>O59</f>
        <v>0</v>
      </c>
      <c r="P111" s="80">
        <f t="shared" ref="P111:P116" si="47">IFERROR(O111/O$28,0)</f>
        <v>0</v>
      </c>
      <c r="Q111" s="79">
        <f>Q59</f>
        <v>0</v>
      </c>
      <c r="R111" s="80">
        <f t="shared" ref="R111:R116" si="48">IFERROR(Q111/Q$28,0)</f>
        <v>0</v>
      </c>
      <c r="S111" s="79">
        <f>S59</f>
        <v>0</v>
      </c>
      <c r="T111" s="80">
        <f t="shared" ref="T111:T116" si="49">IFERROR(S111/S$28,0)</f>
        <v>0</v>
      </c>
      <c r="U111" s="79">
        <f>U59</f>
        <v>0</v>
      </c>
      <c r="V111" s="80">
        <f t="shared" ref="V111:V116" si="50">IFERROR(U111/U$28,0)</f>
        <v>0</v>
      </c>
    </row>
    <row r="112" spans="1:24" ht="12.75" customHeight="1">
      <c r="A112" s="2" t="s">
        <v>450</v>
      </c>
      <c r="B112" s="35"/>
      <c r="C112" s="79">
        <f>C62</f>
        <v>0</v>
      </c>
      <c r="D112" s="80">
        <f t="shared" si="41"/>
        <v>0</v>
      </c>
      <c r="E112" s="79">
        <f>E62</f>
        <v>0</v>
      </c>
      <c r="F112" s="80">
        <f t="shared" si="42"/>
        <v>0</v>
      </c>
      <c r="G112" s="79">
        <f>G62</f>
        <v>0</v>
      </c>
      <c r="H112" s="80">
        <f t="shared" si="43"/>
        <v>0</v>
      </c>
      <c r="I112" s="79">
        <f>I62</f>
        <v>0</v>
      </c>
      <c r="J112" s="80">
        <f t="shared" si="44"/>
        <v>0</v>
      </c>
      <c r="K112" s="79">
        <f>K62</f>
        <v>0</v>
      </c>
      <c r="L112" s="80">
        <f t="shared" si="45"/>
        <v>0</v>
      </c>
      <c r="M112" s="79">
        <f>M62</f>
        <v>0</v>
      </c>
      <c r="N112" s="80">
        <f t="shared" si="46"/>
        <v>0</v>
      </c>
      <c r="O112" s="79">
        <f>O62</f>
        <v>0</v>
      </c>
      <c r="P112" s="80">
        <f t="shared" si="47"/>
        <v>0</v>
      </c>
      <c r="Q112" s="79">
        <f>Q62</f>
        <v>0</v>
      </c>
      <c r="R112" s="80">
        <f t="shared" si="48"/>
        <v>0</v>
      </c>
      <c r="S112" s="79">
        <f>S62</f>
        <v>0</v>
      </c>
      <c r="T112" s="80">
        <f t="shared" si="49"/>
        <v>0</v>
      </c>
      <c r="U112" s="79">
        <f>U62</f>
        <v>0</v>
      </c>
      <c r="V112" s="80">
        <f t="shared" si="50"/>
        <v>0</v>
      </c>
    </row>
    <row r="113" spans="1:22" ht="12.75" customHeight="1">
      <c r="A113" s="117" t="s">
        <v>446</v>
      </c>
      <c r="B113" s="41"/>
      <c r="C113" s="111">
        <v>0</v>
      </c>
      <c r="D113" s="80">
        <f t="shared" si="41"/>
        <v>0</v>
      </c>
      <c r="E113" s="111">
        <v>0</v>
      </c>
      <c r="F113" s="80">
        <f t="shared" si="42"/>
        <v>0</v>
      </c>
      <c r="G113" s="111">
        <v>0</v>
      </c>
      <c r="H113" s="80">
        <f t="shared" si="43"/>
        <v>0</v>
      </c>
      <c r="I113" s="111">
        <v>0</v>
      </c>
      <c r="J113" s="80">
        <f t="shared" si="44"/>
        <v>0</v>
      </c>
      <c r="K113" s="111">
        <v>0</v>
      </c>
      <c r="L113" s="80">
        <f t="shared" si="45"/>
        <v>0</v>
      </c>
      <c r="M113" s="111">
        <v>0</v>
      </c>
      <c r="N113" s="80">
        <f t="shared" si="46"/>
        <v>0</v>
      </c>
      <c r="O113" s="111">
        <v>0</v>
      </c>
      <c r="P113" s="80">
        <f t="shared" si="47"/>
        <v>0</v>
      </c>
      <c r="Q113" s="111">
        <v>0</v>
      </c>
      <c r="R113" s="80">
        <f t="shared" si="48"/>
        <v>0</v>
      </c>
      <c r="S113" s="111">
        <v>0</v>
      </c>
      <c r="T113" s="80">
        <f t="shared" si="49"/>
        <v>0</v>
      </c>
      <c r="U113" s="111">
        <v>0</v>
      </c>
      <c r="V113" s="80">
        <f t="shared" si="50"/>
        <v>0</v>
      </c>
    </row>
    <row r="114" spans="1:22" ht="12.75" customHeight="1">
      <c r="A114" s="117" t="s">
        <v>446</v>
      </c>
      <c r="B114" s="41"/>
      <c r="C114" s="111">
        <v>0</v>
      </c>
      <c r="D114" s="80">
        <f t="shared" si="41"/>
        <v>0</v>
      </c>
      <c r="E114" s="111">
        <v>0</v>
      </c>
      <c r="F114" s="80">
        <f t="shared" si="42"/>
        <v>0</v>
      </c>
      <c r="G114" s="111">
        <v>0</v>
      </c>
      <c r="H114" s="80">
        <f t="shared" si="43"/>
        <v>0</v>
      </c>
      <c r="I114" s="111">
        <v>0</v>
      </c>
      <c r="J114" s="80">
        <f t="shared" si="44"/>
        <v>0</v>
      </c>
      <c r="K114" s="111">
        <v>0</v>
      </c>
      <c r="L114" s="80">
        <f t="shared" si="45"/>
        <v>0</v>
      </c>
      <c r="M114" s="111">
        <v>0</v>
      </c>
      <c r="N114" s="80">
        <f t="shared" si="46"/>
        <v>0</v>
      </c>
      <c r="O114" s="111">
        <v>0</v>
      </c>
      <c r="P114" s="80">
        <f t="shared" si="47"/>
        <v>0</v>
      </c>
      <c r="Q114" s="111">
        <v>0</v>
      </c>
      <c r="R114" s="80">
        <f t="shared" si="48"/>
        <v>0</v>
      </c>
      <c r="S114" s="111">
        <v>0</v>
      </c>
      <c r="T114" s="80">
        <f t="shared" si="49"/>
        <v>0</v>
      </c>
      <c r="U114" s="111">
        <v>0</v>
      </c>
      <c r="V114" s="80">
        <f t="shared" si="50"/>
        <v>0</v>
      </c>
    </row>
    <row r="115" spans="1:22" ht="12.75" customHeight="1">
      <c r="A115" s="117" t="s">
        <v>446</v>
      </c>
      <c r="B115" s="41"/>
      <c r="C115" s="112">
        <v>0</v>
      </c>
      <c r="D115" s="80">
        <f t="shared" si="41"/>
        <v>0</v>
      </c>
      <c r="E115" s="112">
        <v>0</v>
      </c>
      <c r="F115" s="80">
        <f t="shared" si="42"/>
        <v>0</v>
      </c>
      <c r="G115" s="112">
        <v>0</v>
      </c>
      <c r="H115" s="80">
        <f t="shared" si="43"/>
        <v>0</v>
      </c>
      <c r="I115" s="112">
        <v>0</v>
      </c>
      <c r="J115" s="80">
        <f t="shared" si="44"/>
        <v>0</v>
      </c>
      <c r="K115" s="112">
        <v>0</v>
      </c>
      <c r="L115" s="80">
        <f t="shared" si="45"/>
        <v>0</v>
      </c>
      <c r="M115" s="112">
        <v>0</v>
      </c>
      <c r="N115" s="80">
        <f t="shared" si="46"/>
        <v>0</v>
      </c>
      <c r="O115" s="112">
        <v>0</v>
      </c>
      <c r="P115" s="80">
        <f t="shared" si="47"/>
        <v>0</v>
      </c>
      <c r="Q115" s="112">
        <v>0</v>
      </c>
      <c r="R115" s="80">
        <f t="shared" si="48"/>
        <v>0</v>
      </c>
      <c r="S115" s="112">
        <v>0</v>
      </c>
      <c r="T115" s="80">
        <f t="shared" si="49"/>
        <v>0</v>
      </c>
      <c r="U115" s="112">
        <v>0</v>
      </c>
      <c r="V115" s="80">
        <f t="shared" si="50"/>
        <v>0</v>
      </c>
    </row>
    <row r="116" spans="1:22" ht="12.75" customHeight="1">
      <c r="A116" s="40" t="s">
        <v>451</v>
      </c>
      <c r="B116" s="42"/>
      <c r="C116" s="85">
        <f>SUM(C111:C115)</f>
        <v>0</v>
      </c>
      <c r="D116" s="83">
        <f t="shared" si="41"/>
        <v>0</v>
      </c>
      <c r="E116" s="85">
        <f>SUM(E111:E115)</f>
        <v>0</v>
      </c>
      <c r="F116" s="83">
        <f t="shared" si="42"/>
        <v>0</v>
      </c>
      <c r="G116" s="85">
        <f>SUM(G111:G115)</f>
        <v>0</v>
      </c>
      <c r="H116" s="83">
        <f t="shared" si="43"/>
        <v>0</v>
      </c>
      <c r="I116" s="85">
        <f>SUM(I111:I115)</f>
        <v>0</v>
      </c>
      <c r="J116" s="83">
        <f t="shared" si="44"/>
        <v>0</v>
      </c>
      <c r="K116" s="85">
        <f>SUM(K111:K115)</f>
        <v>0</v>
      </c>
      <c r="L116" s="83">
        <f t="shared" si="45"/>
        <v>0</v>
      </c>
      <c r="M116" s="85">
        <f>SUM(M111:M115)</f>
        <v>0</v>
      </c>
      <c r="N116" s="83">
        <f t="shared" si="46"/>
        <v>0</v>
      </c>
      <c r="O116" s="85">
        <f>SUM(O111:O115)</f>
        <v>0</v>
      </c>
      <c r="P116" s="83">
        <f t="shared" si="47"/>
        <v>0</v>
      </c>
      <c r="Q116" s="85">
        <f>SUM(Q111:Q115)</f>
        <v>0</v>
      </c>
      <c r="R116" s="83">
        <f t="shared" si="48"/>
        <v>0</v>
      </c>
      <c r="S116" s="85">
        <f>SUM(S111:S115)</f>
        <v>0</v>
      </c>
      <c r="T116" s="83">
        <f t="shared" si="49"/>
        <v>0</v>
      </c>
      <c r="U116" s="85">
        <f>SUM(U111:U115)</f>
        <v>0</v>
      </c>
      <c r="V116" s="83">
        <f t="shared" si="50"/>
        <v>0</v>
      </c>
    </row>
    <row r="118" spans="1:22" ht="12.75" customHeight="1">
      <c r="A118" s="43" t="s">
        <v>452</v>
      </c>
      <c r="B118" s="43"/>
    </row>
    <row r="119" spans="1:22" ht="12.75" customHeight="1">
      <c r="A119" s="47" t="s">
        <v>453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7" tint="0.59999389629810485"/>
  </sheetPr>
  <dimension ref="A1:X119"/>
  <sheetViews>
    <sheetView topLeftCell="A9" zoomScale="70" zoomScaleNormal="70" workbookViewId="0" xr3:uid="{C7A11F4D-6E51-5B1A-9CF2-8FFD2B06F078}">
      <selection activeCell="W59" sqref="W59"/>
    </sheetView>
  </sheetViews>
  <sheetFormatPr defaultColWidth="9.140625" defaultRowHeight="12.75" customHeight="1"/>
  <cols>
    <col min="1" max="1" width="9.5703125" style="2" customWidth="1"/>
    <col min="2" max="2" width="42.5703125" style="2" customWidth="1"/>
    <col min="3" max="3" width="12.7109375" style="2" customWidth="1"/>
    <col min="4" max="4" width="8.7109375" style="2" customWidth="1"/>
    <col min="5" max="5" width="12.7109375" style="2" customWidth="1"/>
    <col min="6" max="6" width="8.7109375" style="2" customWidth="1"/>
    <col min="7" max="7" width="12.710937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355</v>
      </c>
      <c r="G2" s="33" t="s">
        <v>473</v>
      </c>
      <c r="H2" s="34"/>
      <c r="I2" s="34"/>
      <c r="V2" s="32"/>
    </row>
    <row r="3" spans="1:22" ht="12.75" customHeight="1">
      <c r="A3" s="1" t="s">
        <v>357</v>
      </c>
      <c r="D3" s="118" t="s">
        <v>358</v>
      </c>
      <c r="G3" s="115" t="str">
        <f>+G2</f>
        <v xml:space="preserve">Chipotle </v>
      </c>
      <c r="H3" s="116"/>
      <c r="I3" s="116"/>
      <c r="V3" s="32"/>
    </row>
    <row r="4" spans="1:22" ht="12.75" customHeight="1">
      <c r="A4" s="1" t="s">
        <v>359</v>
      </c>
      <c r="B4" s="109" t="s">
        <v>221</v>
      </c>
      <c r="D4" s="118" t="s">
        <v>360</v>
      </c>
      <c r="G4" s="115" t="s">
        <v>65</v>
      </c>
      <c r="H4" s="116"/>
      <c r="I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361</v>
      </c>
      <c r="B7" s="1"/>
    </row>
    <row r="8" spans="1:22" ht="12.75" customHeight="1">
      <c r="A8" s="2" t="s">
        <v>362</v>
      </c>
      <c r="C8" s="109">
        <v>209</v>
      </c>
      <c r="E8" s="109">
        <f>+C8</f>
        <v>209</v>
      </c>
      <c r="G8" s="109">
        <f>+E8</f>
        <v>209</v>
      </c>
      <c r="I8" s="109">
        <f>+G8</f>
        <v>209</v>
      </c>
      <c r="K8" s="109">
        <f>+I8</f>
        <v>209</v>
      </c>
      <c r="M8" s="109">
        <f>+K8</f>
        <v>209</v>
      </c>
      <c r="O8" s="109">
        <f>+M8</f>
        <v>209</v>
      </c>
      <c r="Q8" s="109">
        <f>+O8</f>
        <v>209</v>
      </c>
      <c r="S8" s="109">
        <f>+Q8</f>
        <v>209</v>
      </c>
      <c r="U8" s="109">
        <f>+S8</f>
        <v>209</v>
      </c>
    </row>
    <row r="10" spans="1:22" ht="12.75" customHeight="1">
      <c r="A10" s="2" t="s">
        <v>462</v>
      </c>
      <c r="C10" s="109"/>
      <c r="E10" s="109"/>
      <c r="G10" s="240">
        <f>+(G14/G8)/G12</f>
        <v>542.26475279106864</v>
      </c>
      <c r="I10" s="240">
        <f>+(I14/I8)/I12</f>
        <v>598.11802232854859</v>
      </c>
      <c r="K10" s="240">
        <f>+(K14/K8)/K12</f>
        <v>659.72417862838915</v>
      </c>
      <c r="M10" s="240">
        <f>+(M14/M8)/M12</f>
        <v>727.67576902711323</v>
      </c>
      <c r="O10" s="240">
        <f>+(O14/O8)/O12</f>
        <v>802.62637323690592</v>
      </c>
      <c r="Q10" s="240">
        <f>+(Q14/Q8)/Q12</f>
        <v>885.29688968030712</v>
      </c>
      <c r="S10" s="240">
        <f>+(S14/S8)/S12</f>
        <v>976.4824693173789</v>
      </c>
      <c r="U10" s="240">
        <f>+(U14/U8)/U12</f>
        <v>1077.0601636570689</v>
      </c>
    </row>
    <row r="12" spans="1:22" ht="12.75" customHeight="1">
      <c r="A12" s="2" t="s">
        <v>463</v>
      </c>
      <c r="C12" s="110"/>
      <c r="E12" s="110"/>
      <c r="G12" s="110">
        <v>7.5</v>
      </c>
      <c r="I12" s="110">
        <v>7.5</v>
      </c>
      <c r="K12" s="110">
        <v>7.5</v>
      </c>
      <c r="M12" s="110">
        <v>7.5</v>
      </c>
      <c r="O12" s="110">
        <v>7.5</v>
      </c>
      <c r="Q12" s="110">
        <v>7.5</v>
      </c>
      <c r="S12" s="110">
        <v>7.5</v>
      </c>
      <c r="U12" s="110">
        <v>7.5</v>
      </c>
    </row>
    <row r="14" spans="1:22" ht="12.75" customHeight="1">
      <c r="A14" s="2" t="s">
        <v>464</v>
      </c>
      <c r="C14" s="121">
        <f>C12*C10*C8</f>
        <v>0</v>
      </c>
      <c r="E14" s="121">
        <f>E12*E10*E8</f>
        <v>0</v>
      </c>
      <c r="G14" s="121">
        <v>850000</v>
      </c>
      <c r="I14" s="121">
        <f>+G14*1.103</f>
        <v>937550</v>
      </c>
      <c r="K14" s="121">
        <f>+I14*1.103</f>
        <v>1034117.65</v>
      </c>
      <c r="M14" s="121">
        <f>+K14*1.103</f>
        <v>1140631.76795</v>
      </c>
      <c r="O14" s="121">
        <f>+M14*1.103</f>
        <v>1258116.84004885</v>
      </c>
      <c r="Q14" s="121">
        <f>+O14*1.103</f>
        <v>1387702.8745738815</v>
      </c>
      <c r="S14" s="121">
        <f>+Q14*1.103</f>
        <v>1530636.2706549913</v>
      </c>
      <c r="U14" s="121">
        <f>+S14*1.103</f>
        <v>1688291.8065324554</v>
      </c>
    </row>
    <row r="15" spans="1:22" ht="12.75" customHeight="1">
      <c r="A15" s="39">
        <v>0.05</v>
      </c>
    </row>
    <row r="16" spans="1:22" ht="12.75" customHeight="1">
      <c r="B16" s="35"/>
      <c r="C16" s="86" t="str">
        <f>C6</f>
        <v>FY 2018-19</v>
      </c>
      <c r="D16" s="86" t="s">
        <v>366</v>
      </c>
      <c r="E16" s="86" t="str">
        <f>E6</f>
        <v>FY 2019-20</v>
      </c>
      <c r="F16" s="86" t="s">
        <v>366</v>
      </c>
      <c r="G16" s="86" t="str">
        <f>G6</f>
        <v>FY 2020-21</v>
      </c>
      <c r="H16" s="86" t="s">
        <v>366</v>
      </c>
      <c r="I16" s="86" t="str">
        <f>I6</f>
        <v>FY 2021-22</v>
      </c>
      <c r="J16" s="86" t="s">
        <v>366</v>
      </c>
      <c r="K16" s="86" t="str">
        <f>K6</f>
        <v>FY 2022-23</v>
      </c>
      <c r="L16" s="86" t="s">
        <v>366</v>
      </c>
      <c r="M16" s="86" t="str">
        <f>M6</f>
        <v>FY 2023-24</v>
      </c>
      <c r="N16" s="86" t="s">
        <v>366</v>
      </c>
      <c r="O16" s="86" t="str">
        <f>O6</f>
        <v>FY 2024-25</v>
      </c>
      <c r="P16" s="86" t="s">
        <v>366</v>
      </c>
      <c r="Q16" s="86" t="str">
        <f>Q6</f>
        <v>FY 2025-26</v>
      </c>
      <c r="R16" s="86" t="s">
        <v>366</v>
      </c>
      <c r="S16" s="86" t="str">
        <f>S6</f>
        <v>FY 2026-27</v>
      </c>
      <c r="T16" s="86" t="s">
        <v>366</v>
      </c>
      <c r="U16" s="86" t="str">
        <f>U6</f>
        <v>FY 2027-28</v>
      </c>
      <c r="V16" s="86" t="s">
        <v>366</v>
      </c>
    </row>
    <row r="17" spans="1:24" ht="12.75" customHeight="1">
      <c r="A17" s="1" t="s">
        <v>367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368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369</v>
      </c>
      <c r="B19" s="35"/>
      <c r="C19" s="200">
        <f>+C14-C20</f>
        <v>0</v>
      </c>
      <c r="D19" s="80">
        <f>IFERROR(C19/C$28,0)</f>
        <v>0</v>
      </c>
      <c r="E19" s="200">
        <f>+E14-E20</f>
        <v>0</v>
      </c>
      <c r="F19" s="80">
        <f>IFERROR(E19/E$28,0)</f>
        <v>0</v>
      </c>
      <c r="G19" s="200">
        <f>+G14-G20</f>
        <v>850000</v>
      </c>
      <c r="H19" s="80">
        <f>IFERROR(G19/G$28,0)</f>
        <v>1</v>
      </c>
      <c r="I19" s="200">
        <f>+I14-I20</f>
        <v>937550</v>
      </c>
      <c r="J19" s="80">
        <f>IFERROR(I19/I$28,0)</f>
        <v>1</v>
      </c>
      <c r="K19" s="200">
        <f>+K14-K20</f>
        <v>1034117.65</v>
      </c>
      <c r="L19" s="80">
        <f>IFERROR(K19/K$28,0)</f>
        <v>1</v>
      </c>
      <c r="M19" s="200">
        <f>+M14-M20</f>
        <v>1140631.76795</v>
      </c>
      <c r="N19" s="80">
        <f>IFERROR(M19/M$28,0)</f>
        <v>1</v>
      </c>
      <c r="O19" s="200">
        <f>+O14-O20</f>
        <v>1258116.84004885</v>
      </c>
      <c r="P19" s="80">
        <f>IFERROR(O19/O$28,0)</f>
        <v>1</v>
      </c>
      <c r="Q19" s="200">
        <f>+Q14-Q20</f>
        <v>1387702.8745738815</v>
      </c>
      <c r="R19" s="80">
        <f>IFERROR(Q19/Q$28,0)</f>
        <v>1</v>
      </c>
      <c r="S19" s="200">
        <f>+S14-S20</f>
        <v>1530636.2706549913</v>
      </c>
      <c r="T19" s="80">
        <f>IFERROR(S19/S$28,0)</f>
        <v>1</v>
      </c>
      <c r="U19" s="200">
        <f>+U14-U20</f>
        <v>1688291.8065324554</v>
      </c>
      <c r="V19" s="80">
        <f>IFERROR(U19/U$28,0)</f>
        <v>1</v>
      </c>
    </row>
    <row r="20" spans="1:24" ht="12.75" customHeight="1">
      <c r="A20" s="2" t="s">
        <v>370</v>
      </c>
      <c r="B20" s="35"/>
      <c r="C20" s="111">
        <f>+C14*12.38%</f>
        <v>0</v>
      </c>
      <c r="D20" s="80">
        <f>IFERROR(C20/C$28,0)</f>
        <v>0</v>
      </c>
      <c r="E20" s="111">
        <f>+E14*53.27%</f>
        <v>0</v>
      </c>
      <c r="F20" s="80">
        <f>IFERROR(E20/E$28,0)</f>
        <v>0</v>
      </c>
      <c r="G20" s="111">
        <f t="shared" ref="G20:U21" si="0">E20*1.02</f>
        <v>0</v>
      </c>
      <c r="H20" s="80">
        <f>IFERROR(G20/G$28,0)</f>
        <v>0</v>
      </c>
      <c r="I20" s="111">
        <f t="shared" si="0"/>
        <v>0</v>
      </c>
      <c r="J20" s="80">
        <f>IFERROR(I20/I$28,0)</f>
        <v>0</v>
      </c>
      <c r="K20" s="111">
        <f t="shared" si="0"/>
        <v>0</v>
      </c>
      <c r="L20" s="80">
        <f>IFERROR(K20/K$28,0)</f>
        <v>0</v>
      </c>
      <c r="M20" s="111">
        <f t="shared" si="0"/>
        <v>0</v>
      </c>
      <c r="N20" s="80">
        <f>IFERROR(M20/M$28,0)</f>
        <v>0</v>
      </c>
      <c r="O20" s="111">
        <f t="shared" si="0"/>
        <v>0</v>
      </c>
      <c r="P20" s="80">
        <f>IFERROR(O20/O$28,0)</f>
        <v>0</v>
      </c>
      <c r="Q20" s="111">
        <f t="shared" si="0"/>
        <v>0</v>
      </c>
      <c r="R20" s="80">
        <f>IFERROR(Q20/Q$28,0)</f>
        <v>0</v>
      </c>
      <c r="S20" s="111">
        <f t="shared" si="0"/>
        <v>0</v>
      </c>
      <c r="T20" s="80">
        <f>IFERROR(S20/S$28,0)</f>
        <v>0</v>
      </c>
      <c r="U20" s="111">
        <f t="shared" si="0"/>
        <v>0</v>
      </c>
      <c r="V20" s="80">
        <f>IFERROR(U20/U$28,0)</f>
        <v>0</v>
      </c>
    </row>
    <row r="21" spans="1:24" ht="12.75" customHeight="1">
      <c r="A21" s="2" t="s">
        <v>371</v>
      </c>
      <c r="B21" s="35"/>
      <c r="C21" s="111"/>
      <c r="D21" s="80">
        <f>IFERROR(C21/C$28,0)</f>
        <v>0</v>
      </c>
      <c r="E21" s="111">
        <v>0</v>
      </c>
      <c r="F21" s="80">
        <f>IFERROR(E21/E$28,0)</f>
        <v>0</v>
      </c>
      <c r="G21" s="111">
        <f t="shared" si="0"/>
        <v>0</v>
      </c>
      <c r="H21" s="80">
        <f>IFERROR(G21/G$28,0)</f>
        <v>0</v>
      </c>
      <c r="I21" s="111">
        <f t="shared" si="0"/>
        <v>0</v>
      </c>
      <c r="J21" s="80">
        <f>IFERROR(I21/I$28,0)</f>
        <v>0</v>
      </c>
      <c r="K21" s="111">
        <f t="shared" si="0"/>
        <v>0</v>
      </c>
      <c r="L21" s="80">
        <f>IFERROR(K21/K$28,0)</f>
        <v>0</v>
      </c>
      <c r="M21" s="111">
        <f t="shared" si="0"/>
        <v>0</v>
      </c>
      <c r="N21" s="80">
        <f>IFERROR(M21/M$28,0)</f>
        <v>0</v>
      </c>
      <c r="O21" s="111">
        <f t="shared" si="0"/>
        <v>0</v>
      </c>
      <c r="P21" s="80">
        <f>IFERROR(O21/O$28,0)</f>
        <v>0</v>
      </c>
      <c r="Q21" s="111">
        <f t="shared" si="0"/>
        <v>0</v>
      </c>
      <c r="R21" s="80">
        <f>IFERROR(Q21/Q$28,0)</f>
        <v>0</v>
      </c>
      <c r="S21" s="111">
        <f t="shared" si="0"/>
        <v>0</v>
      </c>
      <c r="T21" s="80">
        <f>IFERROR(S21/S$28,0)</f>
        <v>0</v>
      </c>
      <c r="U21" s="111">
        <f t="shared" si="0"/>
        <v>0</v>
      </c>
      <c r="V21" s="80">
        <f>IFERROR(U21/U$28,0)</f>
        <v>0</v>
      </c>
    </row>
    <row r="22" spans="1:24" ht="12.75" customHeight="1">
      <c r="A22" s="2" t="s">
        <v>372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373</v>
      </c>
      <c r="B23" s="123"/>
      <c r="C23" s="79"/>
      <c r="D23" s="80">
        <f t="shared" ref="D23:D28" si="1">IFERROR(C23/C$28,0)</f>
        <v>0</v>
      </c>
      <c r="E23" s="79"/>
      <c r="F23" s="80">
        <f t="shared" ref="F23:F28" si="2">IFERROR(E23/E$28,0)</f>
        <v>0</v>
      </c>
      <c r="G23" s="79"/>
      <c r="H23" s="80">
        <f t="shared" ref="H23:H28" si="3">IFERROR(G23/G$28,0)</f>
        <v>0</v>
      </c>
      <c r="I23" s="79"/>
      <c r="J23" s="80">
        <f t="shared" ref="J23:J28" si="4">IFERROR(I23/I$28,0)</f>
        <v>0</v>
      </c>
      <c r="K23" s="79"/>
      <c r="L23" s="80">
        <f t="shared" ref="L23:L28" si="5">IFERROR(K23/K$28,0)</f>
        <v>0</v>
      </c>
      <c r="M23" s="79"/>
      <c r="N23" s="80">
        <f t="shared" ref="N23:N28" si="6">IFERROR(M23/M$28,0)</f>
        <v>0</v>
      </c>
      <c r="O23" s="79"/>
      <c r="P23" s="80">
        <f t="shared" ref="P23:P28" si="7">IFERROR(O23/O$28,0)</f>
        <v>0</v>
      </c>
      <c r="Q23" s="79"/>
      <c r="R23" s="80">
        <f t="shared" ref="R23:R28" si="8">IFERROR(Q23/Q$28,0)</f>
        <v>0</v>
      </c>
      <c r="S23" s="79"/>
      <c r="T23" s="80">
        <f t="shared" ref="T23:T28" si="9">IFERROR(S23/S$28,0)</f>
        <v>0</v>
      </c>
      <c r="U23" s="79"/>
      <c r="V23" s="80">
        <f t="shared" ref="V23:V28" si="10">IFERROR(U23/U$28,0)</f>
        <v>0</v>
      </c>
    </row>
    <row r="24" spans="1:24" ht="12.75" customHeight="1">
      <c r="A24" s="122" t="s">
        <v>374</v>
      </c>
      <c r="B24" s="123"/>
      <c r="C24" s="79"/>
      <c r="D24" s="80">
        <f t="shared" si="1"/>
        <v>0</v>
      </c>
      <c r="E24" s="79"/>
      <c r="F24" s="80">
        <f t="shared" si="2"/>
        <v>0</v>
      </c>
      <c r="G24" s="79"/>
      <c r="H24" s="80">
        <f t="shared" si="3"/>
        <v>0</v>
      </c>
      <c r="I24" s="79"/>
      <c r="J24" s="80">
        <f t="shared" si="4"/>
        <v>0</v>
      </c>
      <c r="K24" s="79"/>
      <c r="L24" s="80">
        <f t="shared" si="5"/>
        <v>0</v>
      </c>
      <c r="M24" s="79"/>
      <c r="N24" s="80">
        <f t="shared" si="6"/>
        <v>0</v>
      </c>
      <c r="O24" s="79"/>
      <c r="P24" s="80">
        <f t="shared" si="7"/>
        <v>0</v>
      </c>
      <c r="Q24" s="79"/>
      <c r="R24" s="80">
        <f t="shared" si="8"/>
        <v>0</v>
      </c>
      <c r="S24" s="79"/>
      <c r="T24" s="80">
        <f t="shared" si="9"/>
        <v>0</v>
      </c>
      <c r="U24" s="79"/>
      <c r="V24" s="80">
        <f t="shared" si="10"/>
        <v>0</v>
      </c>
      <c r="X24" s="79"/>
    </row>
    <row r="25" spans="1:24" ht="12.75" customHeight="1">
      <c r="A25" s="2" t="s">
        <v>375</v>
      </c>
      <c r="B25" s="35"/>
      <c r="C25" s="111"/>
      <c r="D25" s="80">
        <f t="shared" si="1"/>
        <v>0</v>
      </c>
      <c r="E25" s="111"/>
      <c r="F25" s="80">
        <f t="shared" si="2"/>
        <v>0</v>
      </c>
      <c r="G25" s="111"/>
      <c r="H25" s="80">
        <f t="shared" si="3"/>
        <v>0</v>
      </c>
      <c r="I25" s="111"/>
      <c r="J25" s="80">
        <f t="shared" si="4"/>
        <v>0</v>
      </c>
      <c r="K25" s="111"/>
      <c r="L25" s="80">
        <f t="shared" si="5"/>
        <v>0</v>
      </c>
      <c r="M25" s="111"/>
      <c r="N25" s="80">
        <f t="shared" si="6"/>
        <v>0</v>
      </c>
      <c r="O25" s="111"/>
      <c r="P25" s="80">
        <f t="shared" si="7"/>
        <v>0</v>
      </c>
      <c r="Q25" s="111"/>
      <c r="R25" s="80">
        <f t="shared" si="8"/>
        <v>0</v>
      </c>
      <c r="S25" s="111"/>
      <c r="T25" s="80">
        <f t="shared" si="9"/>
        <v>0</v>
      </c>
      <c r="U25" s="111"/>
      <c r="V25" s="80">
        <f t="shared" si="10"/>
        <v>0</v>
      </c>
      <c r="X25" s="79"/>
    </row>
    <row r="26" spans="1:24" ht="12.75" customHeight="1">
      <c r="A26" s="122" t="s">
        <v>376</v>
      </c>
      <c r="B26" s="35"/>
      <c r="C26" s="79"/>
      <c r="D26" s="80">
        <f t="shared" si="1"/>
        <v>0</v>
      </c>
      <c r="E26" s="79"/>
      <c r="F26" s="80">
        <f t="shared" si="2"/>
        <v>0</v>
      </c>
      <c r="G26" s="79"/>
      <c r="H26" s="80">
        <f t="shared" si="3"/>
        <v>0</v>
      </c>
      <c r="I26" s="79"/>
      <c r="J26" s="80">
        <f t="shared" si="4"/>
        <v>0</v>
      </c>
      <c r="K26" s="79"/>
      <c r="L26" s="80">
        <f t="shared" si="5"/>
        <v>0</v>
      </c>
      <c r="M26" s="79"/>
      <c r="N26" s="80">
        <f t="shared" si="6"/>
        <v>0</v>
      </c>
      <c r="O26" s="79"/>
      <c r="P26" s="80">
        <f t="shared" si="7"/>
        <v>0</v>
      </c>
      <c r="Q26" s="79"/>
      <c r="R26" s="80">
        <f t="shared" si="8"/>
        <v>0</v>
      </c>
      <c r="S26" s="79"/>
      <c r="T26" s="80">
        <f t="shared" si="9"/>
        <v>0</v>
      </c>
      <c r="U26" s="79"/>
      <c r="V26" s="80">
        <f t="shared" si="10"/>
        <v>0</v>
      </c>
    </row>
    <row r="27" spans="1:24" ht="12.75" customHeight="1">
      <c r="A27" s="2" t="s">
        <v>474</v>
      </c>
      <c r="B27" s="35"/>
      <c r="C27" s="112">
        <v>0</v>
      </c>
      <c r="D27" s="80">
        <f t="shared" si="1"/>
        <v>0</v>
      </c>
      <c r="E27" s="112">
        <f>+C27*1.05</f>
        <v>0</v>
      </c>
      <c r="F27" s="80">
        <f t="shared" si="2"/>
        <v>0</v>
      </c>
      <c r="G27" s="112">
        <f>+E27*1.02</f>
        <v>0</v>
      </c>
      <c r="H27" s="80">
        <f t="shared" si="3"/>
        <v>0</v>
      </c>
      <c r="I27" s="112">
        <f>+G27*1.02</f>
        <v>0</v>
      </c>
      <c r="J27" s="80">
        <f t="shared" si="4"/>
        <v>0</v>
      </c>
      <c r="K27" s="112">
        <f>+I27*1.02</f>
        <v>0</v>
      </c>
      <c r="L27" s="80">
        <f t="shared" si="5"/>
        <v>0</v>
      </c>
      <c r="M27" s="112">
        <f>+K27*1.02</f>
        <v>0</v>
      </c>
      <c r="N27" s="80">
        <f t="shared" si="6"/>
        <v>0</v>
      </c>
      <c r="O27" s="112">
        <f>+M27*1.02</f>
        <v>0</v>
      </c>
      <c r="P27" s="80">
        <f t="shared" si="7"/>
        <v>0</v>
      </c>
      <c r="Q27" s="112">
        <f>+O27*1.02</f>
        <v>0</v>
      </c>
      <c r="R27" s="80">
        <f t="shared" si="8"/>
        <v>0</v>
      </c>
      <c r="S27" s="112">
        <f>+Q27*1.02</f>
        <v>0</v>
      </c>
      <c r="T27" s="80">
        <f t="shared" si="9"/>
        <v>0</v>
      </c>
      <c r="U27" s="112">
        <f>+S27*1.02</f>
        <v>0</v>
      </c>
      <c r="V27" s="80">
        <f t="shared" si="10"/>
        <v>0</v>
      </c>
    </row>
    <row r="28" spans="1:24" ht="12.75" customHeight="1">
      <c r="A28" s="1" t="s">
        <v>378</v>
      </c>
      <c r="B28" s="53"/>
      <c r="C28" s="82">
        <f>SUM(C19:C27)</f>
        <v>0</v>
      </c>
      <c r="D28" s="83">
        <f t="shared" si="1"/>
        <v>0</v>
      </c>
      <c r="E28" s="82">
        <f>SUM(E19:E27)</f>
        <v>0</v>
      </c>
      <c r="F28" s="83">
        <f t="shared" si="2"/>
        <v>0</v>
      </c>
      <c r="G28" s="82">
        <f>SUM(G19:G27)</f>
        <v>850000</v>
      </c>
      <c r="H28" s="83">
        <f t="shared" si="3"/>
        <v>1</v>
      </c>
      <c r="I28" s="82">
        <f>SUM(I19:I27)</f>
        <v>937550</v>
      </c>
      <c r="J28" s="83">
        <f t="shared" si="4"/>
        <v>1</v>
      </c>
      <c r="K28" s="82">
        <f>SUM(K19:K27)</f>
        <v>1034117.65</v>
      </c>
      <c r="L28" s="83">
        <f t="shared" si="5"/>
        <v>1</v>
      </c>
      <c r="M28" s="82">
        <f>SUM(M19:M27)</f>
        <v>1140631.76795</v>
      </c>
      <c r="N28" s="83">
        <f t="shared" si="6"/>
        <v>1</v>
      </c>
      <c r="O28" s="82">
        <f>SUM(O19:O27)</f>
        <v>1258116.84004885</v>
      </c>
      <c r="P28" s="83">
        <f t="shared" si="7"/>
        <v>1</v>
      </c>
      <c r="Q28" s="82">
        <f>SUM(Q19:Q27)</f>
        <v>1387702.8745738815</v>
      </c>
      <c r="R28" s="83">
        <f t="shared" si="8"/>
        <v>1</v>
      </c>
      <c r="S28" s="82">
        <f>SUM(S19:S27)</f>
        <v>1530636.2706549913</v>
      </c>
      <c r="T28" s="83">
        <f t="shared" si="9"/>
        <v>1</v>
      </c>
      <c r="U28" s="82">
        <f>SUM(U19:U27)</f>
        <v>1688291.8065324554</v>
      </c>
      <c r="V28" s="83">
        <f t="shared" si="10"/>
        <v>1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379</v>
      </c>
      <c r="B30" s="53"/>
      <c r="C30" s="78">
        <v>0.36</v>
      </c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380</v>
      </c>
      <c r="B31" s="35"/>
      <c r="C31" s="178">
        <f>$C$30*C14</f>
        <v>0</v>
      </c>
      <c r="D31" s="80">
        <f>IFERROR(C31/C$28,0)</f>
        <v>0</v>
      </c>
      <c r="E31" s="178">
        <f>$C$30*E14</f>
        <v>0</v>
      </c>
      <c r="F31" s="80">
        <f>IFERROR(E31/E$28,0)</f>
        <v>0</v>
      </c>
      <c r="G31" s="178">
        <f>$C$30*G14</f>
        <v>306000</v>
      </c>
      <c r="H31" s="80">
        <f>IFERROR(G31/G$28,0)</f>
        <v>0.36</v>
      </c>
      <c r="I31" s="178">
        <f>$C$30*I14</f>
        <v>337518</v>
      </c>
      <c r="J31" s="80">
        <f>IFERROR(I31/I$28,0)</f>
        <v>0.36</v>
      </c>
      <c r="K31" s="178">
        <f>$C$30*K14</f>
        <v>372282.35399999999</v>
      </c>
      <c r="L31" s="80">
        <f>IFERROR(K31/K$28,0)</f>
        <v>0.36</v>
      </c>
      <c r="M31" s="178">
        <f>$C$30*M14</f>
        <v>410627.43646200001</v>
      </c>
      <c r="N31" s="80">
        <f>IFERROR(M31/M$28,0)</f>
        <v>0.36</v>
      </c>
      <c r="O31" s="178">
        <f>$C$30*O14</f>
        <v>452922.06241758598</v>
      </c>
      <c r="P31" s="80">
        <f>IFERROR(O31/O$28,0)</f>
        <v>0.36</v>
      </c>
      <c r="Q31" s="178">
        <f>$C$30*Q14</f>
        <v>499573.03484659735</v>
      </c>
      <c r="R31" s="80">
        <f>IFERROR(Q31/Q$28,0)</f>
        <v>0.36</v>
      </c>
      <c r="S31" s="178">
        <f>$C$30*S14</f>
        <v>551029.05743579683</v>
      </c>
      <c r="T31" s="80">
        <f>IFERROR(S31/S$28,0)</f>
        <v>0.36</v>
      </c>
      <c r="U31" s="178">
        <f>$C$30*U14</f>
        <v>607785.05035168387</v>
      </c>
      <c r="V31" s="80">
        <f>IFERROR(U31/U$28,0)</f>
        <v>0.35999999999999993</v>
      </c>
    </row>
    <row r="32" spans="1:24" ht="12.75" customHeight="1">
      <c r="A32" s="8" t="s">
        <v>381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382</v>
      </c>
      <c r="B33" s="53"/>
      <c r="C33" s="82">
        <f>SUM(C31:C32)</f>
        <v>0</v>
      </c>
      <c r="D33" s="83">
        <f>IFERROR(C33/C$28,0)</f>
        <v>0</v>
      </c>
      <c r="E33" s="82">
        <f>SUM(E31:E32)</f>
        <v>0</v>
      </c>
      <c r="F33" s="83">
        <f>IFERROR(E33/E$28,0)</f>
        <v>0</v>
      </c>
      <c r="G33" s="82">
        <f>SUM(G31:G32)</f>
        <v>306000</v>
      </c>
      <c r="H33" s="83">
        <f>IFERROR(G33/G$28,0)</f>
        <v>0.36</v>
      </c>
      <c r="I33" s="82">
        <f>SUM(I31:I32)</f>
        <v>337518</v>
      </c>
      <c r="J33" s="83">
        <f>IFERROR(I33/I$28,0)</f>
        <v>0.36</v>
      </c>
      <c r="K33" s="82">
        <f>SUM(K31:K32)</f>
        <v>372282.35399999999</v>
      </c>
      <c r="L33" s="83">
        <f>IFERROR(K33/K$28,0)</f>
        <v>0.36</v>
      </c>
      <c r="M33" s="82">
        <f>SUM(M31:M32)</f>
        <v>410627.43646200001</v>
      </c>
      <c r="N33" s="83">
        <f>IFERROR(M33/M$28,0)</f>
        <v>0.36</v>
      </c>
      <c r="O33" s="82">
        <f>SUM(O31:O32)</f>
        <v>452922.06241758598</v>
      </c>
      <c r="P33" s="83">
        <f>IFERROR(O33/O$28,0)</f>
        <v>0.36</v>
      </c>
      <c r="Q33" s="82">
        <f>SUM(Q31:Q32)</f>
        <v>499573.03484659735</v>
      </c>
      <c r="R33" s="83">
        <f>IFERROR(Q33/Q$28,0)</f>
        <v>0.36</v>
      </c>
      <c r="S33" s="82">
        <f>SUM(S31:S32)</f>
        <v>551029.05743579683</v>
      </c>
      <c r="T33" s="83">
        <f>IFERROR(S33/S$28,0)</f>
        <v>0.36</v>
      </c>
      <c r="U33" s="82">
        <f>SUM(U31:U32)</f>
        <v>607785.05035168387</v>
      </c>
      <c r="V33" s="83">
        <f>IFERROR(U33/U$28,0)</f>
        <v>0.35999999999999993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383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384</v>
      </c>
      <c r="B36" s="35"/>
      <c r="C36" s="113"/>
      <c r="D36" s="80">
        <f t="shared" ref="D36:D46" si="11">IFERROR(C36/C$28,0)</f>
        <v>0</v>
      </c>
      <c r="E36" s="178"/>
      <c r="F36" s="80">
        <f t="shared" ref="F36:F46" si="12">IFERROR(E36/E$28,0)</f>
        <v>0</v>
      </c>
      <c r="G36" s="178"/>
      <c r="H36" s="80">
        <f t="shared" ref="H36:H46" si="13">IFERROR(G36/G$28,0)</f>
        <v>0</v>
      </c>
      <c r="I36" s="178"/>
      <c r="J36" s="80">
        <f t="shared" ref="J36:J46" si="14">IFERROR(I36/I$28,0)</f>
        <v>0</v>
      </c>
      <c r="K36" s="178"/>
      <c r="L36" s="80">
        <f t="shared" ref="L36:L46" si="15">IFERROR(K36/K$28,0)</f>
        <v>0</v>
      </c>
      <c r="M36" s="178"/>
      <c r="N36" s="80">
        <f t="shared" ref="N36:N46" si="16">IFERROR(M36/M$28,0)</f>
        <v>0</v>
      </c>
      <c r="O36" s="178"/>
      <c r="P36" s="80">
        <f t="shared" ref="P36:P46" si="17">IFERROR(O36/O$28,0)</f>
        <v>0</v>
      </c>
      <c r="Q36" s="178"/>
      <c r="R36" s="80">
        <f t="shared" ref="R36:R46" si="18">IFERROR(Q36/Q$28,0)</f>
        <v>0</v>
      </c>
      <c r="S36" s="178"/>
      <c r="T36" s="80">
        <f t="shared" ref="T36:T46" si="19">IFERROR(S36/S$28,0)</f>
        <v>0</v>
      </c>
      <c r="U36" s="178"/>
      <c r="V36" s="80">
        <f t="shared" ref="V36:V46" si="20">IFERROR(U36/U$28,0)</f>
        <v>0</v>
      </c>
    </row>
    <row r="37" spans="1:22" ht="12.75" customHeight="1">
      <c r="A37" s="2" t="s">
        <v>385</v>
      </c>
      <c r="B37" s="35"/>
      <c r="C37" s="113"/>
      <c r="D37" s="80">
        <f t="shared" si="11"/>
        <v>0</v>
      </c>
      <c r="E37" s="178">
        <f>+C37*1.112</f>
        <v>0</v>
      </c>
      <c r="F37" s="80">
        <f t="shared" si="12"/>
        <v>0</v>
      </c>
      <c r="G37" s="178">
        <v>159302.15118720004</v>
      </c>
      <c r="H37" s="80">
        <f t="shared" si="13"/>
        <v>0.18741429551435299</v>
      </c>
      <c r="I37" s="178">
        <f>+G37*1.032</f>
        <v>164399.82002519045</v>
      </c>
      <c r="J37" s="80">
        <f t="shared" si="14"/>
        <v>0.17535045600254967</v>
      </c>
      <c r="K37" s="178">
        <f>+I37*1.025</f>
        <v>168509.81552582019</v>
      </c>
      <c r="L37" s="80">
        <f t="shared" si="15"/>
        <v>0.1629503330939378</v>
      </c>
      <c r="M37" s="178">
        <f>+K37*1.025</f>
        <v>172722.56091396569</v>
      </c>
      <c r="N37" s="80">
        <f t="shared" si="16"/>
        <v>0.15142710010996033</v>
      </c>
      <c r="O37" s="178">
        <f>+M37*1.025</f>
        <v>177040.62493681483</v>
      </c>
      <c r="P37" s="80">
        <f t="shared" si="17"/>
        <v>0.14071874670236567</v>
      </c>
      <c r="Q37" s="178">
        <f>+O37*1.025</f>
        <v>181466.64056023519</v>
      </c>
      <c r="R37" s="80">
        <f t="shared" si="18"/>
        <v>0.13076764766085658</v>
      </c>
      <c r="S37" s="178">
        <f>+Q37*1.025</f>
        <v>186003.30657424105</v>
      </c>
      <c r="T37" s="80">
        <f t="shared" si="19"/>
        <v>0.1215202528126727</v>
      </c>
      <c r="U37" s="178">
        <f>+S37*1.025</f>
        <v>190653.38923859707</v>
      </c>
      <c r="V37" s="80">
        <f t="shared" si="20"/>
        <v>0.11292679885130509</v>
      </c>
    </row>
    <row r="38" spans="1:22" ht="12.75" customHeight="1">
      <c r="A38" s="2" t="s">
        <v>386</v>
      </c>
      <c r="B38" s="35"/>
      <c r="C38" s="113"/>
      <c r="D38" s="80">
        <f t="shared" si="11"/>
        <v>0</v>
      </c>
      <c r="E38" s="178">
        <f t="shared" ref="E38:E39" si="21">+C38*1.112</f>
        <v>0</v>
      </c>
      <c r="F38" s="80">
        <f t="shared" si="12"/>
        <v>0</v>
      </c>
      <c r="G38" s="178">
        <v>34039.360857599997</v>
      </c>
      <c r="H38" s="80">
        <f t="shared" si="13"/>
        <v>4.0046306891294112E-2</v>
      </c>
      <c r="I38" s="178">
        <f>+G38*1.032</f>
        <v>35128.620405043199</v>
      </c>
      <c r="J38" s="80">
        <f t="shared" si="14"/>
        <v>3.7468530110440192E-2</v>
      </c>
      <c r="K38" s="178">
        <f>+I38*1.025</f>
        <v>36006.835915169278</v>
      </c>
      <c r="L38" s="80">
        <f t="shared" si="15"/>
        <v>3.4818896974797092E-2</v>
      </c>
      <c r="M38" s="178">
        <f>+K38*1.025</f>
        <v>36907.006813048509</v>
      </c>
      <c r="N38" s="80">
        <f t="shared" si="16"/>
        <v>3.2356635901330026E-2</v>
      </c>
      <c r="O38" s="178">
        <f>+M38*1.025</f>
        <v>37829.681983374721</v>
      </c>
      <c r="P38" s="80">
        <f t="shared" si="17"/>
        <v>3.0068496644481663E-2</v>
      </c>
      <c r="Q38" s="178">
        <f>+O38*1.025</f>
        <v>38775.424032959083</v>
      </c>
      <c r="R38" s="80">
        <f t="shared" si="18"/>
        <v>2.7942165966086764E-2</v>
      </c>
      <c r="S38" s="178">
        <f>+Q38*1.025</f>
        <v>39744.809633783058</v>
      </c>
      <c r="T38" s="80">
        <f t="shared" si="19"/>
        <v>2.5966201373743367E-2</v>
      </c>
      <c r="U38" s="178">
        <f>+S38*1.025</f>
        <v>40738.429874627633</v>
      </c>
      <c r="V38" s="80">
        <f t="shared" si="20"/>
        <v>2.4129969544956435E-2</v>
      </c>
    </row>
    <row r="39" spans="1:22" ht="12.75" customHeight="1">
      <c r="A39" s="2" t="s">
        <v>387</v>
      </c>
      <c r="B39" s="35"/>
      <c r="C39" s="113"/>
      <c r="D39" s="80">
        <f t="shared" si="11"/>
        <v>0</v>
      </c>
      <c r="E39" s="178">
        <f t="shared" si="21"/>
        <v>0</v>
      </c>
      <c r="F39" s="80">
        <f t="shared" si="12"/>
        <v>0</v>
      </c>
      <c r="G39" s="178">
        <v>122578.30569600002</v>
      </c>
      <c r="H39" s="80">
        <f t="shared" si="13"/>
        <v>0.14420977140705885</v>
      </c>
      <c r="I39" s="178">
        <f>+G39*1.032</f>
        <v>126500.81147827202</v>
      </c>
      <c r="J39" s="80">
        <f t="shared" si="14"/>
        <v>0.13492700280334063</v>
      </c>
      <c r="K39" s="178">
        <f>+I39*1.025</f>
        <v>129663.33176522881</v>
      </c>
      <c r="L39" s="80">
        <f t="shared" si="15"/>
        <v>0.12538547404662206</v>
      </c>
      <c r="M39" s="178">
        <f>+K39*1.025</f>
        <v>132904.91505935951</v>
      </c>
      <c r="N39" s="80">
        <f t="shared" si="16"/>
        <v>0.11651868621739583</v>
      </c>
      <c r="O39" s="178">
        <f>+M39*1.025</f>
        <v>136227.53793584349</v>
      </c>
      <c r="P39" s="80">
        <f t="shared" si="17"/>
        <v>0.10827892418207681</v>
      </c>
      <c r="Q39" s="178">
        <f>+O39*1.025</f>
        <v>139633.22638423956</v>
      </c>
      <c r="R39" s="80">
        <f t="shared" si="18"/>
        <v>0.10062184704136784</v>
      </c>
      <c r="S39" s="178">
        <f>+Q39*1.025</f>
        <v>143124.05704384553</v>
      </c>
      <c r="T39" s="80">
        <f t="shared" si="19"/>
        <v>9.3506249517136916E-2</v>
      </c>
      <c r="U39" s="178">
        <f>+S39*1.025</f>
        <v>146702.15846994167</v>
      </c>
      <c r="V39" s="80">
        <f t="shared" si="20"/>
        <v>8.689384021311454E-2</v>
      </c>
    </row>
    <row r="40" spans="1:22" ht="12.75" customHeight="1">
      <c r="A40" s="2" t="s">
        <v>388</v>
      </c>
      <c r="B40" s="35"/>
      <c r="C40" s="113">
        <f>C36*0.124</f>
        <v>0</v>
      </c>
      <c r="D40" s="80">
        <f t="shared" si="11"/>
        <v>0</v>
      </c>
      <c r="E40" s="113">
        <f>E36*0.124</f>
        <v>0</v>
      </c>
      <c r="F40" s="80">
        <f t="shared" si="12"/>
        <v>0</v>
      </c>
      <c r="G40" s="178">
        <v>0</v>
      </c>
      <c r="H40" s="80">
        <f t="shared" si="13"/>
        <v>0</v>
      </c>
      <c r="I40" s="178">
        <f>I36*0.124</f>
        <v>0</v>
      </c>
      <c r="J40" s="80">
        <f t="shared" si="14"/>
        <v>0</v>
      </c>
      <c r="K40" s="178">
        <f>K36*0.124</f>
        <v>0</v>
      </c>
      <c r="L40" s="80">
        <f t="shared" si="15"/>
        <v>0</v>
      </c>
      <c r="M40" s="178">
        <f>M36*0.124</f>
        <v>0</v>
      </c>
      <c r="N40" s="80">
        <f t="shared" si="16"/>
        <v>0</v>
      </c>
      <c r="O40" s="178">
        <f>O36*0.124</f>
        <v>0</v>
      </c>
      <c r="P40" s="80">
        <f t="shared" si="17"/>
        <v>0</v>
      </c>
      <c r="Q40" s="178">
        <f>Q36*0.124</f>
        <v>0</v>
      </c>
      <c r="R40" s="80">
        <f t="shared" si="18"/>
        <v>0</v>
      </c>
      <c r="S40" s="178">
        <f>S36*0.124</f>
        <v>0</v>
      </c>
      <c r="T40" s="80">
        <f t="shared" si="19"/>
        <v>0</v>
      </c>
      <c r="U40" s="178">
        <f>U36*0.124</f>
        <v>0</v>
      </c>
      <c r="V40" s="80">
        <f t="shared" si="20"/>
        <v>0</v>
      </c>
    </row>
    <row r="41" spans="1:22" ht="12.75" customHeight="1">
      <c r="A41" s="2" t="s">
        <v>389</v>
      </c>
      <c r="B41" s="35"/>
      <c r="C41" s="113">
        <f>C37*0.124</f>
        <v>0</v>
      </c>
      <c r="D41" s="80">
        <f t="shared" si="11"/>
        <v>0</v>
      </c>
      <c r="E41" s="113">
        <f>E37*0.124</f>
        <v>0</v>
      </c>
      <c r="F41" s="80">
        <f t="shared" si="12"/>
        <v>0</v>
      </c>
      <c r="G41" s="178">
        <v>19753.466747212806</v>
      </c>
      <c r="H41" s="80">
        <f t="shared" si="13"/>
        <v>2.323937264377977E-2</v>
      </c>
      <c r="I41" s="178">
        <f>I37*0.124</f>
        <v>20385.577683123614</v>
      </c>
      <c r="J41" s="80">
        <f t="shared" si="14"/>
        <v>2.1743456544316159E-2</v>
      </c>
      <c r="K41" s="178">
        <f>K37*0.124</f>
        <v>20895.217125201703</v>
      </c>
      <c r="L41" s="80">
        <f t="shared" si="15"/>
        <v>2.0205841303648286E-2</v>
      </c>
      <c r="M41" s="178">
        <f>M37*0.124</f>
        <v>21417.597553331747</v>
      </c>
      <c r="N41" s="80">
        <f t="shared" si="16"/>
        <v>1.8776960413635083E-2</v>
      </c>
      <c r="O41" s="178">
        <f>O37*0.124</f>
        <v>21953.03749216504</v>
      </c>
      <c r="P41" s="80">
        <f t="shared" si="17"/>
        <v>1.7449124591093344E-2</v>
      </c>
      <c r="Q41" s="178">
        <f>Q37*0.124</f>
        <v>22501.863429469162</v>
      </c>
      <c r="R41" s="80">
        <f t="shared" si="18"/>
        <v>1.6215188309946216E-2</v>
      </c>
      <c r="S41" s="178">
        <f>S37*0.124</f>
        <v>23064.410015205889</v>
      </c>
      <c r="T41" s="80">
        <f t="shared" si="19"/>
        <v>1.5068511348771414E-2</v>
      </c>
      <c r="U41" s="178">
        <f>U37*0.124</f>
        <v>23641.020265586038</v>
      </c>
      <c r="V41" s="80">
        <f t="shared" si="20"/>
        <v>1.4002923057561831E-2</v>
      </c>
    </row>
    <row r="42" spans="1:22" ht="12.75" customHeight="1">
      <c r="A42" s="2" t="s">
        <v>390</v>
      </c>
      <c r="B42" s="35"/>
      <c r="C42" s="113"/>
      <c r="D42" s="80">
        <f t="shared" si="11"/>
        <v>0</v>
      </c>
      <c r="E42" s="178"/>
      <c r="F42" s="80">
        <f t="shared" si="12"/>
        <v>0</v>
      </c>
      <c r="G42" s="178"/>
      <c r="H42" s="80">
        <f t="shared" si="13"/>
        <v>0</v>
      </c>
      <c r="I42" s="178"/>
      <c r="J42" s="80">
        <f t="shared" si="14"/>
        <v>0</v>
      </c>
      <c r="K42" s="178"/>
      <c r="L42" s="80">
        <f t="shared" si="15"/>
        <v>0</v>
      </c>
      <c r="M42" s="178"/>
      <c r="N42" s="80">
        <f t="shared" si="16"/>
        <v>0</v>
      </c>
      <c r="O42" s="178"/>
      <c r="P42" s="80">
        <f t="shared" si="17"/>
        <v>0</v>
      </c>
      <c r="Q42" s="178"/>
      <c r="R42" s="80">
        <f t="shared" si="18"/>
        <v>0</v>
      </c>
      <c r="S42" s="178"/>
      <c r="T42" s="80">
        <f t="shared" si="19"/>
        <v>0</v>
      </c>
      <c r="U42" s="178"/>
      <c r="V42" s="80">
        <f t="shared" si="20"/>
        <v>0</v>
      </c>
    </row>
    <row r="43" spans="1:22" ht="12.75" customHeight="1">
      <c r="A43" s="2" t="s">
        <v>391</v>
      </c>
      <c r="B43" s="35"/>
      <c r="C43" s="113"/>
      <c r="D43" s="80">
        <f t="shared" si="11"/>
        <v>0</v>
      </c>
      <c r="E43" s="178"/>
      <c r="F43" s="80">
        <f t="shared" si="12"/>
        <v>0</v>
      </c>
      <c r="G43" s="178"/>
      <c r="H43" s="80">
        <f t="shared" si="13"/>
        <v>0</v>
      </c>
      <c r="I43" s="178"/>
      <c r="J43" s="80">
        <f t="shared" si="14"/>
        <v>0</v>
      </c>
      <c r="K43" s="178"/>
      <c r="L43" s="80">
        <f t="shared" si="15"/>
        <v>0</v>
      </c>
      <c r="M43" s="178"/>
      <c r="N43" s="80">
        <f t="shared" si="16"/>
        <v>0</v>
      </c>
      <c r="O43" s="178"/>
      <c r="P43" s="80">
        <f t="shared" si="17"/>
        <v>0</v>
      </c>
      <c r="Q43" s="178"/>
      <c r="R43" s="80">
        <f t="shared" si="18"/>
        <v>0</v>
      </c>
      <c r="S43" s="178"/>
      <c r="T43" s="80">
        <f t="shared" si="19"/>
        <v>0</v>
      </c>
      <c r="U43" s="178"/>
      <c r="V43" s="80">
        <f t="shared" si="20"/>
        <v>0</v>
      </c>
    </row>
    <row r="44" spans="1:22" ht="12.75" customHeight="1">
      <c r="A44" s="2" t="s">
        <v>392</v>
      </c>
      <c r="B44" s="35"/>
      <c r="C44" s="113"/>
      <c r="D44" s="80">
        <f t="shared" si="11"/>
        <v>0</v>
      </c>
      <c r="E44" s="178"/>
      <c r="F44" s="80">
        <f t="shared" si="12"/>
        <v>0</v>
      </c>
      <c r="G44" s="178"/>
      <c r="H44" s="80">
        <f t="shared" si="13"/>
        <v>0</v>
      </c>
      <c r="I44" s="178"/>
      <c r="J44" s="80">
        <f t="shared" si="14"/>
        <v>0</v>
      </c>
      <c r="K44" s="178"/>
      <c r="L44" s="80">
        <f t="shared" si="15"/>
        <v>0</v>
      </c>
      <c r="M44" s="178"/>
      <c r="N44" s="80">
        <f t="shared" si="16"/>
        <v>0</v>
      </c>
      <c r="O44" s="178"/>
      <c r="P44" s="80">
        <f t="shared" si="17"/>
        <v>0</v>
      </c>
      <c r="Q44" s="178"/>
      <c r="R44" s="80">
        <f t="shared" si="18"/>
        <v>0</v>
      </c>
      <c r="S44" s="178"/>
      <c r="T44" s="80">
        <f t="shared" si="19"/>
        <v>0</v>
      </c>
      <c r="U44" s="178"/>
      <c r="V44" s="80">
        <f t="shared" si="20"/>
        <v>0</v>
      </c>
    </row>
    <row r="45" spans="1:22" ht="12.75" customHeight="1">
      <c r="A45" s="2" t="s">
        <v>393</v>
      </c>
      <c r="B45" s="35"/>
      <c r="C45" s="114">
        <f>SUM(C36:C39)*0.094</f>
        <v>0</v>
      </c>
      <c r="D45" s="80">
        <f t="shared" si="11"/>
        <v>0</v>
      </c>
      <c r="E45" s="114">
        <f>SUM(E36:E39)*0.094</f>
        <v>0</v>
      </c>
      <c r="F45" s="80">
        <f t="shared" si="12"/>
        <v>0</v>
      </c>
      <c r="G45" s="181">
        <v>29696.462867635208</v>
      </c>
      <c r="H45" s="80">
        <f t="shared" si="13"/>
        <v>3.493701513839436E-2</v>
      </c>
      <c r="I45" s="181">
        <f>SUM(I36:I39)*0.094</f>
        <v>30646.749679399534</v>
      </c>
      <c r="J45" s="80">
        <f t="shared" si="14"/>
        <v>3.2688122958135071E-2</v>
      </c>
      <c r="K45" s="181">
        <f>SUM(K36:K39)*0.094</f>
        <v>31412.918421384518</v>
      </c>
      <c r="L45" s="80">
        <f t="shared" si="15"/>
        <v>3.0376542186843554E-2</v>
      </c>
      <c r="M45" s="181">
        <f>SUM(M36:M39)*0.094</f>
        <v>32198.241381919128</v>
      </c>
      <c r="N45" s="80">
        <f t="shared" si="16"/>
        <v>2.8228427689496502E-2</v>
      </c>
      <c r="O45" s="181">
        <f>SUM(O36:O39)*0.094</f>
        <v>33003.197416467105</v>
      </c>
      <c r="P45" s="80">
        <f t="shared" si="17"/>
        <v>2.6232219747718867E-2</v>
      </c>
      <c r="Q45" s="181">
        <f>SUM(Q36:Q39)*0.094</f>
        <v>33828.27735187878</v>
      </c>
      <c r="R45" s="80">
        <f t="shared" si="18"/>
        <v>2.4377176102821252E-2</v>
      </c>
      <c r="S45" s="181">
        <f>SUM(S36:S39)*0.094</f>
        <v>34673.984285675746</v>
      </c>
      <c r="T45" s="80">
        <f t="shared" si="19"/>
        <v>2.2653314148133982E-2</v>
      </c>
      <c r="U45" s="181">
        <f>SUM(U36:U39)*0.094</f>
        <v>35540.833892817638</v>
      </c>
      <c r="V45" s="80">
        <f t="shared" si="20"/>
        <v>2.1051357209281349E-2</v>
      </c>
    </row>
    <row r="46" spans="1:22" ht="12.75" customHeight="1">
      <c r="A46" s="1" t="s">
        <v>394</v>
      </c>
      <c r="B46" s="53"/>
      <c r="C46" s="82">
        <f>SUM(C36:C45)</f>
        <v>0</v>
      </c>
      <c r="D46" s="83">
        <f t="shared" si="11"/>
        <v>0</v>
      </c>
      <c r="E46" s="82">
        <f>SUM(E36:E45)</f>
        <v>0</v>
      </c>
      <c r="F46" s="83">
        <f t="shared" si="12"/>
        <v>0</v>
      </c>
      <c r="G46" s="82">
        <f>SUM(G36:G45)</f>
        <v>365369.74735564808</v>
      </c>
      <c r="H46" s="83">
        <f t="shared" si="13"/>
        <v>0.42984676159488011</v>
      </c>
      <c r="I46" s="82">
        <f>SUM(I36:I45)</f>
        <v>377061.57927102887</v>
      </c>
      <c r="J46" s="83">
        <f t="shared" si="14"/>
        <v>0.40217756841878177</v>
      </c>
      <c r="K46" s="82">
        <f>SUM(K36:K45)</f>
        <v>386488.11875280453</v>
      </c>
      <c r="L46" s="83">
        <f t="shared" si="15"/>
        <v>0.37373708760584884</v>
      </c>
      <c r="M46" s="82">
        <f>SUM(M36:M45)</f>
        <v>396150.32172162458</v>
      </c>
      <c r="N46" s="83">
        <f t="shared" si="16"/>
        <v>0.34730781033181779</v>
      </c>
      <c r="O46" s="82">
        <f>SUM(O36:O45)</f>
        <v>406054.07976466522</v>
      </c>
      <c r="P46" s="83">
        <f t="shared" si="17"/>
        <v>0.32274751186773637</v>
      </c>
      <c r="Q46" s="82">
        <f>SUM(Q36:Q45)</f>
        <v>416205.43175878178</v>
      </c>
      <c r="R46" s="83">
        <f t="shared" si="18"/>
        <v>0.29992402508107863</v>
      </c>
      <c r="S46" s="82">
        <f>SUM(S36:S45)</f>
        <v>426610.56755275128</v>
      </c>
      <c r="T46" s="83">
        <f t="shared" si="19"/>
        <v>0.27871452920045836</v>
      </c>
      <c r="U46" s="82">
        <f>SUM(U36:U45)</f>
        <v>437275.83174157003</v>
      </c>
      <c r="V46" s="83">
        <f t="shared" si="20"/>
        <v>0.25900488887621925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366</v>
      </c>
      <c r="E50" s="86" t="str">
        <f>E6</f>
        <v>FY 2019-20</v>
      </c>
      <c r="F50" s="86" t="s">
        <v>366</v>
      </c>
      <c r="G50" s="86" t="str">
        <f>G6</f>
        <v>FY 2020-21</v>
      </c>
      <c r="H50" s="86" t="s">
        <v>366</v>
      </c>
      <c r="I50" s="86" t="str">
        <f>I6</f>
        <v>FY 2021-22</v>
      </c>
      <c r="J50" s="86" t="s">
        <v>366</v>
      </c>
      <c r="K50" s="86" t="str">
        <f>K6</f>
        <v>FY 2022-23</v>
      </c>
      <c r="L50" s="86" t="s">
        <v>366</v>
      </c>
      <c r="M50" s="86" t="str">
        <f>M6</f>
        <v>FY 2023-24</v>
      </c>
      <c r="N50" s="86" t="s">
        <v>366</v>
      </c>
      <c r="O50" s="86" t="str">
        <f>O6</f>
        <v>FY 2024-25</v>
      </c>
      <c r="P50" s="86" t="s">
        <v>366</v>
      </c>
      <c r="Q50" s="86" t="str">
        <f>Q6</f>
        <v>FY 2025-26</v>
      </c>
      <c r="R50" s="86" t="s">
        <v>366</v>
      </c>
      <c r="S50" s="86" t="str">
        <f>S6</f>
        <v>FY 2026-27</v>
      </c>
      <c r="T50" s="86" t="s">
        <v>366</v>
      </c>
      <c r="U50" s="86" t="str">
        <f>U6</f>
        <v>FY 2027-28</v>
      </c>
      <c r="V50" s="86" t="s">
        <v>366</v>
      </c>
    </row>
    <row r="51" spans="1:24" ht="12.75" customHeight="1">
      <c r="A51" s="1" t="s">
        <v>395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396</v>
      </c>
      <c r="B52" s="35"/>
      <c r="C52" s="178">
        <v>0</v>
      </c>
      <c r="D52" s="80">
        <f t="shared" ref="D52:D83" si="22">IFERROR(C52/C$28,0)</f>
        <v>0</v>
      </c>
      <c r="E52" s="178">
        <v>0</v>
      </c>
      <c r="F52" s="80">
        <f t="shared" ref="F52:F105" si="23">IFERROR(E52/E$28,0)</f>
        <v>0</v>
      </c>
      <c r="G52" s="178">
        <v>0</v>
      </c>
      <c r="H52" s="80">
        <f t="shared" ref="H52:H105" si="24">IFERROR(G52/G$28,0)</f>
        <v>0</v>
      </c>
      <c r="I52" s="178">
        <v>0</v>
      </c>
      <c r="J52" s="80">
        <f t="shared" ref="J52:J105" si="25">IFERROR(I52/I$28,0)</f>
        <v>0</v>
      </c>
      <c r="K52" s="178">
        <v>0</v>
      </c>
      <c r="L52" s="80">
        <f t="shared" ref="L52:L105" si="26">IFERROR(K52/K$28,0)</f>
        <v>0</v>
      </c>
      <c r="M52" s="178">
        <v>0</v>
      </c>
      <c r="N52" s="80">
        <f t="shared" ref="N52:N105" si="27">IFERROR(M52/M$28,0)</f>
        <v>0</v>
      </c>
      <c r="O52" s="178">
        <v>0</v>
      </c>
      <c r="P52" s="80">
        <f t="shared" ref="P52:P105" si="28">IFERROR(O52/O$28,0)</f>
        <v>0</v>
      </c>
      <c r="Q52" s="178">
        <v>0</v>
      </c>
      <c r="R52" s="80">
        <f t="shared" ref="R52:R105" si="29">IFERROR(Q52/Q$28,0)</f>
        <v>0</v>
      </c>
      <c r="S52" s="178">
        <v>0</v>
      </c>
      <c r="T52" s="80">
        <f t="shared" ref="T52:T105" si="30">IFERROR(S52/S$28,0)</f>
        <v>0</v>
      </c>
      <c r="U52" s="178">
        <v>0</v>
      </c>
      <c r="V52" s="80">
        <f t="shared" ref="V52:V105" si="31">IFERROR(U52/U$28,0)</f>
        <v>0</v>
      </c>
      <c r="X52" s="192"/>
    </row>
    <row r="53" spans="1:24" ht="12.75" customHeight="1">
      <c r="A53" s="2" t="s">
        <v>397</v>
      </c>
      <c r="B53" s="35"/>
      <c r="C53" s="178">
        <v>0</v>
      </c>
      <c r="D53" s="80">
        <f t="shared" si="22"/>
        <v>0</v>
      </c>
      <c r="E53" s="178">
        <v>0</v>
      </c>
      <c r="F53" s="80">
        <f t="shared" si="23"/>
        <v>0</v>
      </c>
      <c r="G53" s="178">
        <v>0</v>
      </c>
      <c r="H53" s="80">
        <f t="shared" si="24"/>
        <v>0</v>
      </c>
      <c r="I53" s="178">
        <v>0</v>
      </c>
      <c r="J53" s="80">
        <f t="shared" si="25"/>
        <v>0</v>
      </c>
      <c r="K53" s="178">
        <v>0</v>
      </c>
      <c r="L53" s="80">
        <f t="shared" si="26"/>
        <v>0</v>
      </c>
      <c r="M53" s="178">
        <v>0</v>
      </c>
      <c r="N53" s="80">
        <f t="shared" si="27"/>
        <v>0</v>
      </c>
      <c r="O53" s="178">
        <v>0</v>
      </c>
      <c r="P53" s="80">
        <f t="shared" si="28"/>
        <v>0</v>
      </c>
      <c r="Q53" s="178">
        <v>0</v>
      </c>
      <c r="R53" s="80">
        <f t="shared" si="29"/>
        <v>0</v>
      </c>
      <c r="S53" s="178">
        <v>0</v>
      </c>
      <c r="T53" s="80">
        <f t="shared" si="30"/>
        <v>0</v>
      </c>
      <c r="U53" s="178">
        <v>0</v>
      </c>
      <c r="V53" s="80">
        <f t="shared" si="31"/>
        <v>0</v>
      </c>
      <c r="X53" s="192"/>
    </row>
    <row r="54" spans="1:24" ht="12.75" customHeight="1">
      <c r="A54" s="2" t="s">
        <v>398</v>
      </c>
      <c r="B54" s="35"/>
      <c r="C54" s="178">
        <v>0</v>
      </c>
      <c r="D54" s="80">
        <f t="shared" si="22"/>
        <v>0</v>
      </c>
      <c r="E54" s="178">
        <v>0</v>
      </c>
      <c r="F54" s="80">
        <f t="shared" si="23"/>
        <v>0</v>
      </c>
      <c r="G54" s="178">
        <v>595</v>
      </c>
      <c r="H54" s="80">
        <f t="shared" si="24"/>
        <v>6.9999999999999999E-4</v>
      </c>
      <c r="I54" s="178">
        <v>656.28500000000008</v>
      </c>
      <c r="J54" s="80">
        <f t="shared" si="25"/>
        <v>7.000000000000001E-4</v>
      </c>
      <c r="K54" s="178">
        <v>723.88235499999996</v>
      </c>
      <c r="L54" s="80">
        <f t="shared" si="26"/>
        <v>6.9999999999999999E-4</v>
      </c>
      <c r="M54" s="178">
        <v>798.44223756500003</v>
      </c>
      <c r="N54" s="80">
        <f t="shared" si="27"/>
        <v>6.9999999999999999E-4</v>
      </c>
      <c r="O54" s="178">
        <v>880.68178803419505</v>
      </c>
      <c r="P54" s="80">
        <f t="shared" si="28"/>
        <v>6.9999999999999999E-4</v>
      </c>
      <c r="Q54" s="178">
        <v>971.39201220171719</v>
      </c>
      <c r="R54" s="80">
        <f t="shared" si="29"/>
        <v>7.000000000000001E-4</v>
      </c>
      <c r="S54" s="178">
        <v>1071.4453894584938</v>
      </c>
      <c r="T54" s="80">
        <f t="shared" si="30"/>
        <v>6.9999999999999988E-4</v>
      </c>
      <c r="U54" s="178">
        <v>1181.8042645727187</v>
      </c>
      <c r="V54" s="80">
        <f t="shared" si="31"/>
        <v>6.9999999999999999E-4</v>
      </c>
      <c r="X54" s="192"/>
    </row>
    <row r="55" spans="1:24" ht="12.75" customHeight="1">
      <c r="A55" s="2" t="s">
        <v>399</v>
      </c>
      <c r="B55" s="35"/>
      <c r="C55" s="178">
        <v>0</v>
      </c>
      <c r="D55" s="80">
        <f t="shared" si="22"/>
        <v>0</v>
      </c>
      <c r="E55" s="178">
        <v>0</v>
      </c>
      <c r="F55" s="80">
        <f t="shared" si="23"/>
        <v>0</v>
      </c>
      <c r="G55" s="178">
        <v>85000</v>
      </c>
      <c r="H55" s="80">
        <f t="shared" si="24"/>
        <v>0.1</v>
      </c>
      <c r="I55" s="178">
        <v>93755</v>
      </c>
      <c r="J55" s="80">
        <f t="shared" si="25"/>
        <v>0.1</v>
      </c>
      <c r="K55" s="178">
        <v>103411.76500000001</v>
      </c>
      <c r="L55" s="80">
        <f t="shared" si="26"/>
        <v>0.1</v>
      </c>
      <c r="M55" s="178">
        <v>114063.17679500001</v>
      </c>
      <c r="N55" s="80">
        <f t="shared" si="27"/>
        <v>0.1</v>
      </c>
      <c r="O55" s="178">
        <v>125811.68400488501</v>
      </c>
      <c r="P55" s="80">
        <f t="shared" si="28"/>
        <v>0.1</v>
      </c>
      <c r="Q55" s="178">
        <v>138770.28745738816</v>
      </c>
      <c r="R55" s="80">
        <f t="shared" si="29"/>
        <v>0.1</v>
      </c>
      <c r="S55" s="178">
        <v>153063.62706549914</v>
      </c>
      <c r="T55" s="80">
        <f t="shared" si="30"/>
        <v>0.1</v>
      </c>
      <c r="U55" s="178">
        <v>168829.18065324554</v>
      </c>
      <c r="V55" s="80">
        <f t="shared" si="31"/>
        <v>0.1</v>
      </c>
      <c r="X55" s="192"/>
    </row>
    <row r="56" spans="1:24" ht="12.75" customHeight="1">
      <c r="A56" s="2" t="s">
        <v>400</v>
      </c>
      <c r="B56" s="35"/>
      <c r="C56" s="178">
        <v>0</v>
      </c>
      <c r="D56" s="80">
        <f t="shared" si="22"/>
        <v>0</v>
      </c>
      <c r="E56" s="178">
        <v>0</v>
      </c>
      <c r="F56" s="80">
        <f t="shared" si="23"/>
        <v>0</v>
      </c>
      <c r="G56" s="178">
        <v>433.50000000000006</v>
      </c>
      <c r="H56" s="80">
        <f t="shared" si="24"/>
        <v>5.1000000000000004E-4</v>
      </c>
      <c r="I56" s="178">
        <v>478.15050000000008</v>
      </c>
      <c r="J56" s="80">
        <f t="shared" si="25"/>
        <v>5.1000000000000004E-4</v>
      </c>
      <c r="K56" s="178">
        <v>527.40000150000003</v>
      </c>
      <c r="L56" s="80">
        <f t="shared" si="26"/>
        <v>5.1000000000000004E-4</v>
      </c>
      <c r="M56" s="178">
        <v>581.72220165450005</v>
      </c>
      <c r="N56" s="80">
        <f t="shared" si="27"/>
        <v>5.1000000000000004E-4</v>
      </c>
      <c r="O56" s="178">
        <v>641.63958842491354</v>
      </c>
      <c r="P56" s="80">
        <f t="shared" si="28"/>
        <v>5.1000000000000004E-4</v>
      </c>
      <c r="Q56" s="178">
        <v>707.72846603267965</v>
      </c>
      <c r="R56" s="80">
        <f t="shared" si="29"/>
        <v>5.1000000000000004E-4</v>
      </c>
      <c r="S56" s="178">
        <v>780.62449803404559</v>
      </c>
      <c r="T56" s="80">
        <f t="shared" si="30"/>
        <v>5.1000000000000004E-4</v>
      </c>
      <c r="U56" s="178">
        <v>861.02882133155219</v>
      </c>
      <c r="V56" s="80">
        <f t="shared" si="31"/>
        <v>5.0999999999999993E-4</v>
      </c>
      <c r="X56" s="192"/>
    </row>
    <row r="57" spans="1:24" ht="12.75" customHeight="1">
      <c r="A57" s="2" t="s">
        <v>401</v>
      </c>
      <c r="B57" s="35"/>
      <c r="C57" s="178">
        <v>0</v>
      </c>
      <c r="D57" s="80">
        <f t="shared" si="22"/>
        <v>0</v>
      </c>
      <c r="E57" s="178">
        <v>0</v>
      </c>
      <c r="F57" s="80">
        <f t="shared" si="23"/>
        <v>0</v>
      </c>
      <c r="G57" s="178">
        <v>0</v>
      </c>
      <c r="H57" s="80">
        <f t="shared" si="24"/>
        <v>0</v>
      </c>
      <c r="I57" s="178">
        <v>0</v>
      </c>
      <c r="J57" s="80">
        <f t="shared" si="25"/>
        <v>0</v>
      </c>
      <c r="K57" s="178">
        <v>0</v>
      </c>
      <c r="L57" s="80">
        <f t="shared" si="26"/>
        <v>0</v>
      </c>
      <c r="M57" s="178">
        <v>0</v>
      </c>
      <c r="N57" s="80">
        <f t="shared" si="27"/>
        <v>0</v>
      </c>
      <c r="O57" s="178">
        <v>0</v>
      </c>
      <c r="P57" s="80">
        <f t="shared" si="28"/>
        <v>0</v>
      </c>
      <c r="Q57" s="178">
        <v>0</v>
      </c>
      <c r="R57" s="80">
        <f t="shared" si="29"/>
        <v>0</v>
      </c>
      <c r="S57" s="178">
        <v>0</v>
      </c>
      <c r="T57" s="80">
        <f t="shared" si="30"/>
        <v>0</v>
      </c>
      <c r="U57" s="178">
        <v>0</v>
      </c>
      <c r="V57" s="80">
        <f t="shared" si="31"/>
        <v>0</v>
      </c>
      <c r="X57" s="192"/>
    </row>
    <row r="58" spans="1:24" ht="12.75" customHeight="1">
      <c r="A58" s="2" t="s">
        <v>402</v>
      </c>
      <c r="B58" s="35"/>
      <c r="C58" s="178">
        <v>0</v>
      </c>
      <c r="D58" s="80">
        <f t="shared" si="22"/>
        <v>0</v>
      </c>
      <c r="E58" s="178">
        <v>0</v>
      </c>
      <c r="F58" s="80">
        <f t="shared" si="23"/>
        <v>0</v>
      </c>
      <c r="G58" s="178">
        <v>0</v>
      </c>
      <c r="H58" s="80">
        <f t="shared" si="24"/>
        <v>0</v>
      </c>
      <c r="I58" s="178">
        <v>0</v>
      </c>
      <c r="J58" s="80">
        <f t="shared" si="25"/>
        <v>0</v>
      </c>
      <c r="K58" s="178">
        <v>0</v>
      </c>
      <c r="L58" s="80">
        <f t="shared" si="26"/>
        <v>0</v>
      </c>
      <c r="M58" s="178">
        <v>0</v>
      </c>
      <c r="N58" s="80">
        <f t="shared" si="27"/>
        <v>0</v>
      </c>
      <c r="O58" s="178">
        <v>0</v>
      </c>
      <c r="P58" s="80">
        <f t="shared" si="28"/>
        <v>0</v>
      </c>
      <c r="Q58" s="178">
        <v>0</v>
      </c>
      <c r="R58" s="80">
        <f t="shared" si="29"/>
        <v>0</v>
      </c>
      <c r="S58" s="178">
        <v>0</v>
      </c>
      <c r="T58" s="80">
        <f t="shared" si="30"/>
        <v>0</v>
      </c>
      <c r="U58" s="178">
        <v>0</v>
      </c>
      <c r="V58" s="80">
        <f t="shared" si="31"/>
        <v>0</v>
      </c>
      <c r="X58" s="192"/>
    </row>
    <row r="59" spans="1:24" ht="12.75" customHeight="1">
      <c r="A59" s="2" t="s">
        <v>403</v>
      </c>
      <c r="B59" s="35"/>
      <c r="C59" s="178"/>
      <c r="D59" s="80">
        <f t="shared" si="22"/>
        <v>0</v>
      </c>
      <c r="E59" s="178"/>
      <c r="F59" s="80">
        <f t="shared" si="23"/>
        <v>0</v>
      </c>
      <c r="G59" s="178"/>
      <c r="H59" s="80">
        <f t="shared" si="24"/>
        <v>0</v>
      </c>
      <c r="I59" s="178"/>
      <c r="J59" s="80">
        <f t="shared" si="25"/>
        <v>0</v>
      </c>
      <c r="K59" s="178"/>
      <c r="L59" s="80">
        <f t="shared" si="26"/>
        <v>0</v>
      </c>
      <c r="M59" s="178"/>
      <c r="N59" s="80">
        <f t="shared" si="27"/>
        <v>0</v>
      </c>
      <c r="O59" s="178"/>
      <c r="P59" s="80">
        <f t="shared" si="28"/>
        <v>0</v>
      </c>
      <c r="Q59" s="178"/>
      <c r="R59" s="80">
        <f t="shared" si="29"/>
        <v>0</v>
      </c>
      <c r="S59" s="178"/>
      <c r="T59" s="80">
        <f t="shared" si="30"/>
        <v>0</v>
      </c>
      <c r="U59" s="178"/>
      <c r="V59" s="80">
        <f t="shared" si="31"/>
        <v>0</v>
      </c>
      <c r="X59" s="192"/>
    </row>
    <row r="60" spans="1:24" ht="12.75" customHeight="1">
      <c r="A60" s="2" t="s">
        <v>404</v>
      </c>
      <c r="B60" s="35"/>
      <c r="C60" s="178">
        <v>0</v>
      </c>
      <c r="D60" s="80">
        <f t="shared" si="22"/>
        <v>0</v>
      </c>
      <c r="E60" s="178">
        <v>0</v>
      </c>
      <c r="F60" s="80">
        <f t="shared" si="23"/>
        <v>0</v>
      </c>
      <c r="G60" s="178">
        <v>0</v>
      </c>
      <c r="H60" s="80">
        <f t="shared" si="24"/>
        <v>0</v>
      </c>
      <c r="I60" s="178">
        <v>0</v>
      </c>
      <c r="J60" s="80">
        <f t="shared" si="25"/>
        <v>0</v>
      </c>
      <c r="K60" s="178">
        <v>0</v>
      </c>
      <c r="L60" s="80">
        <f t="shared" si="26"/>
        <v>0</v>
      </c>
      <c r="M60" s="178">
        <v>0</v>
      </c>
      <c r="N60" s="80">
        <f t="shared" si="27"/>
        <v>0</v>
      </c>
      <c r="O60" s="178">
        <v>0</v>
      </c>
      <c r="P60" s="80">
        <f t="shared" si="28"/>
        <v>0</v>
      </c>
      <c r="Q60" s="178">
        <v>0</v>
      </c>
      <c r="R60" s="80">
        <f t="shared" si="29"/>
        <v>0</v>
      </c>
      <c r="S60" s="178">
        <v>0</v>
      </c>
      <c r="T60" s="80">
        <f t="shared" si="30"/>
        <v>0</v>
      </c>
      <c r="U60" s="178">
        <v>0</v>
      </c>
      <c r="V60" s="80">
        <f t="shared" si="31"/>
        <v>0</v>
      </c>
      <c r="X60" s="192"/>
    </row>
    <row r="61" spans="1:24" ht="12.75" customHeight="1">
      <c r="A61" s="2" t="s">
        <v>405</v>
      </c>
      <c r="B61" s="35"/>
      <c r="C61" s="178">
        <v>0</v>
      </c>
      <c r="D61" s="80">
        <f t="shared" si="22"/>
        <v>0</v>
      </c>
      <c r="E61" s="178">
        <v>0</v>
      </c>
      <c r="F61" s="80">
        <f t="shared" si="23"/>
        <v>0</v>
      </c>
      <c r="G61" s="178">
        <v>0</v>
      </c>
      <c r="H61" s="80">
        <f t="shared" si="24"/>
        <v>0</v>
      </c>
      <c r="I61" s="178">
        <v>0</v>
      </c>
      <c r="J61" s="80">
        <f t="shared" si="25"/>
        <v>0</v>
      </c>
      <c r="K61" s="178">
        <v>0</v>
      </c>
      <c r="L61" s="80">
        <f t="shared" si="26"/>
        <v>0</v>
      </c>
      <c r="M61" s="178">
        <v>0</v>
      </c>
      <c r="N61" s="80">
        <f t="shared" si="27"/>
        <v>0</v>
      </c>
      <c r="O61" s="178">
        <v>0</v>
      </c>
      <c r="P61" s="80">
        <f t="shared" si="28"/>
        <v>0</v>
      </c>
      <c r="Q61" s="178">
        <v>0</v>
      </c>
      <c r="R61" s="80">
        <f t="shared" si="29"/>
        <v>0</v>
      </c>
      <c r="S61" s="178">
        <v>0</v>
      </c>
      <c r="T61" s="80">
        <f t="shared" si="30"/>
        <v>0</v>
      </c>
      <c r="U61" s="178">
        <v>0</v>
      </c>
      <c r="V61" s="80">
        <f t="shared" si="31"/>
        <v>0</v>
      </c>
      <c r="X61" s="192"/>
    </row>
    <row r="62" spans="1:24" ht="12.75" customHeight="1">
      <c r="A62" s="2" t="s">
        <v>406</v>
      </c>
      <c r="B62" s="35"/>
      <c r="C62" s="178">
        <v>0</v>
      </c>
      <c r="D62" s="80">
        <f t="shared" si="22"/>
        <v>0</v>
      </c>
      <c r="E62" s="178">
        <v>0</v>
      </c>
      <c r="F62" s="80">
        <f t="shared" si="23"/>
        <v>0</v>
      </c>
      <c r="G62" s="178">
        <v>0</v>
      </c>
      <c r="H62" s="80">
        <f t="shared" si="24"/>
        <v>0</v>
      </c>
      <c r="I62" s="178">
        <v>0</v>
      </c>
      <c r="J62" s="80">
        <f t="shared" si="25"/>
        <v>0</v>
      </c>
      <c r="K62" s="178">
        <v>0</v>
      </c>
      <c r="L62" s="80">
        <f t="shared" si="26"/>
        <v>0</v>
      </c>
      <c r="M62" s="178">
        <v>0</v>
      </c>
      <c r="N62" s="80">
        <f t="shared" si="27"/>
        <v>0</v>
      </c>
      <c r="O62" s="178">
        <v>0</v>
      </c>
      <c r="P62" s="80">
        <f t="shared" si="28"/>
        <v>0</v>
      </c>
      <c r="Q62" s="178">
        <v>0</v>
      </c>
      <c r="R62" s="80">
        <f t="shared" si="29"/>
        <v>0</v>
      </c>
      <c r="S62" s="178">
        <v>0</v>
      </c>
      <c r="T62" s="80">
        <f t="shared" si="30"/>
        <v>0</v>
      </c>
      <c r="U62" s="178">
        <v>0</v>
      </c>
      <c r="V62" s="80">
        <f t="shared" si="31"/>
        <v>0</v>
      </c>
      <c r="X62" s="192"/>
    </row>
    <row r="63" spans="1:24" ht="12.75" customHeight="1">
      <c r="A63" s="2" t="s">
        <v>407</v>
      </c>
      <c r="B63" s="35"/>
      <c r="C63" s="178">
        <v>0</v>
      </c>
      <c r="D63" s="80">
        <f t="shared" si="22"/>
        <v>0</v>
      </c>
      <c r="E63" s="178">
        <v>0</v>
      </c>
      <c r="F63" s="80">
        <f t="shared" si="23"/>
        <v>0</v>
      </c>
      <c r="G63" s="178">
        <v>10382.42382178514</v>
      </c>
      <c r="H63" s="80">
        <f t="shared" si="24"/>
        <v>1.2214616260923693E-2</v>
      </c>
      <c r="I63" s="178">
        <v>11481.219149049552</v>
      </c>
      <c r="J63" s="80">
        <f t="shared" si="25"/>
        <v>1.224598064001872E-2</v>
      </c>
      <c r="K63" s="178">
        <v>12624.755400852271</v>
      </c>
      <c r="L63" s="80">
        <f t="shared" si="26"/>
        <v>1.2208238976341107E-2</v>
      </c>
      <c r="M63" s="178">
        <v>13948.581548627271</v>
      </c>
      <c r="N63" s="80">
        <f t="shared" si="27"/>
        <v>1.2228820852233806E-2</v>
      </c>
      <c r="O63" s="178">
        <v>15417.003874048332</v>
      </c>
      <c r="P63" s="80">
        <f t="shared" si="28"/>
        <v>1.2254031885822084E-2</v>
      </c>
      <c r="Q63" s="178">
        <v>17054.89583519892</v>
      </c>
      <c r="R63" s="80">
        <f t="shared" si="29"/>
        <v>1.2290019821740245E-2</v>
      </c>
      <c r="S63" s="178">
        <v>18865.289225435961</v>
      </c>
      <c r="T63" s="80">
        <f t="shared" si="30"/>
        <v>1.2325128828525088E-2</v>
      </c>
      <c r="U63" s="178">
        <v>20871.753546417731</v>
      </c>
      <c r="V63" s="80">
        <f t="shared" si="31"/>
        <v>1.236264576162681E-2</v>
      </c>
      <c r="X63" s="192"/>
    </row>
    <row r="64" spans="1:24" ht="12.75" customHeight="1">
      <c r="A64" s="2" t="s">
        <v>408</v>
      </c>
      <c r="B64" s="35"/>
      <c r="C64" s="178">
        <v>0</v>
      </c>
      <c r="D64" s="80">
        <f t="shared" si="22"/>
        <v>0</v>
      </c>
      <c r="E64" s="178">
        <v>0</v>
      </c>
      <c r="F64" s="80">
        <f t="shared" si="23"/>
        <v>0</v>
      </c>
      <c r="G64" s="178">
        <v>4080</v>
      </c>
      <c r="H64" s="80">
        <f t="shared" si="24"/>
        <v>4.7999999999999996E-3</v>
      </c>
      <c r="I64" s="178">
        <v>4500.24</v>
      </c>
      <c r="J64" s="80">
        <f t="shared" si="25"/>
        <v>4.7999999999999996E-3</v>
      </c>
      <c r="K64" s="178">
        <v>4963.7647200000001</v>
      </c>
      <c r="L64" s="80">
        <f t="shared" si="26"/>
        <v>4.7999999999999996E-3</v>
      </c>
      <c r="M64" s="178">
        <v>5475.0324861599993</v>
      </c>
      <c r="N64" s="80">
        <f t="shared" si="27"/>
        <v>4.7999999999999996E-3</v>
      </c>
      <c r="O64" s="178">
        <v>6038.9608322344802</v>
      </c>
      <c r="P64" s="80">
        <f t="shared" si="28"/>
        <v>4.7999999999999996E-3</v>
      </c>
      <c r="Q64" s="178">
        <v>6660.9737979546308</v>
      </c>
      <c r="R64" s="80">
        <f t="shared" si="29"/>
        <v>4.7999999999999996E-3</v>
      </c>
      <c r="S64" s="178">
        <v>7347.0540991439575</v>
      </c>
      <c r="T64" s="80">
        <f t="shared" si="30"/>
        <v>4.7999999999999996E-3</v>
      </c>
      <c r="U64" s="178">
        <v>8103.8006713557852</v>
      </c>
      <c r="V64" s="80">
        <f t="shared" si="31"/>
        <v>4.7999999999999996E-3</v>
      </c>
      <c r="X64" s="192"/>
    </row>
    <row r="65" spans="1:24" ht="12.75" customHeight="1">
      <c r="A65" s="2" t="s">
        <v>409</v>
      </c>
      <c r="B65" s="35"/>
      <c r="C65" s="178">
        <v>0</v>
      </c>
      <c r="D65" s="80">
        <f t="shared" si="22"/>
        <v>0</v>
      </c>
      <c r="E65" s="178">
        <v>0</v>
      </c>
      <c r="F65" s="80">
        <f t="shared" si="23"/>
        <v>0</v>
      </c>
      <c r="G65" s="178">
        <v>425.00000000000006</v>
      </c>
      <c r="H65" s="80">
        <f t="shared" si="24"/>
        <v>5.0000000000000012E-4</v>
      </c>
      <c r="I65" s="178">
        <v>468.77500000000003</v>
      </c>
      <c r="J65" s="80">
        <f t="shared" si="25"/>
        <v>5.0000000000000001E-4</v>
      </c>
      <c r="K65" s="178">
        <v>517.05882499999996</v>
      </c>
      <c r="L65" s="80">
        <f t="shared" si="26"/>
        <v>4.999999999999999E-4</v>
      </c>
      <c r="M65" s="178">
        <v>570.31588397499991</v>
      </c>
      <c r="N65" s="80">
        <f t="shared" si="27"/>
        <v>4.999999999999999E-4</v>
      </c>
      <c r="O65" s="178">
        <v>629.058420024425</v>
      </c>
      <c r="P65" s="80">
        <f t="shared" si="28"/>
        <v>5.0000000000000001E-4</v>
      </c>
      <c r="Q65" s="178">
        <v>693.85143728694084</v>
      </c>
      <c r="R65" s="80">
        <f t="shared" si="29"/>
        <v>5.0000000000000001E-4</v>
      </c>
      <c r="S65" s="178">
        <v>765.31813532749561</v>
      </c>
      <c r="T65" s="80">
        <f t="shared" si="30"/>
        <v>5.0000000000000001E-4</v>
      </c>
      <c r="U65" s="178">
        <v>844.14590326622761</v>
      </c>
      <c r="V65" s="80">
        <f t="shared" si="31"/>
        <v>4.999999999999999E-4</v>
      </c>
      <c r="X65" s="192"/>
    </row>
    <row r="66" spans="1:24" ht="12.75" customHeight="1">
      <c r="A66" s="2" t="s">
        <v>410</v>
      </c>
      <c r="B66" s="35"/>
      <c r="C66" s="178">
        <v>0</v>
      </c>
      <c r="D66" s="80">
        <f t="shared" si="22"/>
        <v>0</v>
      </c>
      <c r="E66" s="178">
        <v>0</v>
      </c>
      <c r="F66" s="80">
        <f t="shared" si="23"/>
        <v>0</v>
      </c>
      <c r="G66" s="178">
        <v>2380</v>
      </c>
      <c r="H66" s="80">
        <f t="shared" si="24"/>
        <v>2.8E-3</v>
      </c>
      <c r="I66" s="178">
        <v>2625.1400000000003</v>
      </c>
      <c r="J66" s="80">
        <f t="shared" si="25"/>
        <v>2.8000000000000004E-3</v>
      </c>
      <c r="K66" s="178">
        <v>2895.5294199999998</v>
      </c>
      <c r="L66" s="80">
        <f t="shared" si="26"/>
        <v>2.8E-3</v>
      </c>
      <c r="M66" s="178">
        <v>3193.7689502600001</v>
      </c>
      <c r="N66" s="80">
        <f t="shared" si="27"/>
        <v>2.8E-3</v>
      </c>
      <c r="O66" s="178">
        <v>3522.7271521367802</v>
      </c>
      <c r="P66" s="80">
        <f t="shared" si="28"/>
        <v>2.8E-3</v>
      </c>
      <c r="Q66" s="178">
        <v>3885.5680488068688</v>
      </c>
      <c r="R66" s="80">
        <f t="shared" si="29"/>
        <v>2.8000000000000004E-3</v>
      </c>
      <c r="S66" s="178">
        <v>4285.7815578339751</v>
      </c>
      <c r="T66" s="80">
        <f t="shared" si="30"/>
        <v>2.7999999999999995E-3</v>
      </c>
      <c r="U66" s="178">
        <v>4727.2170582908748</v>
      </c>
      <c r="V66" s="80">
        <f t="shared" si="31"/>
        <v>2.8E-3</v>
      </c>
      <c r="X66" s="192"/>
    </row>
    <row r="67" spans="1:24" ht="12.75" customHeight="1">
      <c r="A67" s="2" t="s">
        <v>411</v>
      </c>
      <c r="B67" s="35"/>
      <c r="C67" s="178">
        <v>0</v>
      </c>
      <c r="D67" s="80">
        <f t="shared" si="22"/>
        <v>0</v>
      </c>
      <c r="E67" s="178">
        <v>0</v>
      </c>
      <c r="F67" s="80">
        <f t="shared" si="23"/>
        <v>0</v>
      </c>
      <c r="G67" s="178">
        <v>12750</v>
      </c>
      <c r="H67" s="80">
        <f t="shared" si="24"/>
        <v>1.4999999999999999E-2</v>
      </c>
      <c r="I67" s="178">
        <v>14063.25</v>
      </c>
      <c r="J67" s="80">
        <f t="shared" si="25"/>
        <v>1.4999999999999999E-2</v>
      </c>
      <c r="K67" s="178">
        <v>15511.764749999998</v>
      </c>
      <c r="L67" s="80">
        <f t="shared" si="26"/>
        <v>1.4999999999999998E-2</v>
      </c>
      <c r="M67" s="178">
        <v>17109.476519249998</v>
      </c>
      <c r="N67" s="80">
        <f t="shared" si="27"/>
        <v>1.4999999999999998E-2</v>
      </c>
      <c r="O67" s="178">
        <v>18871.752600732751</v>
      </c>
      <c r="P67" s="80">
        <f t="shared" si="28"/>
        <v>1.4999999999999999E-2</v>
      </c>
      <c r="Q67" s="178">
        <v>20815.543118608221</v>
      </c>
      <c r="R67" s="80">
        <f t="shared" si="29"/>
        <v>1.4999999999999998E-2</v>
      </c>
      <c r="S67" s="178">
        <v>22959.544059824868</v>
      </c>
      <c r="T67" s="80">
        <f t="shared" si="30"/>
        <v>1.4999999999999999E-2</v>
      </c>
      <c r="U67" s="178">
        <v>25324.377097986828</v>
      </c>
      <c r="V67" s="80">
        <f t="shared" si="31"/>
        <v>1.4999999999999998E-2</v>
      </c>
      <c r="X67" s="192"/>
    </row>
    <row r="68" spans="1:24" ht="12.75" customHeight="1">
      <c r="A68" s="2" t="s">
        <v>412</v>
      </c>
      <c r="B68" s="35"/>
      <c r="C68" s="178">
        <v>0</v>
      </c>
      <c r="D68" s="80">
        <f t="shared" si="22"/>
        <v>0</v>
      </c>
      <c r="E68" s="178">
        <v>0</v>
      </c>
      <c r="F68" s="80">
        <f t="shared" si="23"/>
        <v>0</v>
      </c>
      <c r="G68" s="178">
        <v>1445</v>
      </c>
      <c r="H68" s="80">
        <f t="shared" si="24"/>
        <v>1.6999999999999999E-3</v>
      </c>
      <c r="I68" s="178">
        <v>1593.8349999999998</v>
      </c>
      <c r="J68" s="80">
        <f t="shared" si="25"/>
        <v>1.6999999999999997E-3</v>
      </c>
      <c r="K68" s="178">
        <v>1758.0000049999999</v>
      </c>
      <c r="L68" s="80">
        <f t="shared" si="26"/>
        <v>1.6999999999999999E-3</v>
      </c>
      <c r="M68" s="178">
        <v>1939.0740055149997</v>
      </c>
      <c r="N68" s="80">
        <f t="shared" si="27"/>
        <v>1.6999999999999997E-3</v>
      </c>
      <c r="O68" s="178">
        <v>2138.7986280830451</v>
      </c>
      <c r="P68" s="80">
        <f t="shared" si="28"/>
        <v>1.6999999999999999E-3</v>
      </c>
      <c r="Q68" s="178">
        <v>2359.0948867755988</v>
      </c>
      <c r="R68" s="80">
        <f t="shared" si="29"/>
        <v>1.7000000000000001E-3</v>
      </c>
      <c r="S68" s="178">
        <v>2602.0816601134848</v>
      </c>
      <c r="T68" s="80">
        <f t="shared" si="30"/>
        <v>1.6999999999999997E-3</v>
      </c>
      <c r="U68" s="178">
        <v>2870.0960711051739</v>
      </c>
      <c r="V68" s="80">
        <f t="shared" si="31"/>
        <v>1.6999999999999999E-3</v>
      </c>
      <c r="X68" s="192"/>
    </row>
    <row r="69" spans="1:24" ht="12.75" customHeight="1">
      <c r="A69" s="2" t="s">
        <v>413</v>
      </c>
      <c r="B69" s="35"/>
      <c r="C69" s="178">
        <v>0</v>
      </c>
      <c r="D69" s="80">
        <f t="shared" si="22"/>
        <v>0</v>
      </c>
      <c r="E69" s="178">
        <v>0</v>
      </c>
      <c r="F69" s="80">
        <f t="shared" si="23"/>
        <v>0</v>
      </c>
      <c r="G69" s="178">
        <v>0</v>
      </c>
      <c r="H69" s="80">
        <f t="shared" si="24"/>
        <v>0</v>
      </c>
      <c r="I69" s="178">
        <v>0</v>
      </c>
      <c r="J69" s="80">
        <f t="shared" si="25"/>
        <v>0</v>
      </c>
      <c r="K69" s="178">
        <v>0</v>
      </c>
      <c r="L69" s="80">
        <f t="shared" si="26"/>
        <v>0</v>
      </c>
      <c r="M69" s="178">
        <v>0</v>
      </c>
      <c r="N69" s="80">
        <f t="shared" si="27"/>
        <v>0</v>
      </c>
      <c r="O69" s="178">
        <v>0</v>
      </c>
      <c r="P69" s="80">
        <f t="shared" si="28"/>
        <v>0</v>
      </c>
      <c r="Q69" s="178">
        <v>0</v>
      </c>
      <c r="R69" s="80">
        <f t="shared" si="29"/>
        <v>0</v>
      </c>
      <c r="S69" s="178">
        <v>0</v>
      </c>
      <c r="T69" s="80">
        <f t="shared" si="30"/>
        <v>0</v>
      </c>
      <c r="U69" s="178">
        <v>0</v>
      </c>
      <c r="V69" s="80">
        <f t="shared" si="31"/>
        <v>0</v>
      </c>
      <c r="X69" s="192"/>
    </row>
    <row r="70" spans="1:24" ht="12.75" customHeight="1">
      <c r="A70" s="2" t="s">
        <v>414</v>
      </c>
      <c r="B70" s="35"/>
      <c r="C70" s="178">
        <v>0</v>
      </c>
      <c r="D70" s="80">
        <f t="shared" si="22"/>
        <v>0</v>
      </c>
      <c r="E70" s="178">
        <v>0</v>
      </c>
      <c r="F70" s="80">
        <f t="shared" si="23"/>
        <v>0</v>
      </c>
      <c r="G70" s="178">
        <v>85.000000000000014</v>
      </c>
      <c r="H70" s="80">
        <f t="shared" si="24"/>
        <v>1.0000000000000002E-4</v>
      </c>
      <c r="I70" s="178">
        <v>93.75500000000001</v>
      </c>
      <c r="J70" s="80">
        <f t="shared" si="25"/>
        <v>1E-4</v>
      </c>
      <c r="K70" s="178">
        <v>103.41176499999999</v>
      </c>
      <c r="L70" s="80">
        <f t="shared" si="26"/>
        <v>9.9999999999999991E-5</v>
      </c>
      <c r="M70" s="178">
        <v>114.063176795</v>
      </c>
      <c r="N70" s="80">
        <f t="shared" si="27"/>
        <v>1E-4</v>
      </c>
      <c r="O70" s="178">
        <v>125.81168400488501</v>
      </c>
      <c r="P70" s="80">
        <f t="shared" si="28"/>
        <v>1E-4</v>
      </c>
      <c r="Q70" s="178">
        <v>138.77028745738818</v>
      </c>
      <c r="R70" s="80">
        <f t="shared" si="29"/>
        <v>1.0000000000000002E-4</v>
      </c>
      <c r="S70" s="178">
        <v>153.06362706549913</v>
      </c>
      <c r="T70" s="80">
        <f t="shared" si="30"/>
        <v>1E-4</v>
      </c>
      <c r="U70" s="178">
        <v>168.82918065324554</v>
      </c>
      <c r="V70" s="80">
        <f t="shared" si="31"/>
        <v>1E-4</v>
      </c>
      <c r="X70" s="192"/>
    </row>
    <row r="71" spans="1:24" ht="12.75" customHeight="1">
      <c r="A71" s="2" t="s">
        <v>415</v>
      </c>
      <c r="B71" s="35"/>
      <c r="C71" s="178">
        <v>0</v>
      </c>
      <c r="D71" s="80">
        <f t="shared" si="22"/>
        <v>0</v>
      </c>
      <c r="E71" s="178">
        <v>0</v>
      </c>
      <c r="F71" s="80">
        <f t="shared" si="23"/>
        <v>0</v>
      </c>
      <c r="G71" s="178">
        <v>0</v>
      </c>
      <c r="H71" s="80">
        <f t="shared" si="24"/>
        <v>0</v>
      </c>
      <c r="I71" s="178">
        <v>0</v>
      </c>
      <c r="J71" s="80">
        <f t="shared" si="25"/>
        <v>0</v>
      </c>
      <c r="K71" s="178">
        <v>0</v>
      </c>
      <c r="L71" s="80">
        <f t="shared" si="26"/>
        <v>0</v>
      </c>
      <c r="M71" s="178">
        <v>0</v>
      </c>
      <c r="N71" s="80">
        <f t="shared" si="27"/>
        <v>0</v>
      </c>
      <c r="O71" s="178">
        <v>0</v>
      </c>
      <c r="P71" s="80">
        <f t="shared" si="28"/>
        <v>0</v>
      </c>
      <c r="Q71" s="178">
        <v>0</v>
      </c>
      <c r="R71" s="80">
        <f t="shared" si="29"/>
        <v>0</v>
      </c>
      <c r="S71" s="178">
        <v>0</v>
      </c>
      <c r="T71" s="80">
        <f t="shared" si="30"/>
        <v>0</v>
      </c>
      <c r="U71" s="178">
        <v>0</v>
      </c>
      <c r="V71" s="80">
        <f t="shared" si="31"/>
        <v>0</v>
      </c>
      <c r="X71" s="192"/>
    </row>
    <row r="72" spans="1:24" ht="12.75" customHeight="1">
      <c r="A72" s="2" t="s">
        <v>416</v>
      </c>
      <c r="B72" s="35"/>
      <c r="C72" s="178">
        <v>0</v>
      </c>
      <c r="D72" s="80">
        <f t="shared" si="22"/>
        <v>0</v>
      </c>
      <c r="E72" s="178">
        <v>0</v>
      </c>
      <c r="F72" s="80">
        <f t="shared" si="23"/>
        <v>0</v>
      </c>
      <c r="G72" s="178">
        <v>0</v>
      </c>
      <c r="H72" s="80">
        <f t="shared" si="24"/>
        <v>0</v>
      </c>
      <c r="I72" s="178">
        <v>0</v>
      </c>
      <c r="J72" s="80">
        <f t="shared" si="25"/>
        <v>0</v>
      </c>
      <c r="K72" s="178">
        <v>0</v>
      </c>
      <c r="L72" s="80">
        <f t="shared" si="26"/>
        <v>0</v>
      </c>
      <c r="M72" s="178">
        <v>0</v>
      </c>
      <c r="N72" s="80">
        <f t="shared" si="27"/>
        <v>0</v>
      </c>
      <c r="O72" s="178">
        <v>0</v>
      </c>
      <c r="P72" s="80">
        <f t="shared" si="28"/>
        <v>0</v>
      </c>
      <c r="Q72" s="178">
        <v>0</v>
      </c>
      <c r="R72" s="80">
        <f t="shared" si="29"/>
        <v>0</v>
      </c>
      <c r="S72" s="178">
        <v>0</v>
      </c>
      <c r="T72" s="80">
        <f t="shared" si="30"/>
        <v>0</v>
      </c>
      <c r="U72" s="178">
        <v>0</v>
      </c>
      <c r="V72" s="80">
        <f t="shared" si="31"/>
        <v>0</v>
      </c>
      <c r="X72" s="192"/>
    </row>
    <row r="73" spans="1:24" ht="12.75" customHeight="1">
      <c r="A73" s="2" t="s">
        <v>417</v>
      </c>
      <c r="B73" s="35"/>
      <c r="C73" s="178">
        <v>0</v>
      </c>
      <c r="D73" s="80">
        <f t="shared" si="22"/>
        <v>0</v>
      </c>
      <c r="E73" s="178">
        <v>0</v>
      </c>
      <c r="F73" s="80">
        <f t="shared" si="23"/>
        <v>0</v>
      </c>
      <c r="G73" s="178">
        <v>0</v>
      </c>
      <c r="H73" s="80">
        <f t="shared" si="24"/>
        <v>0</v>
      </c>
      <c r="I73" s="178">
        <v>0</v>
      </c>
      <c r="J73" s="80">
        <f t="shared" si="25"/>
        <v>0</v>
      </c>
      <c r="K73" s="178">
        <v>0</v>
      </c>
      <c r="L73" s="80">
        <f t="shared" si="26"/>
        <v>0</v>
      </c>
      <c r="M73" s="178">
        <v>0</v>
      </c>
      <c r="N73" s="80">
        <f t="shared" si="27"/>
        <v>0</v>
      </c>
      <c r="O73" s="178">
        <v>0</v>
      </c>
      <c r="P73" s="80">
        <f t="shared" si="28"/>
        <v>0</v>
      </c>
      <c r="Q73" s="178">
        <v>0</v>
      </c>
      <c r="R73" s="80">
        <f t="shared" si="29"/>
        <v>0</v>
      </c>
      <c r="S73" s="178">
        <v>0</v>
      </c>
      <c r="T73" s="80">
        <f t="shared" si="30"/>
        <v>0</v>
      </c>
      <c r="U73" s="178">
        <v>0</v>
      </c>
      <c r="V73" s="80">
        <f t="shared" si="31"/>
        <v>0</v>
      </c>
      <c r="X73" s="192"/>
    </row>
    <row r="74" spans="1:24" ht="12.75" customHeight="1">
      <c r="A74" s="2" t="s">
        <v>418</v>
      </c>
      <c r="B74" s="35"/>
      <c r="C74" s="178">
        <v>0</v>
      </c>
      <c r="D74" s="80">
        <f t="shared" si="22"/>
        <v>0</v>
      </c>
      <c r="E74" s="178">
        <v>0</v>
      </c>
      <c r="F74" s="80">
        <f t="shared" si="23"/>
        <v>0</v>
      </c>
      <c r="G74" s="178">
        <v>0</v>
      </c>
      <c r="H74" s="80">
        <f t="shared" si="24"/>
        <v>0</v>
      </c>
      <c r="I74" s="178">
        <v>0</v>
      </c>
      <c r="J74" s="80">
        <f t="shared" si="25"/>
        <v>0</v>
      </c>
      <c r="K74" s="178">
        <v>0</v>
      </c>
      <c r="L74" s="80">
        <f t="shared" si="26"/>
        <v>0</v>
      </c>
      <c r="M74" s="178">
        <v>0</v>
      </c>
      <c r="N74" s="80">
        <f t="shared" si="27"/>
        <v>0</v>
      </c>
      <c r="O74" s="178">
        <v>0</v>
      </c>
      <c r="P74" s="80">
        <f t="shared" si="28"/>
        <v>0</v>
      </c>
      <c r="Q74" s="178">
        <v>0</v>
      </c>
      <c r="R74" s="80">
        <f t="shared" si="29"/>
        <v>0</v>
      </c>
      <c r="S74" s="178">
        <v>0</v>
      </c>
      <c r="T74" s="80">
        <f t="shared" si="30"/>
        <v>0</v>
      </c>
      <c r="U74" s="178">
        <v>0</v>
      </c>
      <c r="V74" s="80">
        <f t="shared" si="31"/>
        <v>0</v>
      </c>
      <c r="X74" s="192"/>
    </row>
    <row r="75" spans="1:24" ht="12.75" customHeight="1">
      <c r="A75" s="2" t="s">
        <v>419</v>
      </c>
      <c r="B75" s="35"/>
      <c r="C75" s="178">
        <v>0</v>
      </c>
      <c r="D75" s="80">
        <f t="shared" si="22"/>
        <v>0</v>
      </c>
      <c r="E75" s="178">
        <v>0</v>
      </c>
      <c r="F75" s="80">
        <f t="shared" si="23"/>
        <v>0</v>
      </c>
      <c r="G75" s="178">
        <v>3825</v>
      </c>
      <c r="H75" s="80">
        <f t="shared" si="24"/>
        <v>4.4999999999999997E-3</v>
      </c>
      <c r="I75" s="178">
        <v>4218.9750000000004</v>
      </c>
      <c r="J75" s="80">
        <f t="shared" si="25"/>
        <v>4.5000000000000005E-3</v>
      </c>
      <c r="K75" s="178">
        <v>4653.5294249999997</v>
      </c>
      <c r="L75" s="80">
        <f t="shared" si="26"/>
        <v>4.4999999999999997E-3</v>
      </c>
      <c r="M75" s="178">
        <v>5132.8429557749996</v>
      </c>
      <c r="N75" s="80">
        <f t="shared" si="27"/>
        <v>4.4999999999999997E-3</v>
      </c>
      <c r="O75" s="178">
        <v>5661.5257802198248</v>
      </c>
      <c r="P75" s="80">
        <f t="shared" si="28"/>
        <v>4.4999999999999997E-3</v>
      </c>
      <c r="Q75" s="178">
        <v>6244.6629355824671</v>
      </c>
      <c r="R75" s="80">
        <f t="shared" si="29"/>
        <v>4.5000000000000005E-3</v>
      </c>
      <c r="S75" s="178">
        <v>6887.8632179474598</v>
      </c>
      <c r="T75" s="80">
        <f t="shared" si="30"/>
        <v>4.4999999999999997E-3</v>
      </c>
      <c r="U75" s="178">
        <v>7597.3131293960487</v>
      </c>
      <c r="V75" s="80">
        <f t="shared" si="31"/>
        <v>4.4999999999999997E-3</v>
      </c>
      <c r="X75" s="192"/>
    </row>
    <row r="76" spans="1:24" ht="12.75" customHeight="1">
      <c r="A76" s="2" t="s">
        <v>420</v>
      </c>
      <c r="B76" s="35"/>
      <c r="C76" s="178">
        <v>0</v>
      </c>
      <c r="D76" s="80">
        <f t="shared" si="22"/>
        <v>0</v>
      </c>
      <c r="E76" s="178">
        <v>0</v>
      </c>
      <c r="F76" s="80">
        <f t="shared" si="23"/>
        <v>0</v>
      </c>
      <c r="G76" s="178">
        <v>340.00000000000006</v>
      </c>
      <c r="H76" s="80">
        <f t="shared" si="24"/>
        <v>4.0000000000000007E-4</v>
      </c>
      <c r="I76" s="178">
        <v>375.02000000000004</v>
      </c>
      <c r="J76" s="80">
        <f t="shared" si="25"/>
        <v>4.0000000000000002E-4</v>
      </c>
      <c r="K76" s="178">
        <v>413.64705999999995</v>
      </c>
      <c r="L76" s="80">
        <f t="shared" si="26"/>
        <v>3.9999999999999996E-4</v>
      </c>
      <c r="M76" s="178">
        <v>456.25270718000002</v>
      </c>
      <c r="N76" s="80">
        <f t="shared" si="27"/>
        <v>4.0000000000000002E-4</v>
      </c>
      <c r="O76" s="178">
        <v>503.24673601954004</v>
      </c>
      <c r="P76" s="80">
        <f t="shared" si="28"/>
        <v>4.0000000000000002E-4</v>
      </c>
      <c r="Q76" s="178">
        <v>555.08114982955271</v>
      </c>
      <c r="R76" s="80">
        <f t="shared" si="29"/>
        <v>4.0000000000000007E-4</v>
      </c>
      <c r="S76" s="178">
        <v>612.25450826199653</v>
      </c>
      <c r="T76" s="80">
        <f t="shared" si="30"/>
        <v>4.0000000000000002E-4</v>
      </c>
      <c r="U76" s="178">
        <v>675.31672261298218</v>
      </c>
      <c r="V76" s="80">
        <f t="shared" si="31"/>
        <v>4.0000000000000002E-4</v>
      </c>
      <c r="X76" s="192"/>
    </row>
    <row r="77" spans="1:24" ht="12.75" customHeight="1">
      <c r="A77" s="2" t="s">
        <v>421</v>
      </c>
      <c r="B77" s="35"/>
      <c r="C77" s="178">
        <v>0</v>
      </c>
      <c r="D77" s="80">
        <f t="shared" si="22"/>
        <v>0</v>
      </c>
      <c r="E77" s="178">
        <v>0</v>
      </c>
      <c r="F77" s="80">
        <f t="shared" si="23"/>
        <v>0</v>
      </c>
      <c r="G77" s="178">
        <v>1105</v>
      </c>
      <c r="H77" s="80">
        <f t="shared" si="24"/>
        <v>1.2999999999999999E-3</v>
      </c>
      <c r="I77" s="178">
        <v>1218.8150000000001</v>
      </c>
      <c r="J77" s="80">
        <f t="shared" si="25"/>
        <v>1.3000000000000002E-3</v>
      </c>
      <c r="K77" s="178">
        <v>1344.3529449999999</v>
      </c>
      <c r="L77" s="80">
        <f t="shared" si="26"/>
        <v>1.2999999999999999E-3</v>
      </c>
      <c r="M77" s="178">
        <v>1482.8212983349999</v>
      </c>
      <c r="N77" s="80">
        <f t="shared" si="27"/>
        <v>1.2999999999999999E-3</v>
      </c>
      <c r="O77" s="178">
        <v>1635.551892063505</v>
      </c>
      <c r="P77" s="80">
        <f t="shared" si="28"/>
        <v>1.2999999999999999E-3</v>
      </c>
      <c r="Q77" s="178">
        <v>1804.0137369460458</v>
      </c>
      <c r="R77" s="80">
        <f t="shared" si="29"/>
        <v>1.2999999999999999E-3</v>
      </c>
      <c r="S77" s="178">
        <v>1989.8271518514887</v>
      </c>
      <c r="T77" s="80">
        <f t="shared" si="30"/>
        <v>1.2999999999999999E-3</v>
      </c>
      <c r="U77" s="178">
        <v>2194.7793484921917</v>
      </c>
      <c r="V77" s="80">
        <f t="shared" si="31"/>
        <v>1.2999999999999999E-3</v>
      </c>
      <c r="X77" s="192"/>
    </row>
    <row r="78" spans="1:24" ht="12.75" customHeight="1">
      <c r="A78" s="2" t="s">
        <v>422</v>
      </c>
      <c r="B78" s="35"/>
      <c r="C78" s="178">
        <v>0</v>
      </c>
      <c r="D78" s="80">
        <f t="shared" si="22"/>
        <v>0</v>
      </c>
      <c r="E78" s="178">
        <v>0</v>
      </c>
      <c r="F78" s="80">
        <f t="shared" si="23"/>
        <v>0</v>
      </c>
      <c r="G78" s="178">
        <v>18700</v>
      </c>
      <c r="H78" s="80">
        <f t="shared" si="24"/>
        <v>2.1999999999999999E-2</v>
      </c>
      <c r="I78" s="178">
        <v>20626.099999999999</v>
      </c>
      <c r="J78" s="80">
        <f t="shared" si="25"/>
        <v>2.1999999999999999E-2</v>
      </c>
      <c r="K78" s="178">
        <v>22750.588299999999</v>
      </c>
      <c r="L78" s="80">
        <f t="shared" si="26"/>
        <v>2.1999999999999999E-2</v>
      </c>
      <c r="M78" s="178">
        <v>25093.898894899998</v>
      </c>
      <c r="N78" s="80">
        <f t="shared" si="27"/>
        <v>2.1999999999999999E-2</v>
      </c>
      <c r="O78" s="178">
        <v>27678.570481074697</v>
      </c>
      <c r="P78" s="80">
        <f t="shared" si="28"/>
        <v>2.1999999999999999E-2</v>
      </c>
      <c r="Q78" s="178">
        <v>30529.463240625391</v>
      </c>
      <c r="R78" s="80">
        <f t="shared" si="29"/>
        <v>2.1999999999999999E-2</v>
      </c>
      <c r="S78" s="178">
        <v>33673.99795440981</v>
      </c>
      <c r="T78" s="80">
        <f t="shared" si="30"/>
        <v>2.2000000000000002E-2</v>
      </c>
      <c r="U78" s="178">
        <v>37142.419743714017</v>
      </c>
      <c r="V78" s="80">
        <f t="shared" si="31"/>
        <v>2.1999999999999999E-2</v>
      </c>
      <c r="X78" s="192"/>
    </row>
    <row r="79" spans="1:24" ht="12.75" customHeight="1">
      <c r="A79" s="2" t="s">
        <v>423</v>
      </c>
      <c r="B79" s="35"/>
      <c r="C79" s="178">
        <v>0</v>
      </c>
      <c r="D79" s="80">
        <f t="shared" si="22"/>
        <v>0</v>
      </c>
      <c r="E79" s="178">
        <v>0</v>
      </c>
      <c r="F79" s="80">
        <f t="shared" si="23"/>
        <v>0</v>
      </c>
      <c r="G79" s="178">
        <v>0</v>
      </c>
      <c r="H79" s="80">
        <f t="shared" si="24"/>
        <v>0</v>
      </c>
      <c r="I79" s="178">
        <v>0</v>
      </c>
      <c r="J79" s="80">
        <f t="shared" si="25"/>
        <v>0</v>
      </c>
      <c r="K79" s="178">
        <v>0</v>
      </c>
      <c r="L79" s="80">
        <f t="shared" si="26"/>
        <v>0</v>
      </c>
      <c r="M79" s="178">
        <v>0</v>
      </c>
      <c r="N79" s="80">
        <f t="shared" si="27"/>
        <v>0</v>
      </c>
      <c r="O79" s="178">
        <v>0</v>
      </c>
      <c r="P79" s="80">
        <f t="shared" si="28"/>
        <v>0</v>
      </c>
      <c r="Q79" s="178">
        <v>0</v>
      </c>
      <c r="R79" s="80">
        <f t="shared" si="29"/>
        <v>0</v>
      </c>
      <c r="S79" s="178">
        <v>0</v>
      </c>
      <c r="T79" s="80">
        <f t="shared" si="30"/>
        <v>0</v>
      </c>
      <c r="U79" s="178">
        <v>0</v>
      </c>
      <c r="V79" s="80">
        <f t="shared" si="31"/>
        <v>0</v>
      </c>
      <c r="X79" s="192"/>
    </row>
    <row r="80" spans="1:24" ht="12.75" customHeight="1">
      <c r="A80" s="2" t="s">
        <v>424</v>
      </c>
      <c r="B80" s="35"/>
      <c r="C80" s="178">
        <v>0</v>
      </c>
      <c r="D80" s="80">
        <f t="shared" si="22"/>
        <v>0</v>
      </c>
      <c r="E80" s="178">
        <v>0</v>
      </c>
      <c r="F80" s="80">
        <f t="shared" si="23"/>
        <v>0</v>
      </c>
      <c r="G80" s="178">
        <v>0</v>
      </c>
      <c r="H80" s="80">
        <f t="shared" si="24"/>
        <v>0</v>
      </c>
      <c r="I80" s="178">
        <v>0</v>
      </c>
      <c r="J80" s="80">
        <f t="shared" si="25"/>
        <v>0</v>
      </c>
      <c r="K80" s="178">
        <v>0</v>
      </c>
      <c r="L80" s="80">
        <f t="shared" si="26"/>
        <v>0</v>
      </c>
      <c r="M80" s="178">
        <v>0</v>
      </c>
      <c r="N80" s="80">
        <f t="shared" si="27"/>
        <v>0</v>
      </c>
      <c r="O80" s="178">
        <v>0</v>
      </c>
      <c r="P80" s="80">
        <f t="shared" si="28"/>
        <v>0</v>
      </c>
      <c r="Q80" s="178">
        <v>0</v>
      </c>
      <c r="R80" s="80">
        <f t="shared" si="29"/>
        <v>0</v>
      </c>
      <c r="S80" s="178">
        <v>0</v>
      </c>
      <c r="T80" s="80">
        <f t="shared" si="30"/>
        <v>0</v>
      </c>
      <c r="U80" s="178">
        <v>0</v>
      </c>
      <c r="V80" s="80">
        <f t="shared" si="31"/>
        <v>0</v>
      </c>
      <c r="X80" s="192"/>
    </row>
    <row r="81" spans="1:24" ht="12.75" customHeight="1">
      <c r="A81" s="2" t="s">
        <v>425</v>
      </c>
      <c r="B81" s="35"/>
      <c r="C81" s="178">
        <v>0</v>
      </c>
      <c r="D81" s="80">
        <f t="shared" si="22"/>
        <v>0</v>
      </c>
      <c r="E81" s="178">
        <v>0</v>
      </c>
      <c r="F81" s="80">
        <f t="shared" si="23"/>
        <v>0</v>
      </c>
      <c r="G81" s="178">
        <v>0</v>
      </c>
      <c r="H81" s="80">
        <f t="shared" si="24"/>
        <v>0</v>
      </c>
      <c r="I81" s="178">
        <v>0</v>
      </c>
      <c r="J81" s="80">
        <f t="shared" si="25"/>
        <v>0</v>
      </c>
      <c r="K81" s="178">
        <v>0</v>
      </c>
      <c r="L81" s="80">
        <f t="shared" si="26"/>
        <v>0</v>
      </c>
      <c r="M81" s="178">
        <v>0</v>
      </c>
      <c r="N81" s="80">
        <f t="shared" si="27"/>
        <v>0</v>
      </c>
      <c r="O81" s="178">
        <v>0</v>
      </c>
      <c r="P81" s="80">
        <f t="shared" si="28"/>
        <v>0</v>
      </c>
      <c r="Q81" s="178">
        <v>0</v>
      </c>
      <c r="R81" s="80">
        <f t="shared" si="29"/>
        <v>0</v>
      </c>
      <c r="S81" s="178">
        <v>0</v>
      </c>
      <c r="T81" s="80">
        <f t="shared" si="30"/>
        <v>0</v>
      </c>
      <c r="U81" s="178">
        <v>0</v>
      </c>
      <c r="V81" s="80">
        <f t="shared" si="31"/>
        <v>0</v>
      </c>
      <c r="X81" s="192"/>
    </row>
    <row r="82" spans="1:24" ht="12.75" customHeight="1">
      <c r="A82" s="2" t="s">
        <v>426</v>
      </c>
      <c r="B82" s="35"/>
      <c r="C82" s="178">
        <v>0</v>
      </c>
      <c r="D82" s="80">
        <f t="shared" si="22"/>
        <v>0</v>
      </c>
      <c r="E82" s="178">
        <v>0</v>
      </c>
      <c r="F82" s="80">
        <f t="shared" si="23"/>
        <v>0</v>
      </c>
      <c r="G82" s="178">
        <v>0</v>
      </c>
      <c r="H82" s="80">
        <f t="shared" si="24"/>
        <v>0</v>
      </c>
      <c r="I82" s="178">
        <v>0</v>
      </c>
      <c r="J82" s="80">
        <f t="shared" si="25"/>
        <v>0</v>
      </c>
      <c r="K82" s="178">
        <v>0</v>
      </c>
      <c r="L82" s="80">
        <f t="shared" si="26"/>
        <v>0</v>
      </c>
      <c r="M82" s="178">
        <v>0</v>
      </c>
      <c r="N82" s="80">
        <f t="shared" si="27"/>
        <v>0</v>
      </c>
      <c r="O82" s="178">
        <v>0</v>
      </c>
      <c r="P82" s="80">
        <f t="shared" si="28"/>
        <v>0</v>
      </c>
      <c r="Q82" s="178">
        <v>0</v>
      </c>
      <c r="R82" s="80">
        <f t="shared" si="29"/>
        <v>0</v>
      </c>
      <c r="S82" s="178">
        <v>0</v>
      </c>
      <c r="T82" s="80">
        <f t="shared" si="30"/>
        <v>0</v>
      </c>
      <c r="U82" s="178">
        <v>0</v>
      </c>
      <c r="V82" s="80">
        <f t="shared" si="31"/>
        <v>0</v>
      </c>
      <c r="X82" s="192"/>
    </row>
    <row r="83" spans="1:24" ht="12.75" customHeight="1">
      <c r="A83" s="2" t="s">
        <v>427</v>
      </c>
      <c r="B83" s="35"/>
      <c r="C83" s="178">
        <v>0</v>
      </c>
      <c r="D83" s="80">
        <f t="shared" si="22"/>
        <v>0</v>
      </c>
      <c r="E83" s="178">
        <v>0</v>
      </c>
      <c r="F83" s="80">
        <f t="shared" si="23"/>
        <v>0</v>
      </c>
      <c r="G83" s="178">
        <v>0</v>
      </c>
      <c r="H83" s="80">
        <f t="shared" si="24"/>
        <v>0</v>
      </c>
      <c r="I83" s="178">
        <v>0</v>
      </c>
      <c r="J83" s="80">
        <f t="shared" si="25"/>
        <v>0</v>
      </c>
      <c r="K83" s="178">
        <v>0</v>
      </c>
      <c r="L83" s="80">
        <f t="shared" si="26"/>
        <v>0</v>
      </c>
      <c r="M83" s="178">
        <v>0</v>
      </c>
      <c r="N83" s="80">
        <f t="shared" si="27"/>
        <v>0</v>
      </c>
      <c r="O83" s="178">
        <v>0</v>
      </c>
      <c r="P83" s="80">
        <f t="shared" si="28"/>
        <v>0</v>
      </c>
      <c r="Q83" s="178">
        <v>0</v>
      </c>
      <c r="R83" s="80">
        <f t="shared" si="29"/>
        <v>0</v>
      </c>
      <c r="S83" s="178">
        <v>0</v>
      </c>
      <c r="T83" s="80">
        <f t="shared" si="30"/>
        <v>0</v>
      </c>
      <c r="U83" s="178">
        <v>0</v>
      </c>
      <c r="V83" s="80">
        <f t="shared" si="31"/>
        <v>0</v>
      </c>
      <c r="X83" s="192"/>
    </row>
    <row r="84" spans="1:24" ht="12.75" customHeight="1">
      <c r="A84" s="2" t="s">
        <v>428</v>
      </c>
      <c r="B84" s="35"/>
      <c r="C84" s="178">
        <v>0</v>
      </c>
      <c r="D84" s="80">
        <f t="shared" ref="D84:D105" si="32">IFERROR(C84/C$28,0)</f>
        <v>0</v>
      </c>
      <c r="E84" s="178">
        <v>0</v>
      </c>
      <c r="F84" s="80">
        <f t="shared" si="23"/>
        <v>0</v>
      </c>
      <c r="G84" s="178">
        <v>0</v>
      </c>
      <c r="H84" s="80">
        <f t="shared" si="24"/>
        <v>0</v>
      </c>
      <c r="I84" s="178">
        <v>0</v>
      </c>
      <c r="J84" s="80">
        <f t="shared" si="25"/>
        <v>0</v>
      </c>
      <c r="K84" s="178">
        <v>0</v>
      </c>
      <c r="L84" s="80">
        <f t="shared" si="26"/>
        <v>0</v>
      </c>
      <c r="M84" s="178">
        <v>0</v>
      </c>
      <c r="N84" s="80">
        <f t="shared" si="27"/>
        <v>0</v>
      </c>
      <c r="O84" s="178">
        <v>0</v>
      </c>
      <c r="P84" s="80">
        <f t="shared" si="28"/>
        <v>0</v>
      </c>
      <c r="Q84" s="178">
        <v>0</v>
      </c>
      <c r="R84" s="80">
        <f t="shared" si="29"/>
        <v>0</v>
      </c>
      <c r="S84" s="178">
        <v>0</v>
      </c>
      <c r="T84" s="80">
        <f t="shared" si="30"/>
        <v>0</v>
      </c>
      <c r="U84" s="178">
        <v>0</v>
      </c>
      <c r="V84" s="80">
        <f t="shared" si="31"/>
        <v>0</v>
      </c>
      <c r="X84" s="192"/>
    </row>
    <row r="85" spans="1:24" ht="12.75" customHeight="1">
      <c r="A85" s="2" t="s">
        <v>429</v>
      </c>
      <c r="B85" s="35"/>
      <c r="C85" s="178">
        <v>0</v>
      </c>
      <c r="D85" s="80">
        <f t="shared" si="32"/>
        <v>0</v>
      </c>
      <c r="E85" s="178">
        <v>0</v>
      </c>
      <c r="F85" s="80">
        <f t="shared" si="23"/>
        <v>0</v>
      </c>
      <c r="G85" s="178">
        <v>0</v>
      </c>
      <c r="H85" s="80">
        <f t="shared" si="24"/>
        <v>0</v>
      </c>
      <c r="I85" s="178">
        <v>0</v>
      </c>
      <c r="J85" s="80">
        <f t="shared" si="25"/>
        <v>0</v>
      </c>
      <c r="K85" s="178">
        <v>0</v>
      </c>
      <c r="L85" s="80">
        <f t="shared" si="26"/>
        <v>0</v>
      </c>
      <c r="M85" s="178">
        <v>0</v>
      </c>
      <c r="N85" s="80">
        <f t="shared" si="27"/>
        <v>0</v>
      </c>
      <c r="O85" s="178">
        <v>0</v>
      </c>
      <c r="P85" s="80">
        <f t="shared" si="28"/>
        <v>0</v>
      </c>
      <c r="Q85" s="178">
        <v>0</v>
      </c>
      <c r="R85" s="80">
        <f t="shared" si="29"/>
        <v>0</v>
      </c>
      <c r="S85" s="178">
        <v>0</v>
      </c>
      <c r="T85" s="80">
        <f t="shared" si="30"/>
        <v>0</v>
      </c>
      <c r="U85" s="178">
        <v>0</v>
      </c>
      <c r="V85" s="80">
        <f t="shared" si="31"/>
        <v>0</v>
      </c>
      <c r="X85" s="192"/>
    </row>
    <row r="86" spans="1:24" ht="12.75" customHeight="1">
      <c r="A86" s="2" t="s">
        <v>430</v>
      </c>
      <c r="B86" s="35"/>
      <c r="C86" s="178">
        <v>0</v>
      </c>
      <c r="D86" s="80">
        <f t="shared" si="32"/>
        <v>0</v>
      </c>
      <c r="E86" s="178">
        <v>0</v>
      </c>
      <c r="F86" s="80">
        <f t="shared" si="23"/>
        <v>0</v>
      </c>
      <c r="G86" s="178">
        <v>3400.0000000000005</v>
      </c>
      <c r="H86" s="80">
        <f t="shared" si="24"/>
        <v>4.000000000000001E-3</v>
      </c>
      <c r="I86" s="178">
        <v>3750.2000000000003</v>
      </c>
      <c r="J86" s="80">
        <f t="shared" si="25"/>
        <v>4.0000000000000001E-3</v>
      </c>
      <c r="K86" s="178">
        <v>4136.4705999999996</v>
      </c>
      <c r="L86" s="80">
        <f t="shared" si="26"/>
        <v>3.9999999999999992E-3</v>
      </c>
      <c r="M86" s="178">
        <v>4562.5270717999992</v>
      </c>
      <c r="N86" s="80">
        <f t="shared" si="27"/>
        <v>3.9999999999999992E-3</v>
      </c>
      <c r="O86" s="178">
        <v>5032.4673601954</v>
      </c>
      <c r="P86" s="80">
        <f t="shared" si="28"/>
        <v>4.0000000000000001E-3</v>
      </c>
      <c r="Q86" s="178">
        <v>5550.8114982955267</v>
      </c>
      <c r="R86" s="80">
        <f t="shared" si="29"/>
        <v>4.0000000000000001E-3</v>
      </c>
      <c r="S86" s="178">
        <v>6122.5450826199649</v>
      </c>
      <c r="T86" s="80">
        <f t="shared" si="30"/>
        <v>4.0000000000000001E-3</v>
      </c>
      <c r="U86" s="178">
        <v>6753.1672261298208</v>
      </c>
      <c r="V86" s="80">
        <f t="shared" si="31"/>
        <v>3.9999999999999992E-3</v>
      </c>
      <c r="X86" s="192"/>
    </row>
    <row r="87" spans="1:24" ht="12.75" customHeight="1">
      <c r="A87" s="2" t="s">
        <v>431</v>
      </c>
      <c r="B87" s="35"/>
      <c r="C87" s="178">
        <v>0</v>
      </c>
      <c r="D87" s="80">
        <f t="shared" si="32"/>
        <v>0</v>
      </c>
      <c r="E87" s="178">
        <v>0</v>
      </c>
      <c r="F87" s="80">
        <f t="shared" si="23"/>
        <v>0</v>
      </c>
      <c r="G87" s="178">
        <v>0</v>
      </c>
      <c r="H87" s="80">
        <f t="shared" si="24"/>
        <v>0</v>
      </c>
      <c r="I87" s="178">
        <v>0</v>
      </c>
      <c r="J87" s="80">
        <f t="shared" si="25"/>
        <v>0</v>
      </c>
      <c r="K87" s="178">
        <v>0</v>
      </c>
      <c r="L87" s="80">
        <f t="shared" si="26"/>
        <v>0</v>
      </c>
      <c r="M87" s="178">
        <v>0</v>
      </c>
      <c r="N87" s="80">
        <f t="shared" si="27"/>
        <v>0</v>
      </c>
      <c r="O87" s="178">
        <v>0</v>
      </c>
      <c r="P87" s="80">
        <f t="shared" si="28"/>
        <v>0</v>
      </c>
      <c r="Q87" s="178">
        <v>0</v>
      </c>
      <c r="R87" s="80">
        <f t="shared" si="29"/>
        <v>0</v>
      </c>
      <c r="S87" s="178">
        <v>0</v>
      </c>
      <c r="T87" s="80">
        <f t="shared" si="30"/>
        <v>0</v>
      </c>
      <c r="U87" s="178">
        <v>0</v>
      </c>
      <c r="V87" s="80">
        <f t="shared" si="31"/>
        <v>0</v>
      </c>
      <c r="X87" s="192"/>
    </row>
    <row r="88" spans="1:24" ht="12.75" customHeight="1">
      <c r="A88" s="2" t="s">
        <v>432</v>
      </c>
      <c r="B88" s="35"/>
      <c r="C88" s="178">
        <v>0</v>
      </c>
      <c r="D88" s="80">
        <f t="shared" si="32"/>
        <v>0</v>
      </c>
      <c r="E88" s="178">
        <v>0</v>
      </c>
      <c r="F88" s="80">
        <f t="shared" si="23"/>
        <v>0</v>
      </c>
      <c r="G88" s="178">
        <v>4335.0000000000009</v>
      </c>
      <c r="H88" s="80">
        <f t="shared" si="24"/>
        <v>5.1000000000000012E-3</v>
      </c>
      <c r="I88" s="178">
        <v>4781.505000000001</v>
      </c>
      <c r="J88" s="80">
        <f t="shared" si="25"/>
        <v>5.1000000000000012E-3</v>
      </c>
      <c r="K88" s="178">
        <v>5274.0000149999996</v>
      </c>
      <c r="L88" s="80">
        <f t="shared" si="26"/>
        <v>5.0999999999999995E-3</v>
      </c>
      <c r="M88" s="178">
        <v>5817.2220165449999</v>
      </c>
      <c r="N88" s="80">
        <f t="shared" si="27"/>
        <v>5.0999999999999995E-3</v>
      </c>
      <c r="O88" s="178">
        <v>6416.3958842491356</v>
      </c>
      <c r="P88" s="80">
        <f t="shared" si="28"/>
        <v>5.1000000000000004E-3</v>
      </c>
      <c r="Q88" s="178">
        <v>7077.2846603267963</v>
      </c>
      <c r="R88" s="80">
        <f t="shared" si="29"/>
        <v>5.1000000000000004E-3</v>
      </c>
      <c r="S88" s="178">
        <v>7806.2449803404552</v>
      </c>
      <c r="T88" s="80">
        <f t="shared" si="30"/>
        <v>5.0999999999999995E-3</v>
      </c>
      <c r="U88" s="178">
        <v>8610.2882133155235</v>
      </c>
      <c r="V88" s="80">
        <f t="shared" si="31"/>
        <v>5.1000000000000004E-3</v>
      </c>
      <c r="X88" s="192"/>
    </row>
    <row r="89" spans="1:24" ht="12.75" customHeight="1">
      <c r="A89" s="2" t="s">
        <v>433</v>
      </c>
      <c r="B89" s="35"/>
      <c r="C89" s="178">
        <v>0</v>
      </c>
      <c r="D89" s="80">
        <f t="shared" si="32"/>
        <v>0</v>
      </c>
      <c r="E89" s="178">
        <v>0</v>
      </c>
      <c r="F89" s="80">
        <f t="shared" si="23"/>
        <v>0</v>
      </c>
      <c r="G89" s="178">
        <v>0</v>
      </c>
      <c r="H89" s="80">
        <f t="shared" si="24"/>
        <v>0</v>
      </c>
      <c r="I89" s="178">
        <v>0</v>
      </c>
      <c r="J89" s="80">
        <f t="shared" si="25"/>
        <v>0</v>
      </c>
      <c r="K89" s="178">
        <v>0</v>
      </c>
      <c r="L89" s="80">
        <f t="shared" si="26"/>
        <v>0</v>
      </c>
      <c r="M89" s="178">
        <v>0</v>
      </c>
      <c r="N89" s="80">
        <f t="shared" si="27"/>
        <v>0</v>
      </c>
      <c r="O89" s="178">
        <v>0</v>
      </c>
      <c r="P89" s="80">
        <f t="shared" si="28"/>
        <v>0</v>
      </c>
      <c r="Q89" s="178">
        <v>0</v>
      </c>
      <c r="R89" s="80">
        <f t="shared" si="29"/>
        <v>0</v>
      </c>
      <c r="S89" s="178">
        <v>0</v>
      </c>
      <c r="T89" s="80">
        <f t="shared" si="30"/>
        <v>0</v>
      </c>
      <c r="U89" s="178">
        <v>0</v>
      </c>
      <c r="V89" s="80">
        <f t="shared" si="31"/>
        <v>0</v>
      </c>
      <c r="X89" s="192"/>
    </row>
    <row r="90" spans="1:24" ht="12.75" customHeight="1">
      <c r="A90" s="2" t="s">
        <v>434</v>
      </c>
      <c r="B90" s="35"/>
      <c r="C90" s="178">
        <v>0</v>
      </c>
      <c r="D90" s="80">
        <f t="shared" si="32"/>
        <v>0</v>
      </c>
      <c r="E90" s="178">
        <v>0</v>
      </c>
      <c r="F90" s="80">
        <f t="shared" si="23"/>
        <v>0</v>
      </c>
      <c r="G90" s="178">
        <v>170.00000000000003</v>
      </c>
      <c r="H90" s="80">
        <f t="shared" si="24"/>
        <v>2.0000000000000004E-4</v>
      </c>
      <c r="I90" s="178">
        <v>187.51000000000002</v>
      </c>
      <c r="J90" s="80">
        <f t="shared" si="25"/>
        <v>2.0000000000000001E-4</v>
      </c>
      <c r="K90" s="178">
        <v>206.82352999999998</v>
      </c>
      <c r="L90" s="80">
        <f t="shared" si="26"/>
        <v>1.9999999999999998E-4</v>
      </c>
      <c r="M90" s="178">
        <v>228.12635359000001</v>
      </c>
      <c r="N90" s="80">
        <f t="shared" si="27"/>
        <v>2.0000000000000001E-4</v>
      </c>
      <c r="O90" s="178">
        <v>251.62336800977002</v>
      </c>
      <c r="P90" s="80">
        <f t="shared" si="28"/>
        <v>2.0000000000000001E-4</v>
      </c>
      <c r="Q90" s="178">
        <v>277.54057491477636</v>
      </c>
      <c r="R90" s="80">
        <f t="shared" si="29"/>
        <v>2.0000000000000004E-4</v>
      </c>
      <c r="S90" s="178">
        <v>306.12725413099827</v>
      </c>
      <c r="T90" s="80">
        <f t="shared" si="30"/>
        <v>2.0000000000000001E-4</v>
      </c>
      <c r="U90" s="178">
        <v>337.65836130649109</v>
      </c>
      <c r="V90" s="80">
        <f t="shared" si="31"/>
        <v>2.0000000000000001E-4</v>
      </c>
      <c r="X90" s="192"/>
    </row>
    <row r="91" spans="1:24" ht="12.75" customHeight="1">
      <c r="A91" s="2" t="s">
        <v>435</v>
      </c>
      <c r="C91" s="178">
        <v>0</v>
      </c>
      <c r="D91" s="80">
        <f t="shared" si="32"/>
        <v>0</v>
      </c>
      <c r="E91" s="178">
        <v>0</v>
      </c>
      <c r="F91" s="80">
        <f t="shared" si="23"/>
        <v>0</v>
      </c>
      <c r="G91" s="178">
        <v>0</v>
      </c>
      <c r="H91" s="80">
        <f t="shared" si="24"/>
        <v>0</v>
      </c>
      <c r="I91" s="178">
        <v>0</v>
      </c>
      <c r="J91" s="80">
        <f t="shared" si="25"/>
        <v>0</v>
      </c>
      <c r="K91" s="178">
        <v>0</v>
      </c>
      <c r="L91" s="80">
        <f t="shared" si="26"/>
        <v>0</v>
      </c>
      <c r="M91" s="178">
        <v>0</v>
      </c>
      <c r="N91" s="80">
        <f t="shared" si="27"/>
        <v>0</v>
      </c>
      <c r="O91" s="178">
        <v>0</v>
      </c>
      <c r="P91" s="80">
        <f t="shared" si="28"/>
        <v>0</v>
      </c>
      <c r="Q91" s="178">
        <v>0</v>
      </c>
      <c r="R91" s="80">
        <f t="shared" si="29"/>
        <v>0</v>
      </c>
      <c r="S91" s="178">
        <v>0</v>
      </c>
      <c r="T91" s="80">
        <f t="shared" si="30"/>
        <v>0</v>
      </c>
      <c r="U91" s="178">
        <v>0</v>
      </c>
      <c r="V91" s="80">
        <f t="shared" si="31"/>
        <v>0</v>
      </c>
      <c r="X91" s="192"/>
    </row>
    <row r="92" spans="1:24" ht="12.75" customHeight="1">
      <c r="A92" s="2" t="s">
        <v>436</v>
      </c>
      <c r="B92" s="35"/>
      <c r="C92" s="178">
        <v>0</v>
      </c>
      <c r="D92" s="80">
        <f t="shared" si="32"/>
        <v>0</v>
      </c>
      <c r="E92" s="178">
        <v>0</v>
      </c>
      <c r="F92" s="80">
        <f t="shared" si="23"/>
        <v>0</v>
      </c>
      <c r="G92" s="178">
        <v>4420</v>
      </c>
      <c r="H92" s="80">
        <f t="shared" si="24"/>
        <v>5.1999999999999998E-3</v>
      </c>
      <c r="I92" s="178">
        <v>4875.26</v>
      </c>
      <c r="J92" s="80">
        <f t="shared" si="25"/>
        <v>5.2000000000000006E-3</v>
      </c>
      <c r="K92" s="178">
        <v>5377.4117799999995</v>
      </c>
      <c r="L92" s="80">
        <f t="shared" si="26"/>
        <v>5.1999999999999998E-3</v>
      </c>
      <c r="M92" s="178">
        <v>5931.2851933399998</v>
      </c>
      <c r="N92" s="80">
        <f t="shared" si="27"/>
        <v>5.1999999999999998E-3</v>
      </c>
      <c r="O92" s="178">
        <v>6542.2075682540199</v>
      </c>
      <c r="P92" s="80">
        <f t="shared" si="28"/>
        <v>5.1999999999999998E-3</v>
      </c>
      <c r="Q92" s="178">
        <v>7216.0549477841832</v>
      </c>
      <c r="R92" s="80">
        <f t="shared" si="29"/>
        <v>5.1999999999999998E-3</v>
      </c>
      <c r="S92" s="178">
        <v>7959.3086074059547</v>
      </c>
      <c r="T92" s="80">
        <f t="shared" si="30"/>
        <v>5.1999999999999998E-3</v>
      </c>
      <c r="U92" s="178">
        <v>8779.1173939687669</v>
      </c>
      <c r="V92" s="80">
        <f t="shared" si="31"/>
        <v>5.1999999999999998E-3</v>
      </c>
      <c r="X92" s="192"/>
    </row>
    <row r="93" spans="1:24" ht="12.75" customHeight="1">
      <c r="A93" s="2" t="s">
        <v>437</v>
      </c>
      <c r="B93" s="35"/>
      <c r="C93" s="178">
        <v>0</v>
      </c>
      <c r="D93" s="80">
        <f t="shared" si="32"/>
        <v>0</v>
      </c>
      <c r="E93" s="178">
        <v>0</v>
      </c>
      <c r="F93" s="80">
        <f t="shared" si="23"/>
        <v>0</v>
      </c>
      <c r="G93" s="178">
        <v>0</v>
      </c>
      <c r="H93" s="80">
        <f t="shared" si="24"/>
        <v>0</v>
      </c>
      <c r="I93" s="178">
        <v>0</v>
      </c>
      <c r="J93" s="80">
        <f t="shared" si="25"/>
        <v>0</v>
      </c>
      <c r="K93" s="178">
        <v>0</v>
      </c>
      <c r="L93" s="80">
        <f t="shared" si="26"/>
        <v>0</v>
      </c>
      <c r="M93" s="178">
        <v>0</v>
      </c>
      <c r="N93" s="80">
        <f t="shared" si="27"/>
        <v>0</v>
      </c>
      <c r="O93" s="178">
        <v>0</v>
      </c>
      <c r="P93" s="80">
        <f t="shared" si="28"/>
        <v>0</v>
      </c>
      <c r="Q93" s="178">
        <v>0</v>
      </c>
      <c r="R93" s="80">
        <f t="shared" si="29"/>
        <v>0</v>
      </c>
      <c r="S93" s="178">
        <v>0</v>
      </c>
      <c r="T93" s="80">
        <f t="shared" si="30"/>
        <v>0</v>
      </c>
      <c r="U93" s="178">
        <v>0</v>
      </c>
      <c r="V93" s="80">
        <f t="shared" si="31"/>
        <v>0</v>
      </c>
      <c r="X93" s="192"/>
    </row>
    <row r="94" spans="1:24" ht="12.75" customHeight="1">
      <c r="A94" s="2" t="s">
        <v>438</v>
      </c>
      <c r="B94" s="35"/>
      <c r="C94" s="178">
        <v>0</v>
      </c>
      <c r="D94" s="80">
        <f t="shared" si="32"/>
        <v>0</v>
      </c>
      <c r="E94" s="178">
        <v>0</v>
      </c>
      <c r="F94" s="80">
        <f t="shared" si="23"/>
        <v>0</v>
      </c>
      <c r="G94" s="178">
        <v>0</v>
      </c>
      <c r="H94" s="80">
        <f t="shared" si="24"/>
        <v>0</v>
      </c>
      <c r="I94" s="178">
        <v>0</v>
      </c>
      <c r="J94" s="80">
        <f t="shared" si="25"/>
        <v>0</v>
      </c>
      <c r="K94" s="178">
        <v>0</v>
      </c>
      <c r="L94" s="80">
        <f t="shared" si="26"/>
        <v>0</v>
      </c>
      <c r="M94" s="178">
        <v>0</v>
      </c>
      <c r="N94" s="80">
        <f t="shared" si="27"/>
        <v>0</v>
      </c>
      <c r="O94" s="178">
        <v>0</v>
      </c>
      <c r="P94" s="80">
        <f t="shared" si="28"/>
        <v>0</v>
      </c>
      <c r="Q94" s="178">
        <v>0</v>
      </c>
      <c r="R94" s="80">
        <f t="shared" si="29"/>
        <v>0</v>
      </c>
      <c r="S94" s="178">
        <v>0</v>
      </c>
      <c r="T94" s="80">
        <f t="shared" si="30"/>
        <v>0</v>
      </c>
      <c r="U94" s="178">
        <v>0</v>
      </c>
      <c r="V94" s="80">
        <f t="shared" si="31"/>
        <v>0</v>
      </c>
      <c r="X94" s="192"/>
    </row>
    <row r="95" spans="1:24" ht="12.75" customHeight="1">
      <c r="A95" s="2" t="s">
        <v>439</v>
      </c>
      <c r="B95" s="35"/>
      <c r="C95" s="178">
        <v>0</v>
      </c>
      <c r="D95" s="80">
        <f t="shared" si="32"/>
        <v>0</v>
      </c>
      <c r="E95" s="178">
        <v>0</v>
      </c>
      <c r="F95" s="80">
        <f t="shared" si="23"/>
        <v>0</v>
      </c>
      <c r="G95" s="178">
        <v>0</v>
      </c>
      <c r="H95" s="80">
        <f t="shared" si="24"/>
        <v>0</v>
      </c>
      <c r="I95" s="178">
        <v>0</v>
      </c>
      <c r="J95" s="80">
        <f t="shared" si="25"/>
        <v>0</v>
      </c>
      <c r="K95" s="178">
        <v>0</v>
      </c>
      <c r="L95" s="80">
        <f t="shared" si="26"/>
        <v>0</v>
      </c>
      <c r="M95" s="178">
        <v>0</v>
      </c>
      <c r="N95" s="80">
        <f t="shared" si="27"/>
        <v>0</v>
      </c>
      <c r="O95" s="178">
        <v>0</v>
      </c>
      <c r="P95" s="80">
        <f t="shared" si="28"/>
        <v>0</v>
      </c>
      <c r="Q95" s="178">
        <v>0</v>
      </c>
      <c r="R95" s="80">
        <f t="shared" si="29"/>
        <v>0</v>
      </c>
      <c r="S95" s="178">
        <v>0</v>
      </c>
      <c r="T95" s="80">
        <f t="shared" si="30"/>
        <v>0</v>
      </c>
      <c r="U95" s="178">
        <v>0</v>
      </c>
      <c r="V95" s="80">
        <f t="shared" si="31"/>
        <v>0</v>
      </c>
      <c r="X95" s="192"/>
    </row>
    <row r="96" spans="1:24" ht="12.75" customHeight="1">
      <c r="A96" s="2" t="s">
        <v>440</v>
      </c>
      <c r="B96" s="35"/>
      <c r="C96" s="178">
        <v>0</v>
      </c>
      <c r="D96" s="80">
        <f t="shared" si="32"/>
        <v>0</v>
      </c>
      <c r="E96" s="178">
        <v>0</v>
      </c>
      <c r="F96" s="80">
        <f t="shared" si="23"/>
        <v>0</v>
      </c>
      <c r="G96" s="178">
        <v>0</v>
      </c>
      <c r="H96" s="80">
        <f t="shared" si="24"/>
        <v>0</v>
      </c>
      <c r="I96" s="178">
        <v>0</v>
      </c>
      <c r="J96" s="80">
        <f t="shared" si="25"/>
        <v>0</v>
      </c>
      <c r="K96" s="178">
        <v>0</v>
      </c>
      <c r="L96" s="80">
        <f t="shared" si="26"/>
        <v>0</v>
      </c>
      <c r="M96" s="178">
        <v>0</v>
      </c>
      <c r="N96" s="80">
        <f t="shared" si="27"/>
        <v>0</v>
      </c>
      <c r="O96" s="178">
        <v>0</v>
      </c>
      <c r="P96" s="80">
        <f t="shared" si="28"/>
        <v>0</v>
      </c>
      <c r="Q96" s="178">
        <v>0</v>
      </c>
      <c r="R96" s="80">
        <f t="shared" si="29"/>
        <v>0</v>
      </c>
      <c r="S96" s="178">
        <v>0</v>
      </c>
      <c r="T96" s="80">
        <f t="shared" si="30"/>
        <v>0</v>
      </c>
      <c r="U96" s="178">
        <v>0</v>
      </c>
      <c r="V96" s="80">
        <f t="shared" si="31"/>
        <v>0</v>
      </c>
      <c r="X96" s="192"/>
    </row>
    <row r="97" spans="1:24" ht="12.75" customHeight="1">
      <c r="A97" s="2" t="s">
        <v>441</v>
      </c>
      <c r="B97" s="35"/>
      <c r="C97" s="178">
        <v>0</v>
      </c>
      <c r="D97" s="80">
        <f t="shared" si="32"/>
        <v>0</v>
      </c>
      <c r="E97" s="178">
        <v>0</v>
      </c>
      <c r="F97" s="80">
        <f t="shared" si="23"/>
        <v>0</v>
      </c>
      <c r="G97" s="178">
        <v>13995.247925917443</v>
      </c>
      <c r="H97" s="80">
        <f t="shared" si="24"/>
        <v>1.6464997559902876E-2</v>
      </c>
      <c r="I97" s="178">
        <v>14443.095859546802</v>
      </c>
      <c r="J97" s="80">
        <f t="shared" si="25"/>
        <v>1.5405147308993443E-2</v>
      </c>
      <c r="K97" s="178">
        <v>14804.17325603547</v>
      </c>
      <c r="L97" s="80">
        <f t="shared" si="26"/>
        <v>1.4315753392310313E-2</v>
      </c>
      <c r="M97" s="178">
        <v>15174.277587436354</v>
      </c>
      <c r="N97" s="80">
        <f t="shared" si="27"/>
        <v>1.3303397304730798E-2</v>
      </c>
      <c r="O97" s="178">
        <v>15553.634527122264</v>
      </c>
      <c r="P97" s="80">
        <f t="shared" si="28"/>
        <v>1.2362631221531339E-2</v>
      </c>
      <c r="Q97" s="178">
        <v>15942.475390300318</v>
      </c>
      <c r="R97" s="80">
        <f t="shared" si="29"/>
        <v>1.1488392567606184E-2</v>
      </c>
      <c r="S97" s="178">
        <v>16341.037275057824</v>
      </c>
      <c r="T97" s="80">
        <f t="shared" si="30"/>
        <v>1.0675976774067397E-2</v>
      </c>
      <c r="U97" s="178">
        <v>16749.563206934268</v>
      </c>
      <c r="V97" s="80">
        <f t="shared" si="31"/>
        <v>9.9210119613953578E-3</v>
      </c>
      <c r="X97" s="192"/>
    </row>
    <row r="98" spans="1:24" ht="12.75" customHeight="1">
      <c r="A98" s="117" t="s">
        <v>444</v>
      </c>
      <c r="B98" s="35"/>
      <c r="C98" s="178">
        <v>0</v>
      </c>
      <c r="D98" s="80">
        <f t="shared" si="32"/>
        <v>0</v>
      </c>
      <c r="E98" s="178">
        <v>0</v>
      </c>
      <c r="F98" s="80">
        <f t="shared" si="23"/>
        <v>0</v>
      </c>
      <c r="G98" s="178">
        <v>1020</v>
      </c>
      <c r="H98" s="80">
        <f t="shared" si="24"/>
        <v>1.1999999999999999E-3</v>
      </c>
      <c r="I98" s="178">
        <v>1125.06</v>
      </c>
      <c r="J98" s="80">
        <f t="shared" si="25"/>
        <v>1.1999999999999999E-3</v>
      </c>
      <c r="K98" s="178">
        <v>1240.94118</v>
      </c>
      <c r="L98" s="80">
        <f t="shared" si="26"/>
        <v>1.1999999999999999E-3</v>
      </c>
      <c r="M98" s="178">
        <v>1368.7581215399998</v>
      </c>
      <c r="N98" s="80">
        <f t="shared" si="27"/>
        <v>1.1999999999999999E-3</v>
      </c>
      <c r="O98" s="178">
        <v>1509.7402080586201</v>
      </c>
      <c r="P98" s="80">
        <f t="shared" si="28"/>
        <v>1.1999999999999999E-3</v>
      </c>
      <c r="Q98" s="178">
        <v>1665.2434494886577</v>
      </c>
      <c r="R98" s="80">
        <f t="shared" si="29"/>
        <v>1.1999999999999999E-3</v>
      </c>
      <c r="S98" s="178">
        <v>1836.7635247859894</v>
      </c>
      <c r="T98" s="80">
        <f t="shared" si="30"/>
        <v>1.1999999999999999E-3</v>
      </c>
      <c r="U98" s="178">
        <v>2025.9501678389463</v>
      </c>
      <c r="V98" s="80">
        <f t="shared" si="31"/>
        <v>1.1999999999999999E-3</v>
      </c>
      <c r="X98" s="192"/>
    </row>
    <row r="99" spans="1:24" ht="12.75" customHeight="1">
      <c r="A99" s="117" t="s">
        <v>444</v>
      </c>
      <c r="B99" s="35"/>
      <c r="C99" s="178">
        <v>0</v>
      </c>
      <c r="D99" s="80">
        <f t="shared" si="32"/>
        <v>0</v>
      </c>
      <c r="E99" s="178">
        <v>0</v>
      </c>
      <c r="F99" s="80">
        <f t="shared" si="23"/>
        <v>0</v>
      </c>
      <c r="G99" s="178">
        <v>0</v>
      </c>
      <c r="H99" s="80">
        <f t="shared" si="24"/>
        <v>0</v>
      </c>
      <c r="I99" s="178">
        <v>0</v>
      </c>
      <c r="J99" s="80">
        <f t="shared" si="25"/>
        <v>0</v>
      </c>
      <c r="K99" s="178">
        <v>0</v>
      </c>
      <c r="L99" s="80">
        <f t="shared" si="26"/>
        <v>0</v>
      </c>
      <c r="M99" s="178">
        <v>0</v>
      </c>
      <c r="N99" s="80">
        <f t="shared" si="27"/>
        <v>0</v>
      </c>
      <c r="O99" s="178">
        <v>0</v>
      </c>
      <c r="P99" s="80">
        <f t="shared" si="28"/>
        <v>0</v>
      </c>
      <c r="Q99" s="178">
        <v>0</v>
      </c>
      <c r="R99" s="80">
        <f t="shared" si="29"/>
        <v>0</v>
      </c>
      <c r="S99" s="178">
        <v>0</v>
      </c>
      <c r="T99" s="80">
        <f t="shared" si="30"/>
        <v>0</v>
      </c>
      <c r="U99" s="178">
        <v>0</v>
      </c>
      <c r="V99" s="80">
        <f t="shared" si="31"/>
        <v>0</v>
      </c>
      <c r="X99" s="192"/>
    </row>
    <row r="100" spans="1:24" ht="12.75" customHeight="1">
      <c r="A100" s="117" t="s">
        <v>444</v>
      </c>
      <c r="B100" s="35"/>
      <c r="C100" s="178">
        <v>0</v>
      </c>
      <c r="D100" s="80">
        <f t="shared" si="32"/>
        <v>0</v>
      </c>
      <c r="E100" s="178">
        <v>0</v>
      </c>
      <c r="F100" s="80">
        <f t="shared" si="23"/>
        <v>0</v>
      </c>
      <c r="G100" s="178">
        <v>0</v>
      </c>
      <c r="H100" s="80">
        <f t="shared" si="24"/>
        <v>0</v>
      </c>
      <c r="I100" s="178">
        <v>0</v>
      </c>
      <c r="J100" s="80">
        <f t="shared" si="25"/>
        <v>0</v>
      </c>
      <c r="K100" s="178">
        <v>0</v>
      </c>
      <c r="L100" s="80">
        <f t="shared" si="26"/>
        <v>0</v>
      </c>
      <c r="M100" s="178">
        <v>0</v>
      </c>
      <c r="N100" s="80">
        <f t="shared" si="27"/>
        <v>0</v>
      </c>
      <c r="O100" s="178">
        <v>0</v>
      </c>
      <c r="P100" s="80">
        <f t="shared" si="28"/>
        <v>0</v>
      </c>
      <c r="Q100" s="178">
        <v>0</v>
      </c>
      <c r="R100" s="80">
        <f t="shared" si="29"/>
        <v>0</v>
      </c>
      <c r="S100" s="178">
        <v>0</v>
      </c>
      <c r="T100" s="80">
        <f t="shared" si="30"/>
        <v>0</v>
      </c>
      <c r="U100" s="178">
        <v>0</v>
      </c>
      <c r="V100" s="80">
        <f t="shared" si="31"/>
        <v>0</v>
      </c>
      <c r="X100" s="192"/>
    </row>
    <row r="101" spans="1:24" ht="12.75" customHeight="1">
      <c r="A101" s="2" t="s">
        <v>445</v>
      </c>
      <c r="B101" s="35"/>
      <c r="C101" s="178"/>
      <c r="D101" s="80">
        <f t="shared" si="32"/>
        <v>0</v>
      </c>
      <c r="E101" s="178"/>
      <c r="F101" s="80">
        <f t="shared" si="23"/>
        <v>0</v>
      </c>
      <c r="G101" s="178"/>
      <c r="H101" s="80">
        <f t="shared" si="24"/>
        <v>0</v>
      </c>
      <c r="I101" s="178"/>
      <c r="J101" s="80">
        <f t="shared" si="25"/>
        <v>0</v>
      </c>
      <c r="K101" s="178"/>
      <c r="L101" s="80">
        <f t="shared" si="26"/>
        <v>0</v>
      </c>
      <c r="M101" s="178"/>
      <c r="N101" s="80">
        <f t="shared" si="27"/>
        <v>0</v>
      </c>
      <c r="O101" s="178"/>
      <c r="P101" s="80">
        <f t="shared" si="28"/>
        <v>0</v>
      </c>
      <c r="Q101" s="178"/>
      <c r="R101" s="80">
        <f t="shared" si="29"/>
        <v>0</v>
      </c>
      <c r="S101" s="178"/>
      <c r="T101" s="80">
        <f t="shared" si="30"/>
        <v>0</v>
      </c>
      <c r="U101" s="178"/>
      <c r="V101" s="80">
        <f t="shared" si="31"/>
        <v>0</v>
      </c>
      <c r="X101" s="192"/>
    </row>
    <row r="102" spans="1:24" ht="12.75" customHeight="1">
      <c r="A102" s="117" t="s">
        <v>446</v>
      </c>
      <c r="B102" s="35"/>
      <c r="C102" s="178">
        <v>0</v>
      </c>
      <c r="D102" s="80">
        <f t="shared" si="32"/>
        <v>0</v>
      </c>
      <c r="E102" s="178">
        <v>0</v>
      </c>
      <c r="F102" s="80">
        <f t="shared" si="23"/>
        <v>0</v>
      </c>
      <c r="G102" s="178">
        <v>8500</v>
      </c>
      <c r="H102" s="80">
        <f t="shared" si="24"/>
        <v>0.01</v>
      </c>
      <c r="I102" s="178">
        <v>9375.5000000000018</v>
      </c>
      <c r="J102" s="80">
        <f t="shared" si="25"/>
        <v>1.0000000000000002E-2</v>
      </c>
      <c r="K102" s="178">
        <v>10341.1765</v>
      </c>
      <c r="L102" s="80">
        <f t="shared" si="26"/>
        <v>0.01</v>
      </c>
      <c r="M102" s="178">
        <v>11406.3176795</v>
      </c>
      <c r="N102" s="80">
        <f t="shared" si="27"/>
        <v>0.01</v>
      </c>
      <c r="O102" s="178">
        <v>12581.168400488501</v>
      </c>
      <c r="P102" s="80">
        <f t="shared" si="28"/>
        <v>0.01</v>
      </c>
      <c r="Q102" s="178">
        <v>13877.028745738817</v>
      </c>
      <c r="R102" s="80">
        <f t="shared" si="29"/>
        <v>1.0000000000000002E-2</v>
      </c>
      <c r="S102" s="178">
        <v>15306.362706549913</v>
      </c>
      <c r="T102" s="80">
        <f t="shared" si="30"/>
        <v>0.01</v>
      </c>
      <c r="U102" s="178">
        <v>16882.918065324553</v>
      </c>
      <c r="V102" s="80">
        <f t="shared" si="31"/>
        <v>0.01</v>
      </c>
      <c r="X102" s="192"/>
    </row>
    <row r="103" spans="1:24" ht="12.75" customHeight="1">
      <c r="A103" s="117" t="s">
        <v>446</v>
      </c>
      <c r="B103" s="35"/>
      <c r="C103" s="178">
        <v>0</v>
      </c>
      <c r="D103" s="80">
        <f t="shared" si="32"/>
        <v>0</v>
      </c>
      <c r="E103" s="178">
        <v>0</v>
      </c>
      <c r="F103" s="80">
        <f t="shared" si="23"/>
        <v>0</v>
      </c>
      <c r="G103" s="178">
        <v>0</v>
      </c>
      <c r="H103" s="80">
        <f t="shared" si="24"/>
        <v>0</v>
      </c>
      <c r="I103" s="178">
        <v>0</v>
      </c>
      <c r="J103" s="80">
        <f t="shared" si="25"/>
        <v>0</v>
      </c>
      <c r="K103" s="178">
        <v>0</v>
      </c>
      <c r="L103" s="80">
        <f t="shared" si="26"/>
        <v>0</v>
      </c>
      <c r="M103" s="178">
        <v>0</v>
      </c>
      <c r="N103" s="80">
        <f t="shared" si="27"/>
        <v>0</v>
      </c>
      <c r="O103" s="178">
        <v>0</v>
      </c>
      <c r="P103" s="80">
        <f t="shared" si="28"/>
        <v>0</v>
      </c>
      <c r="Q103" s="178">
        <v>0</v>
      </c>
      <c r="R103" s="80">
        <f t="shared" si="29"/>
        <v>0</v>
      </c>
      <c r="S103" s="178">
        <v>0</v>
      </c>
      <c r="T103" s="80">
        <f t="shared" si="30"/>
        <v>0</v>
      </c>
      <c r="U103" s="178">
        <v>0</v>
      </c>
      <c r="V103" s="80">
        <f t="shared" si="31"/>
        <v>0</v>
      </c>
      <c r="X103" s="192"/>
    </row>
    <row r="104" spans="1:24" ht="12.75" customHeight="1">
      <c r="A104" s="117" t="s">
        <v>446</v>
      </c>
      <c r="B104" s="1"/>
      <c r="C104" s="178">
        <v>0</v>
      </c>
      <c r="D104" s="80">
        <f t="shared" si="32"/>
        <v>0</v>
      </c>
      <c r="E104" s="178">
        <v>0</v>
      </c>
      <c r="F104" s="80">
        <f t="shared" si="23"/>
        <v>0</v>
      </c>
      <c r="G104" s="178">
        <v>0</v>
      </c>
      <c r="H104" s="80">
        <f t="shared" si="24"/>
        <v>0</v>
      </c>
      <c r="I104" s="178">
        <v>0</v>
      </c>
      <c r="J104" s="80">
        <f t="shared" si="25"/>
        <v>0</v>
      </c>
      <c r="K104" s="178">
        <v>0</v>
      </c>
      <c r="L104" s="80">
        <f t="shared" si="26"/>
        <v>0</v>
      </c>
      <c r="M104" s="178">
        <v>0</v>
      </c>
      <c r="N104" s="80">
        <f t="shared" si="27"/>
        <v>0</v>
      </c>
      <c r="O104" s="178">
        <v>0</v>
      </c>
      <c r="P104" s="80">
        <f t="shared" si="28"/>
        <v>0</v>
      </c>
      <c r="Q104" s="178">
        <v>0</v>
      </c>
      <c r="R104" s="80">
        <f t="shared" si="29"/>
        <v>0</v>
      </c>
      <c r="S104" s="178">
        <v>0</v>
      </c>
      <c r="T104" s="80">
        <f t="shared" si="30"/>
        <v>0</v>
      </c>
      <c r="U104" s="178">
        <v>0</v>
      </c>
      <c r="V104" s="80">
        <f t="shared" si="31"/>
        <v>0</v>
      </c>
      <c r="X104" s="192"/>
    </row>
    <row r="105" spans="1:24" ht="12.75" customHeight="1">
      <c r="A105" s="1" t="s">
        <v>447</v>
      </c>
      <c r="B105" s="53"/>
      <c r="C105" s="82">
        <f>SUM(C52:C104)</f>
        <v>0</v>
      </c>
      <c r="D105" s="83">
        <f t="shared" si="32"/>
        <v>0</v>
      </c>
      <c r="E105" s="82">
        <f>SUM(E52:E104)</f>
        <v>0</v>
      </c>
      <c r="F105" s="83">
        <f t="shared" si="23"/>
        <v>0</v>
      </c>
      <c r="G105" s="82">
        <f>SUM(G52:G104)</f>
        <v>177386.17174770258</v>
      </c>
      <c r="H105" s="83">
        <f t="shared" si="24"/>
        <v>0.20868961382082657</v>
      </c>
      <c r="I105" s="82">
        <f>SUM(I52:I104)</f>
        <v>194692.6905085964</v>
      </c>
      <c r="J105" s="83">
        <f t="shared" si="25"/>
        <v>0.2076611279490122</v>
      </c>
      <c r="K105" s="82">
        <f>SUM(K52:K104)</f>
        <v>213580.44683338772</v>
      </c>
      <c r="L105" s="83">
        <f t="shared" si="26"/>
        <v>0.20653399236865139</v>
      </c>
      <c r="M105" s="82">
        <f>SUM(M52:M104)</f>
        <v>234447.98368474317</v>
      </c>
      <c r="N105" s="83">
        <f t="shared" si="27"/>
        <v>0.20554221815696463</v>
      </c>
      <c r="O105" s="82">
        <f>SUM(O52:O104)</f>
        <v>257444.2507783641</v>
      </c>
      <c r="P105" s="83">
        <f t="shared" si="28"/>
        <v>0.20462666310735345</v>
      </c>
      <c r="Q105" s="82">
        <f>SUM(Q52:Q104)</f>
        <v>282797.76567754353</v>
      </c>
      <c r="R105" s="83">
        <f t="shared" si="29"/>
        <v>0.20378841238934634</v>
      </c>
      <c r="S105" s="82">
        <f>SUM(S52:S104)</f>
        <v>310736.1615810988</v>
      </c>
      <c r="T105" s="83">
        <f t="shared" si="30"/>
        <v>0.2030111056025925</v>
      </c>
      <c r="U105" s="82">
        <f>SUM(U52:U104)</f>
        <v>341530.72484725917</v>
      </c>
      <c r="V105" s="83">
        <f t="shared" si="31"/>
        <v>0.2022936577230221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448</v>
      </c>
      <c r="B107" s="53"/>
      <c r="C107" s="82">
        <f>C28-C33-C46-C105</f>
        <v>0</v>
      </c>
      <c r="D107" s="83">
        <f>IFERROR(C107/C$28,0)</f>
        <v>0</v>
      </c>
      <c r="E107" s="82">
        <f>E28-E33-E46-E105</f>
        <v>0</v>
      </c>
      <c r="F107" s="83">
        <f>IFERROR(E107/E$28,0)</f>
        <v>0</v>
      </c>
      <c r="G107" s="82">
        <f>G28-G33-G46-G105</f>
        <v>1244.080896649335</v>
      </c>
      <c r="H107" s="83">
        <f>IFERROR(G107/G$28,0)</f>
        <v>1.4636245842933352E-3</v>
      </c>
      <c r="I107" s="82">
        <f>I28-I33-I46-I105</f>
        <v>28277.730220374739</v>
      </c>
      <c r="J107" s="83">
        <f>IFERROR(I107/I$28,0)</f>
        <v>3.0161303632206003E-2</v>
      </c>
      <c r="K107" s="82">
        <f>K28-K33-K46-K105</f>
        <v>61766.730413807847</v>
      </c>
      <c r="L107" s="83">
        <f>IFERROR(K107/K$28,0)</f>
        <v>5.972892002549985E-2</v>
      </c>
      <c r="M107" s="82">
        <f>M28-M33-M46-M105</f>
        <v>99406.026081632241</v>
      </c>
      <c r="N107" s="83">
        <f>IFERROR(M107/M$28,0)</f>
        <v>8.7149971511217575E-2</v>
      </c>
      <c r="O107" s="82">
        <f>O28-O33-O46-O105</f>
        <v>141696.44708823474</v>
      </c>
      <c r="P107" s="83">
        <f>IFERROR(O107/O$28,0)</f>
        <v>0.11262582502491021</v>
      </c>
      <c r="Q107" s="82">
        <f>Q28-Q33-Q46-Q105</f>
        <v>189126.64229095884</v>
      </c>
      <c r="R107" s="83">
        <f>IFERROR(Q107/Q$28,0)</f>
        <v>0.136287562529575</v>
      </c>
      <c r="S107" s="82">
        <f>S28-S33-S46-S105</f>
        <v>242260.48408534436</v>
      </c>
      <c r="T107" s="83">
        <f>IFERROR(S107/S$28,0)</f>
        <v>0.15827436519694912</v>
      </c>
      <c r="U107" s="82">
        <f>U28-U33-U46-U105</f>
        <v>301700.19959194242</v>
      </c>
      <c r="V107" s="83">
        <f>IFERROR(U107/U$28,0)</f>
        <v>0.17870145340075877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449</v>
      </c>
      <c r="B110" s="40"/>
      <c r="C110" s="86" t="str">
        <f>C50</f>
        <v>FY 2018-19</v>
      </c>
      <c r="D110" s="86" t="s">
        <v>366</v>
      </c>
      <c r="E110" s="86" t="str">
        <f>E50</f>
        <v>FY 2019-20</v>
      </c>
      <c r="F110" s="86" t="s">
        <v>366</v>
      </c>
      <c r="G110" s="86" t="str">
        <f>G50</f>
        <v>FY 2020-21</v>
      </c>
      <c r="H110" s="86" t="s">
        <v>366</v>
      </c>
      <c r="I110" s="86" t="str">
        <f>I50</f>
        <v>FY 2021-22</v>
      </c>
      <c r="J110" s="86" t="s">
        <v>366</v>
      </c>
      <c r="K110" s="86" t="str">
        <f>K50</f>
        <v>FY 2022-23</v>
      </c>
      <c r="L110" s="86" t="s">
        <v>366</v>
      </c>
      <c r="M110" s="86" t="str">
        <f>M50</f>
        <v>FY 2023-24</v>
      </c>
      <c r="N110" s="86" t="s">
        <v>366</v>
      </c>
      <c r="O110" s="86" t="str">
        <f>O50</f>
        <v>FY 2024-25</v>
      </c>
      <c r="P110" s="86" t="s">
        <v>366</v>
      </c>
      <c r="Q110" s="86" t="str">
        <f>Q50</f>
        <v>FY 2025-26</v>
      </c>
      <c r="R110" s="86" t="s">
        <v>366</v>
      </c>
      <c r="S110" s="86" t="str">
        <f>S50</f>
        <v>FY 2026-27</v>
      </c>
      <c r="T110" s="86" t="s">
        <v>366</v>
      </c>
      <c r="U110" s="86" t="str">
        <f>U50</f>
        <v>FY 2027-28</v>
      </c>
      <c r="V110" s="86" t="s">
        <v>366</v>
      </c>
    </row>
    <row r="111" spans="1:24" ht="12.75" customHeight="1">
      <c r="A111" s="2" t="s">
        <v>403</v>
      </c>
      <c r="B111" s="35"/>
      <c r="C111" s="79">
        <f>C59</f>
        <v>0</v>
      </c>
      <c r="D111" s="80">
        <f t="shared" ref="D111:D116" si="33">IFERROR(C111/C$28,0)</f>
        <v>0</v>
      </c>
      <c r="E111" s="79">
        <f>E59</f>
        <v>0</v>
      </c>
      <c r="F111" s="80">
        <f t="shared" ref="F111:F116" si="34">IFERROR(E111/E$28,0)</f>
        <v>0</v>
      </c>
      <c r="G111" s="79">
        <f>G59</f>
        <v>0</v>
      </c>
      <c r="H111" s="80">
        <f t="shared" ref="H111:H116" si="35">IFERROR(G111/G$28,0)</f>
        <v>0</v>
      </c>
      <c r="I111" s="79">
        <f>I59</f>
        <v>0</v>
      </c>
      <c r="J111" s="80">
        <f t="shared" ref="J111:J116" si="36">IFERROR(I111/I$28,0)</f>
        <v>0</v>
      </c>
      <c r="K111" s="79">
        <f>K59</f>
        <v>0</v>
      </c>
      <c r="L111" s="80">
        <f t="shared" ref="L111:L116" si="37">IFERROR(K111/K$28,0)</f>
        <v>0</v>
      </c>
      <c r="M111" s="79">
        <f>M59</f>
        <v>0</v>
      </c>
      <c r="N111" s="80">
        <f t="shared" ref="N111:N116" si="38">IFERROR(M111/M$28,0)</f>
        <v>0</v>
      </c>
      <c r="O111" s="79">
        <f>O59</f>
        <v>0</v>
      </c>
      <c r="P111" s="80">
        <f t="shared" ref="P111:P116" si="39">IFERROR(O111/O$28,0)</f>
        <v>0</v>
      </c>
      <c r="Q111" s="79">
        <f>Q59</f>
        <v>0</v>
      </c>
      <c r="R111" s="80">
        <f t="shared" ref="R111:R116" si="40">IFERROR(Q111/Q$28,0)</f>
        <v>0</v>
      </c>
      <c r="S111" s="79">
        <f>S59</f>
        <v>0</v>
      </c>
      <c r="T111" s="80">
        <f t="shared" ref="T111:T116" si="41">IFERROR(S111/S$28,0)</f>
        <v>0</v>
      </c>
      <c r="U111" s="79">
        <f>U59</f>
        <v>0</v>
      </c>
      <c r="V111" s="80">
        <f t="shared" ref="V111:V116" si="42">IFERROR(U111/U$28,0)</f>
        <v>0</v>
      </c>
    </row>
    <row r="112" spans="1:24" ht="12.75" customHeight="1">
      <c r="A112" s="2" t="s">
        <v>450</v>
      </c>
      <c r="B112" s="35"/>
      <c r="C112" s="79">
        <f>C62</f>
        <v>0</v>
      </c>
      <c r="D112" s="80">
        <f t="shared" si="33"/>
        <v>0</v>
      </c>
      <c r="E112" s="79">
        <f>E62</f>
        <v>0</v>
      </c>
      <c r="F112" s="80">
        <f t="shared" si="34"/>
        <v>0</v>
      </c>
      <c r="G112" s="79">
        <f>G62</f>
        <v>0</v>
      </c>
      <c r="H112" s="80">
        <f t="shared" si="35"/>
        <v>0</v>
      </c>
      <c r="I112" s="79">
        <f>I62</f>
        <v>0</v>
      </c>
      <c r="J112" s="80">
        <f t="shared" si="36"/>
        <v>0</v>
      </c>
      <c r="K112" s="79">
        <f>K62</f>
        <v>0</v>
      </c>
      <c r="L112" s="80">
        <f t="shared" si="37"/>
        <v>0</v>
      </c>
      <c r="M112" s="79">
        <f>M62</f>
        <v>0</v>
      </c>
      <c r="N112" s="80">
        <f t="shared" si="38"/>
        <v>0</v>
      </c>
      <c r="O112" s="79">
        <f>O62</f>
        <v>0</v>
      </c>
      <c r="P112" s="80">
        <f t="shared" si="39"/>
        <v>0</v>
      </c>
      <c r="Q112" s="79">
        <f>Q62</f>
        <v>0</v>
      </c>
      <c r="R112" s="80">
        <f t="shared" si="40"/>
        <v>0</v>
      </c>
      <c r="S112" s="79">
        <f>S62</f>
        <v>0</v>
      </c>
      <c r="T112" s="80">
        <f t="shared" si="41"/>
        <v>0</v>
      </c>
      <c r="U112" s="79">
        <f>U62</f>
        <v>0</v>
      </c>
      <c r="V112" s="80">
        <f t="shared" si="42"/>
        <v>0</v>
      </c>
    </row>
    <row r="113" spans="1:22" ht="12.75" customHeight="1">
      <c r="A113" s="117" t="s">
        <v>446</v>
      </c>
      <c r="B113" s="41"/>
      <c r="C113" s="111">
        <v>0</v>
      </c>
      <c r="D113" s="80">
        <f t="shared" si="33"/>
        <v>0</v>
      </c>
      <c r="E113" s="111">
        <v>0</v>
      </c>
      <c r="F113" s="80">
        <f t="shared" si="34"/>
        <v>0</v>
      </c>
      <c r="G113" s="111">
        <v>0</v>
      </c>
      <c r="H113" s="80">
        <f t="shared" si="35"/>
        <v>0</v>
      </c>
      <c r="I113" s="111">
        <v>0</v>
      </c>
      <c r="J113" s="80">
        <f t="shared" si="36"/>
        <v>0</v>
      </c>
      <c r="K113" s="111">
        <v>0</v>
      </c>
      <c r="L113" s="80">
        <f t="shared" si="37"/>
        <v>0</v>
      </c>
      <c r="M113" s="111">
        <v>0</v>
      </c>
      <c r="N113" s="80">
        <f t="shared" si="38"/>
        <v>0</v>
      </c>
      <c r="O113" s="111">
        <v>0</v>
      </c>
      <c r="P113" s="80">
        <f t="shared" si="39"/>
        <v>0</v>
      </c>
      <c r="Q113" s="111">
        <v>0</v>
      </c>
      <c r="R113" s="80">
        <f t="shared" si="40"/>
        <v>0</v>
      </c>
      <c r="S113" s="111">
        <v>0</v>
      </c>
      <c r="T113" s="80">
        <f t="shared" si="41"/>
        <v>0</v>
      </c>
      <c r="U113" s="111">
        <v>0</v>
      </c>
      <c r="V113" s="80">
        <f t="shared" si="42"/>
        <v>0</v>
      </c>
    </row>
    <row r="114" spans="1:22" ht="12.75" customHeight="1">
      <c r="A114" s="117" t="s">
        <v>446</v>
      </c>
      <c r="B114" s="41"/>
      <c r="C114" s="111">
        <v>0</v>
      </c>
      <c r="D114" s="80">
        <f t="shared" si="33"/>
        <v>0</v>
      </c>
      <c r="E114" s="111">
        <v>0</v>
      </c>
      <c r="F114" s="80">
        <f t="shared" si="34"/>
        <v>0</v>
      </c>
      <c r="G114" s="111">
        <v>0</v>
      </c>
      <c r="H114" s="80">
        <f t="shared" si="35"/>
        <v>0</v>
      </c>
      <c r="I114" s="111">
        <v>0</v>
      </c>
      <c r="J114" s="80">
        <f t="shared" si="36"/>
        <v>0</v>
      </c>
      <c r="K114" s="111">
        <v>0</v>
      </c>
      <c r="L114" s="80">
        <f t="shared" si="37"/>
        <v>0</v>
      </c>
      <c r="M114" s="111">
        <v>0</v>
      </c>
      <c r="N114" s="80">
        <f t="shared" si="38"/>
        <v>0</v>
      </c>
      <c r="O114" s="111">
        <v>0</v>
      </c>
      <c r="P114" s="80">
        <f t="shared" si="39"/>
        <v>0</v>
      </c>
      <c r="Q114" s="111">
        <v>0</v>
      </c>
      <c r="R114" s="80">
        <f t="shared" si="40"/>
        <v>0</v>
      </c>
      <c r="S114" s="111">
        <v>0</v>
      </c>
      <c r="T114" s="80">
        <f t="shared" si="41"/>
        <v>0</v>
      </c>
      <c r="U114" s="111">
        <v>0</v>
      </c>
      <c r="V114" s="80">
        <f t="shared" si="42"/>
        <v>0</v>
      </c>
    </row>
    <row r="115" spans="1:22" ht="12.75" customHeight="1">
      <c r="A115" s="117" t="s">
        <v>446</v>
      </c>
      <c r="B115" s="41"/>
      <c r="C115" s="112">
        <v>0</v>
      </c>
      <c r="D115" s="80">
        <f t="shared" si="33"/>
        <v>0</v>
      </c>
      <c r="E115" s="112">
        <v>0</v>
      </c>
      <c r="F115" s="80">
        <f t="shared" si="34"/>
        <v>0</v>
      </c>
      <c r="G115" s="112">
        <v>0</v>
      </c>
      <c r="H115" s="80">
        <f t="shared" si="35"/>
        <v>0</v>
      </c>
      <c r="I115" s="112">
        <v>0</v>
      </c>
      <c r="J115" s="80">
        <f t="shared" si="36"/>
        <v>0</v>
      </c>
      <c r="K115" s="112">
        <v>0</v>
      </c>
      <c r="L115" s="80">
        <f t="shared" si="37"/>
        <v>0</v>
      </c>
      <c r="M115" s="112">
        <v>0</v>
      </c>
      <c r="N115" s="80">
        <f t="shared" si="38"/>
        <v>0</v>
      </c>
      <c r="O115" s="112">
        <v>0</v>
      </c>
      <c r="P115" s="80">
        <f t="shared" si="39"/>
        <v>0</v>
      </c>
      <c r="Q115" s="112">
        <v>0</v>
      </c>
      <c r="R115" s="80">
        <f t="shared" si="40"/>
        <v>0</v>
      </c>
      <c r="S115" s="112">
        <v>0</v>
      </c>
      <c r="T115" s="80">
        <f t="shared" si="41"/>
        <v>0</v>
      </c>
      <c r="U115" s="112">
        <v>0</v>
      </c>
      <c r="V115" s="80">
        <f t="shared" si="42"/>
        <v>0</v>
      </c>
    </row>
    <row r="116" spans="1:22" ht="12.75" customHeight="1">
      <c r="A116" s="40" t="s">
        <v>451</v>
      </c>
      <c r="B116" s="42"/>
      <c r="C116" s="85">
        <f>SUM(C111:C115)</f>
        <v>0</v>
      </c>
      <c r="D116" s="83">
        <f t="shared" si="33"/>
        <v>0</v>
      </c>
      <c r="E116" s="85">
        <f>SUM(E111:E115)</f>
        <v>0</v>
      </c>
      <c r="F116" s="83">
        <f t="shared" si="34"/>
        <v>0</v>
      </c>
      <c r="G116" s="85">
        <f>SUM(G111:G115)</f>
        <v>0</v>
      </c>
      <c r="H116" s="83">
        <f t="shared" si="35"/>
        <v>0</v>
      </c>
      <c r="I116" s="85">
        <f>SUM(I111:I115)</f>
        <v>0</v>
      </c>
      <c r="J116" s="83">
        <f t="shared" si="36"/>
        <v>0</v>
      </c>
      <c r="K116" s="85">
        <f>SUM(K111:K115)</f>
        <v>0</v>
      </c>
      <c r="L116" s="83">
        <f t="shared" si="37"/>
        <v>0</v>
      </c>
      <c r="M116" s="85">
        <f>SUM(M111:M115)</f>
        <v>0</v>
      </c>
      <c r="N116" s="83">
        <f t="shared" si="38"/>
        <v>0</v>
      </c>
      <c r="O116" s="85">
        <f>SUM(O111:O115)</f>
        <v>0</v>
      </c>
      <c r="P116" s="83">
        <f t="shared" si="39"/>
        <v>0</v>
      </c>
      <c r="Q116" s="85">
        <f>SUM(Q111:Q115)</f>
        <v>0</v>
      </c>
      <c r="R116" s="83">
        <f t="shared" si="40"/>
        <v>0</v>
      </c>
      <c r="S116" s="85">
        <f>SUM(S111:S115)</f>
        <v>0</v>
      </c>
      <c r="T116" s="83">
        <f t="shared" si="41"/>
        <v>0</v>
      </c>
      <c r="U116" s="85">
        <f>SUM(U111:U115)</f>
        <v>0</v>
      </c>
      <c r="V116" s="83">
        <f t="shared" si="42"/>
        <v>0</v>
      </c>
    </row>
    <row r="118" spans="1:22" ht="12.75" customHeight="1">
      <c r="A118" s="43" t="s">
        <v>452</v>
      </c>
      <c r="B118" s="43"/>
    </row>
    <row r="119" spans="1:22" ht="12.75" customHeight="1">
      <c r="A119" s="47" t="s">
        <v>453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7" tint="0.59999389629810485"/>
  </sheetPr>
  <dimension ref="A1:X119"/>
  <sheetViews>
    <sheetView topLeftCell="A9" zoomScale="70" zoomScaleNormal="70" workbookViewId="0" xr3:uid="{D979DC6D-665A-5B40-B235-9A07D260EAB6}">
      <selection activeCell="W59" sqref="W59"/>
    </sheetView>
  </sheetViews>
  <sheetFormatPr defaultColWidth="9.140625" defaultRowHeight="12.75" customHeight="1"/>
  <cols>
    <col min="1" max="1" width="9.5703125" style="2" customWidth="1"/>
    <col min="2" max="2" width="45.5703125" style="2" customWidth="1"/>
    <col min="3" max="3" width="12.7109375" style="2" customWidth="1"/>
    <col min="4" max="4" width="8.7109375" style="2" customWidth="1"/>
    <col min="5" max="5" width="13.42578125" style="2" customWidth="1"/>
    <col min="6" max="6" width="8.7109375" style="2" customWidth="1"/>
    <col min="7" max="7" width="13.570312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355</v>
      </c>
      <c r="G2" s="33" t="s">
        <v>53</v>
      </c>
      <c r="H2" s="34"/>
      <c r="I2" s="34"/>
      <c r="J2" s="34"/>
      <c r="V2" s="32"/>
    </row>
    <row r="3" spans="1:22" ht="12.75" customHeight="1">
      <c r="A3" s="1" t="s">
        <v>357</v>
      </c>
      <c r="D3" s="118" t="s">
        <v>358</v>
      </c>
      <c r="G3" s="115" t="str">
        <f>+G2</f>
        <v>Sergio's Cuban Café &amp; Grill (Parking Garage 5)</v>
      </c>
      <c r="H3" s="116"/>
      <c r="I3" s="116"/>
      <c r="J3" s="116"/>
      <c r="V3" s="32"/>
    </row>
    <row r="4" spans="1:22" ht="12.75" customHeight="1">
      <c r="A4" s="1" t="s">
        <v>359</v>
      </c>
      <c r="B4" s="109" t="s">
        <v>221</v>
      </c>
      <c r="D4" s="118" t="s">
        <v>360</v>
      </c>
      <c r="G4" s="115" t="s">
        <v>65</v>
      </c>
      <c r="H4" s="116"/>
      <c r="I4" s="116"/>
      <c r="J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361</v>
      </c>
      <c r="B7" s="1"/>
    </row>
    <row r="8" spans="1:22" ht="12.75" customHeight="1">
      <c r="A8" s="2" t="s">
        <v>362</v>
      </c>
      <c r="C8" s="109">
        <v>271</v>
      </c>
      <c r="E8" s="109">
        <f>+C8</f>
        <v>271</v>
      </c>
      <c r="G8" s="109">
        <f>+E8</f>
        <v>271</v>
      </c>
      <c r="I8" s="109">
        <f>+G8</f>
        <v>271</v>
      </c>
      <c r="K8" s="109">
        <f>+I8</f>
        <v>271</v>
      </c>
      <c r="M8" s="109">
        <f>+K8</f>
        <v>271</v>
      </c>
      <c r="O8" s="109">
        <f>+M8</f>
        <v>271</v>
      </c>
      <c r="Q8" s="109">
        <f>+O8</f>
        <v>271</v>
      </c>
      <c r="S8" s="109">
        <f>+Q8</f>
        <v>271</v>
      </c>
      <c r="U8" s="109">
        <f>+S8</f>
        <v>271</v>
      </c>
    </row>
    <row r="9" spans="1:22" ht="12.75" customHeight="1"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202"/>
      <c r="N9" s="202"/>
      <c r="O9" s="202"/>
      <c r="P9" s="202"/>
      <c r="Q9" s="202"/>
      <c r="R9" s="202"/>
      <c r="S9" s="202"/>
    </row>
    <row r="10" spans="1:22" ht="12.75" customHeight="1">
      <c r="A10" s="2" t="s">
        <v>462</v>
      </c>
      <c r="C10" s="201">
        <f>+C14/C8/C12</f>
        <v>442.80442804428043</v>
      </c>
      <c r="D10" s="202"/>
      <c r="E10" s="201">
        <f>+E14/E8/E12</f>
        <v>539.0492151933471</v>
      </c>
      <c r="F10" s="202"/>
      <c r="G10" s="201">
        <f>+G14/G8/G12</f>
        <v>558.3865362463149</v>
      </c>
      <c r="H10" s="202"/>
      <c r="I10" s="201">
        <f>+I14/I8/I12</f>
        <v>578.42665383175563</v>
      </c>
      <c r="J10" s="202"/>
      <c r="K10" s="201">
        <f>+K14/K8/K12</f>
        <v>593.433865047312</v>
      </c>
      <c r="L10" s="202"/>
      <c r="M10" s="201">
        <f>+M14/M8/M12</f>
        <v>608.83987362226571</v>
      </c>
      <c r="N10" s="202"/>
      <c r="O10" s="201">
        <f t="shared" ref="O10" si="0">+O14/O8/O12</f>
        <v>624.65544065190647</v>
      </c>
      <c r="P10" s="202"/>
      <c r="Q10" s="201">
        <f t="shared" ref="Q10" si="1">+Q14/Q8/Q12</f>
        <v>640.89162097702217</v>
      </c>
      <c r="R10" s="202"/>
      <c r="S10" s="201">
        <f>+S14/S8/S12</f>
        <v>657.55977127452536</v>
      </c>
      <c r="U10" s="201">
        <f>+U14/U8/U12</f>
        <v>674.06429324350927</v>
      </c>
    </row>
    <row r="12" spans="1:22" ht="12.75" customHeight="1">
      <c r="A12" s="2" t="s">
        <v>463</v>
      </c>
      <c r="C12" s="110">
        <v>7.5</v>
      </c>
      <c r="E12" s="110">
        <v>7.53</v>
      </c>
      <c r="G12" s="110">
        <v>7.56</v>
      </c>
      <c r="I12" s="110">
        <v>7.59</v>
      </c>
      <c r="K12" s="110">
        <v>7.62</v>
      </c>
      <c r="M12" s="110">
        <v>7.65</v>
      </c>
      <c r="O12" s="110">
        <v>7.68</v>
      </c>
      <c r="Q12" s="110">
        <v>7.71</v>
      </c>
      <c r="S12" s="110">
        <v>7.74</v>
      </c>
      <c r="U12" s="110">
        <v>7.7770000000000001</v>
      </c>
    </row>
    <row r="14" spans="1:22" ht="12.75" customHeight="1">
      <c r="A14" s="2" t="s">
        <v>464</v>
      </c>
      <c r="C14" s="198">
        <v>900000</v>
      </c>
      <c r="D14" s="12"/>
      <c r="E14" s="198">
        <v>1100000</v>
      </c>
      <c r="F14" s="12"/>
      <c r="G14" s="198">
        <f>+E14*1.04</f>
        <v>1144000</v>
      </c>
      <c r="H14" s="12"/>
      <c r="I14" s="198">
        <f>+G14*1.04</f>
        <v>1189760</v>
      </c>
      <c r="J14" s="12"/>
      <c r="K14" s="198">
        <f>+I14*1.03</f>
        <v>1225452.8</v>
      </c>
      <c r="L14" s="12"/>
      <c r="M14" s="198">
        <f>+K14*1.03</f>
        <v>1262216.3840000001</v>
      </c>
      <c r="N14" s="12"/>
      <c r="O14" s="198">
        <f>+M14*1.03</f>
        <v>1300082.87552</v>
      </c>
      <c r="P14" s="12"/>
      <c r="Q14" s="198">
        <f>+O14*1.03</f>
        <v>1339085.3617856</v>
      </c>
      <c r="R14" s="12"/>
      <c r="S14" s="198">
        <f>+Q14*1.03</f>
        <v>1379257.9226391681</v>
      </c>
      <c r="T14" s="12"/>
      <c r="U14" s="198">
        <f>+S14*1.03</f>
        <v>1420635.6603183432</v>
      </c>
    </row>
    <row r="15" spans="1:22" ht="12.75" customHeight="1">
      <c r="A15" s="39">
        <v>0.05</v>
      </c>
    </row>
    <row r="16" spans="1:22" ht="12.75" customHeight="1">
      <c r="B16" s="35"/>
      <c r="C16" s="86" t="str">
        <f>C6</f>
        <v>FY 2018-19</v>
      </c>
      <c r="D16" s="86" t="s">
        <v>366</v>
      </c>
      <c r="E16" s="86" t="str">
        <f>E6</f>
        <v>FY 2019-20</v>
      </c>
      <c r="F16" s="86" t="s">
        <v>366</v>
      </c>
      <c r="G16" s="86" t="str">
        <f>G6</f>
        <v>FY 2020-21</v>
      </c>
      <c r="H16" s="86" t="s">
        <v>366</v>
      </c>
      <c r="I16" s="86" t="str">
        <f>I6</f>
        <v>FY 2021-22</v>
      </c>
      <c r="J16" s="86" t="s">
        <v>366</v>
      </c>
      <c r="K16" s="86" t="str">
        <f>K6</f>
        <v>FY 2022-23</v>
      </c>
      <c r="L16" s="86" t="s">
        <v>366</v>
      </c>
      <c r="M16" s="86" t="str">
        <f>M6</f>
        <v>FY 2023-24</v>
      </c>
      <c r="N16" s="86" t="s">
        <v>366</v>
      </c>
      <c r="O16" s="86" t="str">
        <f>O6</f>
        <v>FY 2024-25</v>
      </c>
      <c r="P16" s="86" t="s">
        <v>366</v>
      </c>
      <c r="Q16" s="86" t="str">
        <f>Q6</f>
        <v>FY 2025-26</v>
      </c>
      <c r="R16" s="86" t="s">
        <v>366</v>
      </c>
      <c r="S16" s="86" t="str">
        <f>S6</f>
        <v>FY 2026-27</v>
      </c>
      <c r="T16" s="86" t="s">
        <v>366</v>
      </c>
      <c r="U16" s="86" t="str">
        <f>U6</f>
        <v>FY 2027-28</v>
      </c>
      <c r="V16" s="86" t="s">
        <v>366</v>
      </c>
    </row>
    <row r="17" spans="1:24" ht="12.75" customHeight="1">
      <c r="A17" s="1" t="s">
        <v>367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368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369</v>
      </c>
      <c r="B19" s="35"/>
      <c r="C19" s="200">
        <f>+C14-C20</f>
        <v>788580</v>
      </c>
      <c r="D19" s="80">
        <f>IFERROR(C19/C$28,0)</f>
        <v>0.87619999999999998</v>
      </c>
      <c r="E19" s="200">
        <f>+E14-E20</f>
        <v>924000</v>
      </c>
      <c r="F19" s="80">
        <f>IFERROR(E19/E$28,0)</f>
        <v>0.84</v>
      </c>
      <c r="G19" s="200">
        <f>+G14-G20</f>
        <v>964480</v>
      </c>
      <c r="H19" s="80">
        <f>IFERROR(G19/G$28,0)</f>
        <v>0.84307692307692306</v>
      </c>
      <c r="I19" s="200">
        <f>+I14-I20</f>
        <v>1006649.6</v>
      </c>
      <c r="J19" s="80">
        <f>IFERROR(I19/I$28,0)</f>
        <v>0.84609467455621301</v>
      </c>
      <c r="K19" s="200">
        <f>+K14-K20</f>
        <v>1038680.192</v>
      </c>
      <c r="L19" s="80">
        <f>IFERROR(K19/K$28,0)</f>
        <v>0.84758890101683226</v>
      </c>
      <c r="M19" s="200">
        <f>+M14-M20</f>
        <v>1071708.32384</v>
      </c>
      <c r="N19" s="80">
        <f>IFERROR(M19/M$28,0)</f>
        <v>0.84906862042443576</v>
      </c>
      <c r="O19" s="200">
        <f>+O14-O20</f>
        <v>1105764.6541567999</v>
      </c>
      <c r="P19" s="80">
        <f>IFERROR(O19/O$28,0)</f>
        <v>0.85053397362419858</v>
      </c>
      <c r="Q19" s="200">
        <f>+Q14-Q20</f>
        <v>1140880.775995136</v>
      </c>
      <c r="R19" s="80">
        <f>IFERROR(Q19/Q$28,0)</f>
        <v>0.85198510009386663</v>
      </c>
      <c r="S19" s="200">
        <f>+S14-S20</f>
        <v>1177089.2451328947</v>
      </c>
      <c r="T19" s="80">
        <f>IFERROR(S19/S$28,0)</f>
        <v>0.85342213795703292</v>
      </c>
      <c r="U19" s="200">
        <f>+U14-U20</f>
        <v>1214423.6092619444</v>
      </c>
      <c r="V19" s="80">
        <f>IFERROR(U19/U$28,0)</f>
        <v>0.85484522399628504</v>
      </c>
    </row>
    <row r="20" spans="1:24" ht="12.75" customHeight="1">
      <c r="A20" s="2" t="s">
        <v>370</v>
      </c>
      <c r="B20" s="35"/>
      <c r="C20" s="111">
        <f>+C14*12.38%</f>
        <v>111420</v>
      </c>
      <c r="D20" s="80">
        <f>IFERROR(C20/C$28,0)</f>
        <v>0.12379999999999999</v>
      </c>
      <c r="E20" s="111">
        <f>+E14*16%</f>
        <v>176000</v>
      </c>
      <c r="F20" s="80">
        <f>IFERROR(E20/E$28,0)</f>
        <v>0.16</v>
      </c>
      <c r="G20" s="111">
        <f t="shared" ref="G20:U21" si="2">E20*1.02</f>
        <v>179520</v>
      </c>
      <c r="H20" s="80">
        <f>IFERROR(G20/G$28,0)</f>
        <v>0.15692307692307692</v>
      </c>
      <c r="I20" s="111">
        <f t="shared" si="2"/>
        <v>183110.39999999999</v>
      </c>
      <c r="J20" s="80">
        <f>IFERROR(I20/I$28,0)</f>
        <v>0.15390532544378699</v>
      </c>
      <c r="K20" s="111">
        <f t="shared" si="2"/>
        <v>186772.60800000001</v>
      </c>
      <c r="L20" s="80">
        <f>IFERROR(K20/K$28,0)</f>
        <v>0.15241109898316768</v>
      </c>
      <c r="M20" s="111">
        <f t="shared" si="2"/>
        <v>190508.06016000002</v>
      </c>
      <c r="N20" s="80">
        <f>IFERROR(M20/M$28,0)</f>
        <v>0.15093137957556413</v>
      </c>
      <c r="O20" s="111">
        <f t="shared" si="2"/>
        <v>194318.22136320002</v>
      </c>
      <c r="P20" s="80">
        <f>IFERROR(O20/O$28,0)</f>
        <v>0.14946602637580139</v>
      </c>
      <c r="Q20" s="111">
        <f t="shared" si="2"/>
        <v>198204.58579046401</v>
      </c>
      <c r="R20" s="80">
        <f>IFERROR(Q20/Q$28,0)</f>
        <v>0.1480148999061334</v>
      </c>
      <c r="S20" s="111">
        <f t="shared" si="2"/>
        <v>202168.67750627329</v>
      </c>
      <c r="T20" s="80">
        <f>IFERROR(S20/S$28,0)</f>
        <v>0.14657786204296705</v>
      </c>
      <c r="U20" s="111">
        <f t="shared" si="2"/>
        <v>206212.05105639875</v>
      </c>
      <c r="V20" s="80">
        <f>IFERROR(U20/U$28,0)</f>
        <v>0.14515477600371493</v>
      </c>
    </row>
    <row r="21" spans="1:24" ht="12.75" customHeight="1">
      <c r="A21" s="2" t="s">
        <v>371</v>
      </c>
      <c r="B21" s="35"/>
      <c r="C21" s="111"/>
      <c r="D21" s="80">
        <f>IFERROR(C21/C$28,0)</f>
        <v>0</v>
      </c>
      <c r="E21" s="111">
        <v>0</v>
      </c>
      <c r="F21" s="80">
        <f>IFERROR(E21/E$28,0)</f>
        <v>0</v>
      </c>
      <c r="G21" s="111">
        <f t="shared" si="2"/>
        <v>0</v>
      </c>
      <c r="H21" s="80">
        <f>IFERROR(G21/G$28,0)</f>
        <v>0</v>
      </c>
      <c r="I21" s="111">
        <f t="shared" si="2"/>
        <v>0</v>
      </c>
      <c r="J21" s="80">
        <f>IFERROR(I21/I$28,0)</f>
        <v>0</v>
      </c>
      <c r="K21" s="111">
        <f t="shared" si="2"/>
        <v>0</v>
      </c>
      <c r="L21" s="80">
        <f>IFERROR(K21/K$28,0)</f>
        <v>0</v>
      </c>
      <c r="M21" s="111">
        <f t="shared" si="2"/>
        <v>0</v>
      </c>
      <c r="N21" s="80">
        <f>IFERROR(M21/M$28,0)</f>
        <v>0</v>
      </c>
      <c r="O21" s="111">
        <f t="shared" si="2"/>
        <v>0</v>
      </c>
      <c r="P21" s="80">
        <f>IFERROR(O21/O$28,0)</f>
        <v>0</v>
      </c>
      <c r="Q21" s="111">
        <f t="shared" si="2"/>
        <v>0</v>
      </c>
      <c r="R21" s="80">
        <f>IFERROR(Q21/Q$28,0)</f>
        <v>0</v>
      </c>
      <c r="S21" s="111">
        <f t="shared" si="2"/>
        <v>0</v>
      </c>
      <c r="T21" s="80">
        <f>IFERROR(S21/S$28,0)</f>
        <v>0</v>
      </c>
      <c r="U21" s="111">
        <f t="shared" si="2"/>
        <v>0</v>
      </c>
      <c r="V21" s="80">
        <f>IFERROR(U21/U$28,0)</f>
        <v>0</v>
      </c>
    </row>
    <row r="22" spans="1:24" ht="12.75" customHeight="1">
      <c r="A22" s="2" t="s">
        <v>372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373</v>
      </c>
      <c r="B23" s="123"/>
      <c r="C23" s="79"/>
      <c r="D23" s="80">
        <f t="shared" ref="D23:D28" si="3">IFERROR(C23/C$28,0)</f>
        <v>0</v>
      </c>
      <c r="E23" s="79"/>
      <c r="F23" s="80">
        <f t="shared" ref="F23:F28" si="4">IFERROR(E23/E$28,0)</f>
        <v>0</v>
      </c>
      <c r="G23" s="79"/>
      <c r="H23" s="80">
        <f t="shared" ref="H23:H28" si="5">IFERROR(G23/G$28,0)</f>
        <v>0</v>
      </c>
      <c r="I23" s="79"/>
      <c r="J23" s="80">
        <f t="shared" ref="J23:J28" si="6">IFERROR(I23/I$28,0)</f>
        <v>0</v>
      </c>
      <c r="K23" s="79"/>
      <c r="L23" s="80">
        <f t="shared" ref="L23:L28" si="7">IFERROR(K23/K$28,0)</f>
        <v>0</v>
      </c>
      <c r="M23" s="79"/>
      <c r="N23" s="80">
        <f t="shared" ref="N23:N28" si="8">IFERROR(M23/M$28,0)</f>
        <v>0</v>
      </c>
      <c r="O23" s="79"/>
      <c r="P23" s="80">
        <f t="shared" ref="P23:P28" si="9">IFERROR(O23/O$28,0)</f>
        <v>0</v>
      </c>
      <c r="Q23" s="79"/>
      <c r="R23" s="80">
        <f t="shared" ref="R23:R28" si="10">IFERROR(Q23/Q$28,0)</f>
        <v>0</v>
      </c>
      <c r="S23" s="79"/>
      <c r="T23" s="80">
        <f t="shared" ref="T23:T28" si="11">IFERROR(S23/S$28,0)</f>
        <v>0</v>
      </c>
      <c r="U23" s="79"/>
      <c r="V23" s="80">
        <f t="shared" ref="V23:V28" si="12">IFERROR(U23/U$28,0)</f>
        <v>0</v>
      </c>
    </row>
    <row r="24" spans="1:24" ht="12.75" customHeight="1">
      <c r="A24" s="122" t="s">
        <v>374</v>
      </c>
      <c r="B24" s="123"/>
      <c r="C24" s="79"/>
      <c r="D24" s="80">
        <f t="shared" si="3"/>
        <v>0</v>
      </c>
      <c r="E24" s="79"/>
      <c r="F24" s="80">
        <f t="shared" si="4"/>
        <v>0</v>
      </c>
      <c r="G24" s="79"/>
      <c r="H24" s="80">
        <f t="shared" si="5"/>
        <v>0</v>
      </c>
      <c r="I24" s="79"/>
      <c r="J24" s="80">
        <f t="shared" si="6"/>
        <v>0</v>
      </c>
      <c r="K24" s="79"/>
      <c r="L24" s="80">
        <f t="shared" si="7"/>
        <v>0</v>
      </c>
      <c r="M24" s="79"/>
      <c r="N24" s="80">
        <f t="shared" si="8"/>
        <v>0</v>
      </c>
      <c r="O24" s="79"/>
      <c r="P24" s="80">
        <f t="shared" si="9"/>
        <v>0</v>
      </c>
      <c r="Q24" s="79"/>
      <c r="R24" s="80">
        <f t="shared" si="10"/>
        <v>0</v>
      </c>
      <c r="S24" s="79"/>
      <c r="T24" s="80">
        <f t="shared" si="11"/>
        <v>0</v>
      </c>
      <c r="U24" s="79"/>
      <c r="V24" s="80">
        <f t="shared" si="12"/>
        <v>0</v>
      </c>
      <c r="X24" s="79"/>
    </row>
    <row r="25" spans="1:24" ht="12.75" customHeight="1">
      <c r="A25" s="2" t="s">
        <v>375</v>
      </c>
      <c r="B25" s="35"/>
      <c r="C25" s="111"/>
      <c r="D25" s="80">
        <f t="shared" si="3"/>
        <v>0</v>
      </c>
      <c r="E25" s="111"/>
      <c r="F25" s="80">
        <f t="shared" si="4"/>
        <v>0</v>
      </c>
      <c r="G25" s="111"/>
      <c r="H25" s="80">
        <f t="shared" si="5"/>
        <v>0</v>
      </c>
      <c r="I25" s="111"/>
      <c r="J25" s="80">
        <f t="shared" si="6"/>
        <v>0</v>
      </c>
      <c r="K25" s="111"/>
      <c r="L25" s="80">
        <f t="shared" si="7"/>
        <v>0</v>
      </c>
      <c r="M25" s="111"/>
      <c r="N25" s="80">
        <f t="shared" si="8"/>
        <v>0</v>
      </c>
      <c r="O25" s="111"/>
      <c r="P25" s="80">
        <f t="shared" si="9"/>
        <v>0</v>
      </c>
      <c r="Q25" s="111"/>
      <c r="R25" s="80">
        <f t="shared" si="10"/>
        <v>0</v>
      </c>
      <c r="S25" s="111"/>
      <c r="T25" s="80">
        <f t="shared" si="11"/>
        <v>0</v>
      </c>
      <c r="U25" s="111"/>
      <c r="V25" s="80">
        <f t="shared" si="12"/>
        <v>0</v>
      </c>
      <c r="X25" s="79"/>
    </row>
    <row r="26" spans="1:24" ht="12.75" customHeight="1">
      <c r="A26" s="122" t="s">
        <v>376</v>
      </c>
      <c r="B26" s="35"/>
      <c r="C26" s="79"/>
      <c r="D26" s="80">
        <f t="shared" si="3"/>
        <v>0</v>
      </c>
      <c r="E26" s="79"/>
      <c r="F26" s="80">
        <f t="shared" si="4"/>
        <v>0</v>
      </c>
      <c r="G26" s="79"/>
      <c r="H26" s="80">
        <f t="shared" si="5"/>
        <v>0</v>
      </c>
      <c r="I26" s="79"/>
      <c r="J26" s="80">
        <f t="shared" si="6"/>
        <v>0</v>
      </c>
      <c r="K26" s="79"/>
      <c r="L26" s="80">
        <f t="shared" si="7"/>
        <v>0</v>
      </c>
      <c r="M26" s="79"/>
      <c r="N26" s="80">
        <f t="shared" si="8"/>
        <v>0</v>
      </c>
      <c r="O26" s="79"/>
      <c r="P26" s="80">
        <f t="shared" si="9"/>
        <v>0</v>
      </c>
      <c r="Q26" s="79"/>
      <c r="R26" s="80">
        <f t="shared" si="10"/>
        <v>0</v>
      </c>
      <c r="S26" s="79"/>
      <c r="T26" s="80">
        <f t="shared" si="11"/>
        <v>0</v>
      </c>
      <c r="U26" s="79"/>
      <c r="V26" s="80">
        <f t="shared" si="12"/>
        <v>0</v>
      </c>
    </row>
    <row r="27" spans="1:24" ht="12.75" customHeight="1">
      <c r="A27" s="2" t="s">
        <v>377</v>
      </c>
      <c r="B27" s="35"/>
      <c r="C27" s="112"/>
      <c r="D27" s="80">
        <f t="shared" si="3"/>
        <v>0</v>
      </c>
      <c r="E27" s="112"/>
      <c r="F27" s="80">
        <f t="shared" si="4"/>
        <v>0</v>
      </c>
      <c r="G27" s="112"/>
      <c r="H27" s="80">
        <f t="shared" si="5"/>
        <v>0</v>
      </c>
      <c r="I27" s="112"/>
      <c r="J27" s="80">
        <f t="shared" si="6"/>
        <v>0</v>
      </c>
      <c r="K27" s="112"/>
      <c r="L27" s="80">
        <f t="shared" si="7"/>
        <v>0</v>
      </c>
      <c r="M27" s="112"/>
      <c r="N27" s="80">
        <f t="shared" si="8"/>
        <v>0</v>
      </c>
      <c r="O27" s="112"/>
      <c r="P27" s="80">
        <f t="shared" si="9"/>
        <v>0</v>
      </c>
      <c r="Q27" s="112"/>
      <c r="R27" s="80">
        <f t="shared" si="10"/>
        <v>0</v>
      </c>
      <c r="S27" s="112"/>
      <c r="T27" s="80">
        <f t="shared" si="11"/>
        <v>0</v>
      </c>
      <c r="U27" s="112"/>
      <c r="V27" s="80">
        <f t="shared" si="12"/>
        <v>0</v>
      </c>
    </row>
    <row r="28" spans="1:24" ht="12.75" customHeight="1">
      <c r="A28" s="1" t="s">
        <v>378</v>
      </c>
      <c r="B28" s="53"/>
      <c r="C28" s="82">
        <f>SUM(C19:C27)</f>
        <v>900000</v>
      </c>
      <c r="D28" s="83">
        <f t="shared" si="3"/>
        <v>1</v>
      </c>
      <c r="E28" s="82">
        <f>SUM(E19:E27)</f>
        <v>1100000</v>
      </c>
      <c r="F28" s="83">
        <f t="shared" si="4"/>
        <v>1</v>
      </c>
      <c r="G28" s="82">
        <f>SUM(G19:G27)</f>
        <v>1144000</v>
      </c>
      <c r="H28" s="83">
        <f t="shared" si="5"/>
        <v>1</v>
      </c>
      <c r="I28" s="82">
        <f>SUM(I19:I27)</f>
        <v>1189760</v>
      </c>
      <c r="J28" s="83">
        <f t="shared" si="6"/>
        <v>1</v>
      </c>
      <c r="K28" s="82">
        <f>SUM(K19:K27)</f>
        <v>1225452.8</v>
      </c>
      <c r="L28" s="83">
        <f t="shared" si="7"/>
        <v>1</v>
      </c>
      <c r="M28" s="82">
        <f>SUM(M19:M27)</f>
        <v>1262216.3840000001</v>
      </c>
      <c r="N28" s="83">
        <f t="shared" si="8"/>
        <v>1</v>
      </c>
      <c r="O28" s="82">
        <f>SUM(O19:O27)</f>
        <v>1300082.87552</v>
      </c>
      <c r="P28" s="83">
        <f t="shared" si="9"/>
        <v>1</v>
      </c>
      <c r="Q28" s="82">
        <f>SUM(Q19:Q27)</f>
        <v>1339085.3617856</v>
      </c>
      <c r="R28" s="83">
        <f t="shared" si="10"/>
        <v>1</v>
      </c>
      <c r="S28" s="82">
        <f>SUM(S19:S27)</f>
        <v>1379257.9226391681</v>
      </c>
      <c r="T28" s="83">
        <f t="shared" si="11"/>
        <v>1</v>
      </c>
      <c r="U28" s="82">
        <f>SUM(U19:U27)</f>
        <v>1420635.6603183432</v>
      </c>
      <c r="V28" s="83">
        <f t="shared" si="12"/>
        <v>1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379</v>
      </c>
      <c r="B30" s="53"/>
      <c r="C30" s="197">
        <v>0.34</v>
      </c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380</v>
      </c>
      <c r="B31" s="35"/>
      <c r="C31" s="178">
        <f>$C$30*C14</f>
        <v>306000</v>
      </c>
      <c r="D31" s="80">
        <f>IFERROR(C31/C$28,0)</f>
        <v>0.34</v>
      </c>
      <c r="E31" s="178">
        <f>$C$30*E14</f>
        <v>374000</v>
      </c>
      <c r="F31" s="80">
        <f>IFERROR(E31/E$28,0)</f>
        <v>0.34</v>
      </c>
      <c r="G31" s="178">
        <f>$C$30*G14</f>
        <v>388960</v>
      </c>
      <c r="H31" s="80">
        <f>IFERROR(G31/G$28,0)</f>
        <v>0.34</v>
      </c>
      <c r="I31" s="178">
        <f>$C$30*I14</f>
        <v>404518.40000000002</v>
      </c>
      <c r="J31" s="80">
        <f>IFERROR(I31/I$28,0)</f>
        <v>0.34</v>
      </c>
      <c r="K31" s="178">
        <f>$C$30*K14</f>
        <v>416653.95200000005</v>
      </c>
      <c r="L31" s="80">
        <f>IFERROR(K31/K$28,0)</f>
        <v>0.34</v>
      </c>
      <c r="M31" s="178">
        <f>$C$30*M14</f>
        <v>429153.57056000008</v>
      </c>
      <c r="N31" s="80">
        <f>IFERROR(M31/M$28,0)</f>
        <v>0.34</v>
      </c>
      <c r="O31" s="178">
        <f>$C$30*O14</f>
        <v>442028.17767680006</v>
      </c>
      <c r="P31" s="80">
        <f>IFERROR(O31/O$28,0)</f>
        <v>0.34</v>
      </c>
      <c r="Q31" s="178">
        <f>$C$30*Q14</f>
        <v>455289.023007104</v>
      </c>
      <c r="R31" s="80">
        <f>IFERROR(Q31/Q$28,0)</f>
        <v>0.34</v>
      </c>
      <c r="S31" s="178">
        <f>$C$30*S14</f>
        <v>468947.69369731721</v>
      </c>
      <c r="T31" s="80">
        <f>IFERROR(S31/S$28,0)</f>
        <v>0.34</v>
      </c>
      <c r="U31" s="178">
        <f>($C$30*U14)-50000</f>
        <v>433016.12450823671</v>
      </c>
      <c r="V31" s="80">
        <f>IFERROR(U31/U$28,0)</f>
        <v>0.30480448759902612</v>
      </c>
    </row>
    <row r="32" spans="1:24" ht="12.75" customHeight="1">
      <c r="A32" s="8" t="s">
        <v>381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382</v>
      </c>
      <c r="B33" s="53"/>
      <c r="C33" s="82">
        <f>SUM(C31:C32)</f>
        <v>306000</v>
      </c>
      <c r="D33" s="83">
        <f>IFERROR(C33/C$28,0)</f>
        <v>0.34</v>
      </c>
      <c r="E33" s="82">
        <f>SUM(E31:E32)</f>
        <v>374000</v>
      </c>
      <c r="F33" s="83">
        <f>IFERROR(E33/E$28,0)</f>
        <v>0.34</v>
      </c>
      <c r="G33" s="82">
        <f>SUM(G31:G32)</f>
        <v>388960</v>
      </c>
      <c r="H33" s="83">
        <f>IFERROR(G33/G$28,0)</f>
        <v>0.34</v>
      </c>
      <c r="I33" s="82">
        <f>SUM(I31:I32)</f>
        <v>404518.40000000002</v>
      </c>
      <c r="J33" s="83">
        <f>IFERROR(I33/I$28,0)</f>
        <v>0.34</v>
      </c>
      <c r="K33" s="82">
        <f>SUM(K31:K32)</f>
        <v>416653.95200000005</v>
      </c>
      <c r="L33" s="83">
        <f>IFERROR(K33/K$28,0)</f>
        <v>0.34</v>
      </c>
      <c r="M33" s="82">
        <f>SUM(M31:M32)</f>
        <v>429153.57056000008</v>
      </c>
      <c r="N33" s="83">
        <f>IFERROR(M33/M$28,0)</f>
        <v>0.34</v>
      </c>
      <c r="O33" s="82">
        <f>SUM(O31:O32)</f>
        <v>442028.17767680006</v>
      </c>
      <c r="P33" s="83">
        <f>IFERROR(O33/O$28,0)</f>
        <v>0.34</v>
      </c>
      <c r="Q33" s="82">
        <f>SUM(Q31:Q32)</f>
        <v>455289.023007104</v>
      </c>
      <c r="R33" s="83">
        <f>IFERROR(Q33/Q$28,0)</f>
        <v>0.34</v>
      </c>
      <c r="S33" s="82">
        <f>SUM(S31:S32)</f>
        <v>468947.69369731721</v>
      </c>
      <c r="T33" s="83">
        <f>IFERROR(S33/S$28,0)</f>
        <v>0.34</v>
      </c>
      <c r="U33" s="82">
        <f>SUM(U31:U32)</f>
        <v>433016.12450823671</v>
      </c>
      <c r="V33" s="83">
        <f>IFERROR(U33/U$28,0)</f>
        <v>0.30480448759902612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383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384</v>
      </c>
      <c r="B36" s="35"/>
      <c r="C36" s="178">
        <v>0</v>
      </c>
      <c r="D36" s="80">
        <f t="shared" ref="D36:D46" si="13">IFERROR(C36/C$28,0)</f>
        <v>0</v>
      </c>
      <c r="E36" s="178">
        <v>0</v>
      </c>
      <c r="F36" s="80">
        <f t="shared" ref="F36:F46" si="14">IFERROR(E36/E$28,0)</f>
        <v>0</v>
      </c>
      <c r="G36" s="178">
        <v>0</v>
      </c>
      <c r="H36" s="80">
        <f t="shared" ref="H36:H46" si="15">IFERROR(G36/G$28,0)</f>
        <v>0</v>
      </c>
      <c r="I36" s="178">
        <v>0</v>
      </c>
      <c r="J36" s="80">
        <f t="shared" ref="J36:J46" si="16">IFERROR(I36/I$28,0)</f>
        <v>0</v>
      </c>
      <c r="K36" s="178">
        <v>0</v>
      </c>
      <c r="L36" s="80">
        <f t="shared" ref="L36:L46" si="17">IFERROR(K36/K$28,0)</f>
        <v>0</v>
      </c>
      <c r="M36" s="178">
        <v>0</v>
      </c>
      <c r="N36" s="80">
        <f t="shared" ref="N36:N46" si="18">IFERROR(M36/M$28,0)</f>
        <v>0</v>
      </c>
      <c r="O36" s="178">
        <v>0</v>
      </c>
      <c r="P36" s="80">
        <f t="shared" ref="P36:P46" si="19">IFERROR(O36/O$28,0)</f>
        <v>0</v>
      </c>
      <c r="Q36" s="178">
        <v>0</v>
      </c>
      <c r="R36" s="80">
        <f t="shared" ref="R36:R46" si="20">IFERROR(Q36/Q$28,0)</f>
        <v>0</v>
      </c>
      <c r="S36" s="178">
        <v>0</v>
      </c>
      <c r="T36" s="80">
        <f t="shared" ref="T36:T46" si="21">IFERROR(S36/S$28,0)</f>
        <v>0</v>
      </c>
      <c r="U36" s="178">
        <v>0</v>
      </c>
      <c r="V36" s="80">
        <f t="shared" ref="V36:V46" si="22">IFERROR(U36/U$28,0)</f>
        <v>0</v>
      </c>
    </row>
    <row r="37" spans="1:22" ht="12.75" customHeight="1">
      <c r="A37" s="2" t="s">
        <v>385</v>
      </c>
      <c r="B37" s="35"/>
      <c r="C37" s="178">
        <v>67937</v>
      </c>
      <c r="D37" s="80">
        <f t="shared" si="13"/>
        <v>7.5485555555555556E-2</v>
      </c>
      <c r="E37" s="178">
        <f>+C37*1.112</f>
        <v>75545.944000000003</v>
      </c>
      <c r="F37" s="80">
        <f t="shared" si="14"/>
        <v>6.8678130909090918E-2</v>
      </c>
      <c r="G37" s="178">
        <f>+E37*1.035</f>
        <v>78190.052039999995</v>
      </c>
      <c r="H37" s="80">
        <f t="shared" si="15"/>
        <v>6.8347947587412583E-2</v>
      </c>
      <c r="I37" s="178">
        <f>+G37*1.032</f>
        <v>80692.133705279994</v>
      </c>
      <c r="J37" s="80">
        <f t="shared" si="16"/>
        <v>6.7822194144432482E-2</v>
      </c>
      <c r="K37" s="178">
        <f>+I37*1.025</f>
        <v>82709.437047911983</v>
      </c>
      <c r="L37" s="80">
        <f t="shared" si="17"/>
        <v>6.7492960192275034E-2</v>
      </c>
      <c r="M37" s="178">
        <f>+K37*1.025</f>
        <v>84777.172974109781</v>
      </c>
      <c r="N37" s="80">
        <f t="shared" si="18"/>
        <v>6.7165324463186321E-2</v>
      </c>
      <c r="O37" s="178">
        <f>+M37*1.025</f>
        <v>86896.602298462516</v>
      </c>
      <c r="P37" s="80">
        <f t="shared" si="19"/>
        <v>6.6839279198801921E-2</v>
      </c>
      <c r="Q37" s="178">
        <f>+O37*1.025</f>
        <v>89069.017355924065</v>
      </c>
      <c r="R37" s="80">
        <f t="shared" si="20"/>
        <v>6.6514816678419367E-2</v>
      </c>
      <c r="S37" s="178">
        <f>+Q37*1.025</f>
        <v>91295.742789822165</v>
      </c>
      <c r="T37" s="80">
        <f t="shared" si="21"/>
        <v>6.6191929218815393E-2</v>
      </c>
      <c r="U37" s="178">
        <f>+S37*1.025</f>
        <v>93578.13635956771</v>
      </c>
      <c r="V37" s="80">
        <f t="shared" si="22"/>
        <v>6.5870609174063843E-2</v>
      </c>
    </row>
    <row r="38" spans="1:22" ht="12.75" customHeight="1">
      <c r="A38" s="2" t="s">
        <v>386</v>
      </c>
      <c r="B38" s="35"/>
      <c r="C38" s="178">
        <v>0</v>
      </c>
      <c r="D38" s="80">
        <f t="shared" si="13"/>
        <v>0</v>
      </c>
      <c r="E38" s="178">
        <f t="shared" ref="E38:E39" si="23">+C38*1.112</f>
        <v>0</v>
      </c>
      <c r="F38" s="80">
        <f t="shared" si="14"/>
        <v>0</v>
      </c>
      <c r="G38" s="178">
        <f>+E38*1.035</f>
        <v>0</v>
      </c>
      <c r="H38" s="80">
        <f t="shared" si="15"/>
        <v>0</v>
      </c>
      <c r="I38" s="178">
        <f>+G38*1.032</f>
        <v>0</v>
      </c>
      <c r="J38" s="80">
        <f t="shared" si="16"/>
        <v>0</v>
      </c>
      <c r="K38" s="178">
        <f>+I38*1.025</f>
        <v>0</v>
      </c>
      <c r="L38" s="80">
        <f t="shared" si="17"/>
        <v>0</v>
      </c>
      <c r="M38" s="178">
        <f>+K38*1.025</f>
        <v>0</v>
      </c>
      <c r="N38" s="80">
        <f t="shared" si="18"/>
        <v>0</v>
      </c>
      <c r="O38" s="178">
        <f>+M38*1.025</f>
        <v>0</v>
      </c>
      <c r="P38" s="80">
        <f t="shared" si="19"/>
        <v>0</v>
      </c>
      <c r="Q38" s="178">
        <f>+O38*1.025</f>
        <v>0</v>
      </c>
      <c r="R38" s="80">
        <f t="shared" si="20"/>
        <v>0</v>
      </c>
      <c r="S38" s="178">
        <f>+Q38*1.025</f>
        <v>0</v>
      </c>
      <c r="T38" s="80">
        <f t="shared" si="21"/>
        <v>0</v>
      </c>
      <c r="U38" s="178">
        <f>+S38*1.025</f>
        <v>0</v>
      </c>
      <c r="V38" s="80">
        <f t="shared" si="22"/>
        <v>0</v>
      </c>
    </row>
    <row r="39" spans="1:22" ht="12.75" customHeight="1">
      <c r="A39" s="2" t="s">
        <v>387</v>
      </c>
      <c r="B39" s="35"/>
      <c r="C39" s="178">
        <v>68026</v>
      </c>
      <c r="D39" s="80">
        <f t="shared" si="13"/>
        <v>7.558444444444444E-2</v>
      </c>
      <c r="E39" s="178">
        <f t="shared" si="23"/>
        <v>75644.912000000011</v>
      </c>
      <c r="F39" s="80">
        <f t="shared" si="14"/>
        <v>6.8768101818181826E-2</v>
      </c>
      <c r="G39" s="178">
        <f>+E39*1.035</f>
        <v>78292.483919999999</v>
      </c>
      <c r="H39" s="80">
        <f t="shared" si="15"/>
        <v>6.8437485944055937E-2</v>
      </c>
      <c r="I39" s="178">
        <f>+G39*1.032</f>
        <v>80797.843405439999</v>
      </c>
      <c r="J39" s="80">
        <f t="shared" si="16"/>
        <v>6.7911043744486282E-2</v>
      </c>
      <c r="K39" s="178">
        <f>+I39*1.025</f>
        <v>82817.789490575989</v>
      </c>
      <c r="L39" s="80">
        <f t="shared" si="17"/>
        <v>6.7581378483590707E-2</v>
      </c>
      <c r="M39" s="178">
        <f>+K39*1.025</f>
        <v>84888.234227840381</v>
      </c>
      <c r="N39" s="80">
        <f t="shared" si="18"/>
        <v>6.7253313539495596E-2</v>
      </c>
      <c r="O39" s="178">
        <f>+M39*1.025</f>
        <v>87010.440083536378</v>
      </c>
      <c r="P39" s="80">
        <f t="shared" si="19"/>
        <v>6.6926841143672797E-2</v>
      </c>
      <c r="Q39" s="178">
        <f>+O39*1.025</f>
        <v>89185.70108562478</v>
      </c>
      <c r="R39" s="80">
        <f t="shared" si="20"/>
        <v>6.6601953565305447E-2</v>
      </c>
      <c r="S39" s="178">
        <f>+Q39*1.025</f>
        <v>91415.343612765399</v>
      </c>
      <c r="T39" s="80">
        <f t="shared" si="21"/>
        <v>6.6278643111104929E-2</v>
      </c>
      <c r="U39" s="178">
        <f>+S39*1.025</f>
        <v>93700.72720308452</v>
      </c>
      <c r="V39" s="80">
        <f t="shared" si="22"/>
        <v>6.5956902125128683E-2</v>
      </c>
    </row>
    <row r="40" spans="1:22" ht="12.75" customHeight="1">
      <c r="A40" s="2" t="s">
        <v>388</v>
      </c>
      <c r="B40" s="35"/>
      <c r="C40" s="178">
        <f>C36*0.124</f>
        <v>0</v>
      </c>
      <c r="D40" s="80">
        <f t="shared" si="13"/>
        <v>0</v>
      </c>
      <c r="E40" s="178">
        <f>E36*0.124</f>
        <v>0</v>
      </c>
      <c r="F40" s="80">
        <f t="shared" si="14"/>
        <v>0</v>
      </c>
      <c r="G40" s="178">
        <f>G36*0.124</f>
        <v>0</v>
      </c>
      <c r="H40" s="80">
        <f t="shared" si="15"/>
        <v>0</v>
      </c>
      <c r="I40" s="178">
        <f>I36*0.124</f>
        <v>0</v>
      </c>
      <c r="J40" s="80">
        <f t="shared" si="16"/>
        <v>0</v>
      </c>
      <c r="K40" s="178">
        <f>K36*0.124</f>
        <v>0</v>
      </c>
      <c r="L40" s="80">
        <f t="shared" si="17"/>
        <v>0</v>
      </c>
      <c r="M40" s="178">
        <f>M36*0.124</f>
        <v>0</v>
      </c>
      <c r="N40" s="80">
        <f t="shared" si="18"/>
        <v>0</v>
      </c>
      <c r="O40" s="178">
        <f>O36*0.124</f>
        <v>0</v>
      </c>
      <c r="P40" s="80">
        <f t="shared" si="19"/>
        <v>0</v>
      </c>
      <c r="Q40" s="178">
        <f>Q36*0.124</f>
        <v>0</v>
      </c>
      <c r="R40" s="80">
        <f t="shared" si="20"/>
        <v>0</v>
      </c>
      <c r="S40" s="178">
        <f>S36*0.124</f>
        <v>0</v>
      </c>
      <c r="T40" s="80">
        <f t="shared" si="21"/>
        <v>0</v>
      </c>
      <c r="U40" s="178">
        <f>U36*0.124</f>
        <v>0</v>
      </c>
      <c r="V40" s="80">
        <f t="shared" si="22"/>
        <v>0</v>
      </c>
    </row>
    <row r="41" spans="1:22" ht="12.75" customHeight="1">
      <c r="A41" s="2" t="s">
        <v>389</v>
      </c>
      <c r="B41" s="35"/>
      <c r="C41" s="178">
        <f>C37*0.124</f>
        <v>8424.1880000000001</v>
      </c>
      <c r="D41" s="80">
        <f t="shared" si="13"/>
        <v>9.3602088888888896E-3</v>
      </c>
      <c r="E41" s="178">
        <f>E37*0.124</f>
        <v>9367.6970560000009</v>
      </c>
      <c r="F41" s="80">
        <f t="shared" si="14"/>
        <v>8.516088232727273E-3</v>
      </c>
      <c r="G41" s="178">
        <f>G37*0.124</f>
        <v>9695.5664529599999</v>
      </c>
      <c r="H41" s="80">
        <f t="shared" si="15"/>
        <v>8.47514550083916E-3</v>
      </c>
      <c r="I41" s="178">
        <f>I37*0.124</f>
        <v>10005.824579454718</v>
      </c>
      <c r="J41" s="80">
        <f t="shared" si="16"/>
        <v>8.4099520739096267E-3</v>
      </c>
      <c r="K41" s="178">
        <f>K37*0.124</f>
        <v>10255.970193941086</v>
      </c>
      <c r="L41" s="80">
        <f t="shared" si="17"/>
        <v>8.369127063842104E-3</v>
      </c>
      <c r="M41" s="178">
        <f>M37*0.124</f>
        <v>10512.369448789612</v>
      </c>
      <c r="N41" s="80">
        <f t="shared" si="18"/>
        <v>8.3285002334351019E-3</v>
      </c>
      <c r="O41" s="178">
        <f>O37*0.124</f>
        <v>10775.178685009352</v>
      </c>
      <c r="P41" s="80">
        <f t="shared" si="19"/>
        <v>8.288070620651438E-3</v>
      </c>
      <c r="Q41" s="178">
        <f>Q37*0.124</f>
        <v>11044.558152134585</v>
      </c>
      <c r="R41" s="80">
        <f t="shared" si="20"/>
        <v>8.2478372681240031E-3</v>
      </c>
      <c r="S41" s="178">
        <f>S37*0.124</f>
        <v>11320.672105937949</v>
      </c>
      <c r="T41" s="80">
        <f t="shared" si="21"/>
        <v>8.2077992231331092E-3</v>
      </c>
      <c r="U41" s="178">
        <f>U37*0.124</f>
        <v>11603.688908586397</v>
      </c>
      <c r="V41" s="80">
        <f t="shared" si="22"/>
        <v>8.1679555375839177E-3</v>
      </c>
    </row>
    <row r="42" spans="1:22" ht="12.75" customHeight="1">
      <c r="A42" s="2" t="s">
        <v>390</v>
      </c>
      <c r="B42" s="35"/>
      <c r="C42" s="178"/>
      <c r="D42" s="80">
        <f t="shared" si="13"/>
        <v>0</v>
      </c>
      <c r="E42" s="178"/>
      <c r="F42" s="80">
        <f t="shared" si="14"/>
        <v>0</v>
      </c>
      <c r="G42" s="178"/>
      <c r="H42" s="80">
        <f t="shared" si="15"/>
        <v>0</v>
      </c>
      <c r="I42" s="178"/>
      <c r="J42" s="80">
        <f t="shared" si="16"/>
        <v>0</v>
      </c>
      <c r="K42" s="178"/>
      <c r="L42" s="80">
        <f t="shared" si="17"/>
        <v>0</v>
      </c>
      <c r="M42" s="178"/>
      <c r="N42" s="80">
        <f t="shared" si="18"/>
        <v>0</v>
      </c>
      <c r="O42" s="178"/>
      <c r="P42" s="80">
        <f t="shared" si="19"/>
        <v>0</v>
      </c>
      <c r="Q42" s="178"/>
      <c r="R42" s="80">
        <f t="shared" si="20"/>
        <v>0</v>
      </c>
      <c r="S42" s="178"/>
      <c r="T42" s="80">
        <f t="shared" si="21"/>
        <v>0</v>
      </c>
      <c r="U42" s="178"/>
      <c r="V42" s="80">
        <f t="shared" si="22"/>
        <v>0</v>
      </c>
    </row>
    <row r="43" spans="1:22" ht="12.75" customHeight="1">
      <c r="A43" s="2" t="s">
        <v>391</v>
      </c>
      <c r="B43" s="35"/>
      <c r="C43" s="178"/>
      <c r="D43" s="80">
        <f t="shared" si="13"/>
        <v>0</v>
      </c>
      <c r="E43" s="178"/>
      <c r="F43" s="80">
        <f t="shared" si="14"/>
        <v>0</v>
      </c>
      <c r="G43" s="178"/>
      <c r="H43" s="80">
        <f t="shared" si="15"/>
        <v>0</v>
      </c>
      <c r="I43" s="178"/>
      <c r="J43" s="80">
        <f t="shared" si="16"/>
        <v>0</v>
      </c>
      <c r="K43" s="178"/>
      <c r="L43" s="80">
        <f t="shared" si="17"/>
        <v>0</v>
      </c>
      <c r="M43" s="178"/>
      <c r="N43" s="80">
        <f t="shared" si="18"/>
        <v>0</v>
      </c>
      <c r="O43" s="178"/>
      <c r="P43" s="80">
        <f t="shared" si="19"/>
        <v>0</v>
      </c>
      <c r="Q43" s="178"/>
      <c r="R43" s="80">
        <f t="shared" si="20"/>
        <v>0</v>
      </c>
      <c r="S43" s="178"/>
      <c r="T43" s="80">
        <f t="shared" si="21"/>
        <v>0</v>
      </c>
      <c r="U43" s="178"/>
      <c r="V43" s="80">
        <f t="shared" si="22"/>
        <v>0</v>
      </c>
    </row>
    <row r="44" spans="1:22" ht="12.75" customHeight="1">
      <c r="A44" s="2" t="s">
        <v>392</v>
      </c>
      <c r="B44" s="35"/>
      <c r="C44" s="178"/>
      <c r="D44" s="80">
        <f t="shared" si="13"/>
        <v>0</v>
      </c>
      <c r="E44" s="178"/>
      <c r="F44" s="80">
        <f t="shared" si="14"/>
        <v>0</v>
      </c>
      <c r="G44" s="178"/>
      <c r="H44" s="80">
        <f t="shared" si="15"/>
        <v>0</v>
      </c>
      <c r="I44" s="178"/>
      <c r="J44" s="80">
        <f t="shared" si="16"/>
        <v>0</v>
      </c>
      <c r="K44" s="178"/>
      <c r="L44" s="80">
        <f t="shared" si="17"/>
        <v>0</v>
      </c>
      <c r="M44" s="178"/>
      <c r="N44" s="80">
        <f t="shared" si="18"/>
        <v>0</v>
      </c>
      <c r="O44" s="181"/>
      <c r="P44" s="80">
        <f t="shared" si="19"/>
        <v>0</v>
      </c>
      <c r="Q44" s="178"/>
      <c r="R44" s="80">
        <f t="shared" si="20"/>
        <v>0</v>
      </c>
      <c r="S44" s="178"/>
      <c r="T44" s="80">
        <f t="shared" si="21"/>
        <v>0</v>
      </c>
      <c r="U44" s="178"/>
      <c r="V44" s="80">
        <f t="shared" si="22"/>
        <v>0</v>
      </c>
    </row>
    <row r="45" spans="1:22" ht="12.75" customHeight="1">
      <c r="A45" s="2" t="s">
        <v>393</v>
      </c>
      <c r="B45" s="35"/>
      <c r="C45" s="181">
        <f>SUM(C36:C39)*0.094</f>
        <v>12780.522000000001</v>
      </c>
      <c r="D45" s="80">
        <f t="shared" si="13"/>
        <v>1.4200580000000001E-2</v>
      </c>
      <c r="E45" s="181">
        <f>SUM(E36:E39)*0.094</f>
        <v>14211.940464000003</v>
      </c>
      <c r="F45" s="80">
        <f t="shared" si="14"/>
        <v>1.2919945876363638E-2</v>
      </c>
      <c r="G45" s="181">
        <f>SUM(G36:G39)*0.094</f>
        <v>14709.358380240001</v>
      </c>
      <c r="H45" s="80">
        <f t="shared" si="15"/>
        <v>1.2857830751958043E-2</v>
      </c>
      <c r="I45" s="181">
        <f>SUM(I36:I39)*0.094</f>
        <v>15180.057848407681</v>
      </c>
      <c r="J45" s="80">
        <f t="shared" si="16"/>
        <v>1.2758924361558366E-2</v>
      </c>
      <c r="K45" s="181">
        <f>SUM(K36:K39)*0.094</f>
        <v>15559.559294617869</v>
      </c>
      <c r="L45" s="80">
        <f t="shared" si="17"/>
        <v>1.269698783553138E-2</v>
      </c>
      <c r="M45" s="181">
        <f>SUM(M36:M39)*0.094</f>
        <v>15948.548276983314</v>
      </c>
      <c r="N45" s="80">
        <f t="shared" si="18"/>
        <v>1.26353519722521E-2</v>
      </c>
      <c r="O45" s="181">
        <f>SUM(O36:O39)*0.094</f>
        <v>16347.261983907898</v>
      </c>
      <c r="P45" s="80">
        <f t="shared" si="19"/>
        <v>1.2574015312192625E-2</v>
      </c>
      <c r="Q45" s="181">
        <f>SUM(Q36:Q39)*0.094</f>
        <v>16755.943533505593</v>
      </c>
      <c r="R45" s="80">
        <f t="shared" si="20"/>
        <v>1.2512976402910134E-2</v>
      </c>
      <c r="S45" s="181">
        <f>SUM(S36:S39)*0.094</f>
        <v>17174.84212184323</v>
      </c>
      <c r="T45" s="80">
        <f t="shared" si="21"/>
        <v>1.2452233799012509E-2</v>
      </c>
      <c r="U45" s="181">
        <f>SUM(U36:U39)*0.094</f>
        <v>17604.213174889308</v>
      </c>
      <c r="V45" s="80">
        <f t="shared" si="22"/>
        <v>1.2391786062124096E-2</v>
      </c>
    </row>
    <row r="46" spans="1:22" ht="12.75" customHeight="1">
      <c r="A46" s="1" t="s">
        <v>394</v>
      </c>
      <c r="B46" s="53"/>
      <c r="C46" s="82">
        <f>SUM(C36:C45)</f>
        <v>157167.71</v>
      </c>
      <c r="D46" s="83">
        <f t="shared" si="13"/>
        <v>0.17463078888888889</v>
      </c>
      <c r="E46" s="82">
        <f>SUM(E36:E45)</f>
        <v>174770.49352000005</v>
      </c>
      <c r="F46" s="83">
        <f t="shared" si="14"/>
        <v>0.15888226683636367</v>
      </c>
      <c r="G46" s="82">
        <f>SUM(G36:G45)</f>
        <v>180887.46079320001</v>
      </c>
      <c r="H46" s="83">
        <f t="shared" si="15"/>
        <v>0.15811840978426575</v>
      </c>
      <c r="I46" s="82">
        <f>SUM(I36:I45)</f>
        <v>186675.85953858242</v>
      </c>
      <c r="J46" s="83">
        <f t="shared" si="16"/>
        <v>0.15690211432438678</v>
      </c>
      <c r="K46" s="82">
        <f>SUM(K36:K45)</f>
        <v>191342.75602704694</v>
      </c>
      <c r="L46" s="83">
        <f t="shared" si="17"/>
        <v>0.15614045357523923</v>
      </c>
      <c r="M46" s="82">
        <f>SUM(M36:M45)</f>
        <v>196126.32492772306</v>
      </c>
      <c r="N46" s="83">
        <f t="shared" si="18"/>
        <v>0.15538249020836911</v>
      </c>
      <c r="O46" s="82">
        <f>SUM(O36:O45)</f>
        <v>201029.48305091617</v>
      </c>
      <c r="P46" s="83">
        <f t="shared" si="19"/>
        <v>0.15462820627531879</v>
      </c>
      <c r="Q46" s="82">
        <f>SUM(Q36:Q45)</f>
        <v>206055.22012718904</v>
      </c>
      <c r="R46" s="83">
        <f t="shared" si="20"/>
        <v>0.15387758391475898</v>
      </c>
      <c r="S46" s="82">
        <f>SUM(S36:S45)</f>
        <v>211206.60063036872</v>
      </c>
      <c r="T46" s="83">
        <f t="shared" si="21"/>
        <v>0.15313060535206591</v>
      </c>
      <c r="U46" s="82">
        <f>SUM(U36:U45)</f>
        <v>216486.76564612793</v>
      </c>
      <c r="V46" s="83">
        <f t="shared" si="22"/>
        <v>0.15238725289890054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366</v>
      </c>
      <c r="E50" s="86" t="str">
        <f>E6</f>
        <v>FY 2019-20</v>
      </c>
      <c r="F50" s="86" t="s">
        <v>366</v>
      </c>
      <c r="G50" s="86" t="str">
        <f>G6</f>
        <v>FY 2020-21</v>
      </c>
      <c r="H50" s="86" t="s">
        <v>366</v>
      </c>
      <c r="I50" s="86" t="str">
        <f>I6</f>
        <v>FY 2021-22</v>
      </c>
      <c r="J50" s="86" t="s">
        <v>366</v>
      </c>
      <c r="K50" s="86" t="str">
        <f>K6</f>
        <v>FY 2022-23</v>
      </c>
      <c r="L50" s="86" t="s">
        <v>366</v>
      </c>
      <c r="M50" s="86" t="str">
        <f>M6</f>
        <v>FY 2023-24</v>
      </c>
      <c r="N50" s="86" t="s">
        <v>366</v>
      </c>
      <c r="O50" s="86" t="str">
        <f>O6</f>
        <v>FY 2024-25</v>
      </c>
      <c r="P50" s="86" t="s">
        <v>366</v>
      </c>
      <c r="Q50" s="86" t="str">
        <f>Q6</f>
        <v>FY 2025-26</v>
      </c>
      <c r="R50" s="86" t="s">
        <v>366</v>
      </c>
      <c r="S50" s="86" t="str">
        <f>S6</f>
        <v>FY 2026-27</v>
      </c>
      <c r="T50" s="86" t="s">
        <v>366</v>
      </c>
      <c r="U50" s="86" t="str">
        <f>U6</f>
        <v>FY 2027-28</v>
      </c>
      <c r="V50" s="86" t="s">
        <v>366</v>
      </c>
    </row>
    <row r="51" spans="1:24" ht="12.75" customHeight="1">
      <c r="A51" s="1" t="s">
        <v>395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396</v>
      </c>
      <c r="B52" s="35"/>
      <c r="C52" s="178">
        <v>0</v>
      </c>
      <c r="D52" s="80">
        <f t="shared" ref="D52:D104" si="24">IFERROR(C52/C$28,0)</f>
        <v>0</v>
      </c>
      <c r="E52" s="178">
        <v>0</v>
      </c>
      <c r="F52" s="80">
        <f t="shared" ref="F52:F104" si="25">IFERROR(E52/E$28,0)</f>
        <v>0</v>
      </c>
      <c r="G52" s="178">
        <v>0</v>
      </c>
      <c r="H52" s="80">
        <f t="shared" ref="H52:H104" si="26">IFERROR(G52/G$28,0)</f>
        <v>0</v>
      </c>
      <c r="I52" s="178">
        <v>0</v>
      </c>
      <c r="J52" s="80">
        <f t="shared" ref="J52:J104" si="27">IFERROR(I52/I$28,0)</f>
        <v>0</v>
      </c>
      <c r="K52" s="178">
        <v>0</v>
      </c>
      <c r="L52" s="80">
        <f t="shared" ref="L52:L104" si="28">IFERROR(K52/K$28,0)</f>
        <v>0</v>
      </c>
      <c r="M52" s="178">
        <v>0</v>
      </c>
      <c r="N52" s="80">
        <f t="shared" ref="N52:N104" si="29">IFERROR(M52/M$28,0)</f>
        <v>0</v>
      </c>
      <c r="O52" s="178">
        <v>0</v>
      </c>
      <c r="P52" s="80">
        <f t="shared" ref="P52:P104" si="30">IFERROR(O52/O$28,0)</f>
        <v>0</v>
      </c>
      <c r="Q52" s="178">
        <v>0</v>
      </c>
      <c r="R52" s="80">
        <f t="shared" ref="R52:R104" si="31">IFERROR(Q52/Q$28,0)</f>
        <v>0</v>
      </c>
      <c r="S52" s="178">
        <v>0</v>
      </c>
      <c r="T52" s="80">
        <f t="shared" ref="T52:T104" si="32">IFERROR(S52/S$28,0)</f>
        <v>0</v>
      </c>
      <c r="U52" s="178">
        <v>0</v>
      </c>
      <c r="V52" s="80">
        <f t="shared" ref="V52:V105" si="33">IFERROR(U52/U$28,0)</f>
        <v>0</v>
      </c>
      <c r="X52" s="192"/>
    </row>
    <row r="53" spans="1:24" ht="12.75" customHeight="1">
      <c r="A53" s="2" t="s">
        <v>397</v>
      </c>
      <c r="B53" s="35"/>
      <c r="C53" s="178">
        <v>0</v>
      </c>
      <c r="D53" s="80">
        <f t="shared" si="24"/>
        <v>0</v>
      </c>
      <c r="E53" s="178">
        <v>0</v>
      </c>
      <c r="F53" s="80">
        <f t="shared" si="25"/>
        <v>0</v>
      </c>
      <c r="G53" s="178">
        <v>0</v>
      </c>
      <c r="H53" s="80">
        <f t="shared" si="26"/>
        <v>0</v>
      </c>
      <c r="I53" s="178">
        <v>0</v>
      </c>
      <c r="J53" s="80">
        <f t="shared" si="27"/>
        <v>0</v>
      </c>
      <c r="K53" s="178">
        <v>0</v>
      </c>
      <c r="L53" s="80">
        <f t="shared" si="28"/>
        <v>0</v>
      </c>
      <c r="M53" s="178">
        <v>0</v>
      </c>
      <c r="N53" s="80">
        <f t="shared" si="29"/>
        <v>0</v>
      </c>
      <c r="O53" s="178">
        <v>0</v>
      </c>
      <c r="P53" s="80">
        <f t="shared" si="30"/>
        <v>0</v>
      </c>
      <c r="Q53" s="178">
        <v>0</v>
      </c>
      <c r="R53" s="80">
        <f t="shared" si="31"/>
        <v>0</v>
      </c>
      <c r="S53" s="178">
        <v>0</v>
      </c>
      <c r="T53" s="80">
        <f t="shared" si="32"/>
        <v>0</v>
      </c>
      <c r="U53" s="178">
        <v>0</v>
      </c>
      <c r="V53" s="80">
        <f t="shared" si="33"/>
        <v>0</v>
      </c>
      <c r="X53" s="192"/>
    </row>
    <row r="54" spans="1:24" ht="12.75" customHeight="1">
      <c r="A54" s="2" t="s">
        <v>398</v>
      </c>
      <c r="B54" s="35"/>
      <c r="C54" s="178">
        <v>630</v>
      </c>
      <c r="D54" s="80">
        <f t="shared" si="24"/>
        <v>6.9999999999999999E-4</v>
      </c>
      <c r="E54" s="178">
        <v>769.99999999999989</v>
      </c>
      <c r="F54" s="80">
        <f t="shared" si="25"/>
        <v>6.9999999999999988E-4</v>
      </c>
      <c r="G54" s="178">
        <v>800.8</v>
      </c>
      <c r="H54" s="80">
        <f t="shared" si="26"/>
        <v>6.9999999999999999E-4</v>
      </c>
      <c r="I54" s="178">
        <v>832.83199999999999</v>
      </c>
      <c r="J54" s="80">
        <f t="shared" si="27"/>
        <v>6.9999999999999999E-4</v>
      </c>
      <c r="K54" s="178">
        <v>857.81695999999999</v>
      </c>
      <c r="L54" s="80">
        <f t="shared" si="28"/>
        <v>6.9999999999999999E-4</v>
      </c>
      <c r="M54" s="178">
        <v>883.55146880000018</v>
      </c>
      <c r="N54" s="80">
        <f t="shared" si="29"/>
        <v>7.000000000000001E-4</v>
      </c>
      <c r="O54" s="178">
        <v>910.05801286399992</v>
      </c>
      <c r="P54" s="80">
        <f t="shared" si="30"/>
        <v>6.9999999999999988E-4</v>
      </c>
      <c r="Q54" s="178">
        <v>937.35975324992</v>
      </c>
      <c r="R54" s="80">
        <f t="shared" si="31"/>
        <v>6.9999999999999999E-4</v>
      </c>
      <c r="S54" s="178">
        <v>965.4805458474176</v>
      </c>
      <c r="T54" s="80">
        <f t="shared" si="32"/>
        <v>6.9999999999999999E-4</v>
      </c>
      <c r="U54" s="178">
        <v>994.44496222284022</v>
      </c>
      <c r="V54" s="80">
        <f t="shared" si="33"/>
        <v>6.9999999999999999E-4</v>
      </c>
      <c r="X54" s="192"/>
    </row>
    <row r="55" spans="1:24" ht="12.75" customHeight="1">
      <c r="A55" s="2" t="s">
        <v>399</v>
      </c>
      <c r="B55" s="35"/>
      <c r="C55" s="178">
        <v>63000.000000000007</v>
      </c>
      <c r="D55" s="80">
        <f t="shared" si="24"/>
        <v>7.0000000000000007E-2</v>
      </c>
      <c r="E55" s="178">
        <v>77000.000000000015</v>
      </c>
      <c r="F55" s="80">
        <f t="shared" si="25"/>
        <v>7.0000000000000007E-2</v>
      </c>
      <c r="G55" s="178">
        <v>80080.000000000015</v>
      </c>
      <c r="H55" s="80">
        <f t="shared" si="26"/>
        <v>7.0000000000000007E-2</v>
      </c>
      <c r="I55" s="178">
        <v>83283.200000000012</v>
      </c>
      <c r="J55" s="80">
        <f t="shared" si="27"/>
        <v>7.0000000000000007E-2</v>
      </c>
      <c r="K55" s="178">
        <v>85781.696000000011</v>
      </c>
      <c r="L55" s="80">
        <f t="shared" si="28"/>
        <v>7.0000000000000007E-2</v>
      </c>
      <c r="M55" s="178">
        <v>88355.146880000015</v>
      </c>
      <c r="N55" s="80">
        <f t="shared" si="29"/>
        <v>7.0000000000000007E-2</v>
      </c>
      <c r="O55" s="178">
        <v>91005.801286400005</v>
      </c>
      <c r="P55" s="80">
        <f t="shared" si="30"/>
        <v>7.0000000000000007E-2</v>
      </c>
      <c r="Q55" s="178">
        <v>93735.975324992003</v>
      </c>
      <c r="R55" s="80">
        <f t="shared" si="31"/>
        <v>7.0000000000000007E-2</v>
      </c>
      <c r="S55" s="178">
        <v>96548.054584741782</v>
      </c>
      <c r="T55" s="80">
        <f t="shared" si="32"/>
        <v>7.0000000000000007E-2</v>
      </c>
      <c r="U55" s="178">
        <v>59332.917821455245</v>
      </c>
      <c r="V55" s="80">
        <f t="shared" si="33"/>
        <v>4.1765048899419871E-2</v>
      </c>
      <c r="X55" s="192"/>
    </row>
    <row r="56" spans="1:24" ht="12.75" customHeight="1">
      <c r="A56" s="2" t="s">
        <v>400</v>
      </c>
      <c r="B56" s="35"/>
      <c r="C56" s="178">
        <v>458.99999999999994</v>
      </c>
      <c r="D56" s="80">
        <f t="shared" si="24"/>
        <v>5.0999999999999993E-4</v>
      </c>
      <c r="E56" s="178">
        <v>561</v>
      </c>
      <c r="F56" s="80">
        <f t="shared" si="25"/>
        <v>5.1000000000000004E-4</v>
      </c>
      <c r="G56" s="178">
        <v>583.44000000000005</v>
      </c>
      <c r="H56" s="80">
        <f t="shared" si="26"/>
        <v>5.1000000000000004E-4</v>
      </c>
      <c r="I56" s="178">
        <v>606.77760000000001</v>
      </c>
      <c r="J56" s="80">
        <f t="shared" si="27"/>
        <v>5.1000000000000004E-4</v>
      </c>
      <c r="K56" s="178">
        <v>624.98092799999995</v>
      </c>
      <c r="L56" s="80">
        <f t="shared" si="28"/>
        <v>5.0999999999999993E-4</v>
      </c>
      <c r="M56" s="178">
        <v>643.73035584000013</v>
      </c>
      <c r="N56" s="80">
        <f t="shared" si="29"/>
        <v>5.1000000000000004E-4</v>
      </c>
      <c r="O56" s="178">
        <v>663.04226651520003</v>
      </c>
      <c r="P56" s="80">
        <f t="shared" si="30"/>
        <v>5.1000000000000004E-4</v>
      </c>
      <c r="Q56" s="178">
        <v>682.93353451065605</v>
      </c>
      <c r="R56" s="80">
        <f t="shared" si="31"/>
        <v>5.1000000000000004E-4</v>
      </c>
      <c r="S56" s="178">
        <v>703.42154054597574</v>
      </c>
      <c r="T56" s="80">
        <f t="shared" si="32"/>
        <v>5.1000000000000004E-4</v>
      </c>
      <c r="U56" s="178">
        <v>724.52418676235504</v>
      </c>
      <c r="V56" s="80">
        <f t="shared" si="33"/>
        <v>5.1000000000000004E-4</v>
      </c>
      <c r="X56" s="192"/>
    </row>
    <row r="57" spans="1:24" ht="12.75" customHeight="1">
      <c r="A57" s="2" t="s">
        <v>401</v>
      </c>
      <c r="B57" s="35"/>
      <c r="C57" s="178">
        <v>0</v>
      </c>
      <c r="D57" s="80">
        <f t="shared" si="24"/>
        <v>0</v>
      </c>
      <c r="E57" s="178">
        <v>0</v>
      </c>
      <c r="F57" s="80">
        <f t="shared" si="25"/>
        <v>0</v>
      </c>
      <c r="G57" s="178">
        <v>0</v>
      </c>
      <c r="H57" s="80">
        <f t="shared" si="26"/>
        <v>0</v>
      </c>
      <c r="I57" s="178">
        <v>0</v>
      </c>
      <c r="J57" s="80">
        <f t="shared" si="27"/>
        <v>0</v>
      </c>
      <c r="K57" s="178">
        <v>0</v>
      </c>
      <c r="L57" s="80">
        <f t="shared" si="28"/>
        <v>0</v>
      </c>
      <c r="M57" s="178">
        <v>0</v>
      </c>
      <c r="N57" s="80">
        <f t="shared" si="29"/>
        <v>0</v>
      </c>
      <c r="O57" s="178">
        <v>0</v>
      </c>
      <c r="P57" s="80">
        <f t="shared" si="30"/>
        <v>0</v>
      </c>
      <c r="Q57" s="178">
        <v>0</v>
      </c>
      <c r="R57" s="80">
        <f t="shared" si="31"/>
        <v>0</v>
      </c>
      <c r="S57" s="178">
        <v>0</v>
      </c>
      <c r="T57" s="80">
        <f t="shared" si="32"/>
        <v>0</v>
      </c>
      <c r="U57" s="178">
        <v>0</v>
      </c>
      <c r="V57" s="80">
        <f t="shared" si="33"/>
        <v>0</v>
      </c>
      <c r="X57" s="192"/>
    </row>
    <row r="58" spans="1:24" ht="12.75" customHeight="1">
      <c r="A58" s="2" t="s">
        <v>402</v>
      </c>
      <c r="B58" s="35"/>
      <c r="C58" s="178">
        <v>0</v>
      </c>
      <c r="D58" s="80">
        <f t="shared" si="24"/>
        <v>0</v>
      </c>
      <c r="E58" s="178">
        <v>0</v>
      </c>
      <c r="F58" s="80">
        <f t="shared" si="25"/>
        <v>0</v>
      </c>
      <c r="G58" s="178">
        <v>0</v>
      </c>
      <c r="H58" s="80">
        <f t="shared" si="26"/>
        <v>0</v>
      </c>
      <c r="I58" s="178">
        <v>0</v>
      </c>
      <c r="J58" s="80">
        <f t="shared" si="27"/>
        <v>0</v>
      </c>
      <c r="K58" s="178">
        <v>0</v>
      </c>
      <c r="L58" s="80">
        <f t="shared" si="28"/>
        <v>0</v>
      </c>
      <c r="M58" s="178">
        <v>0</v>
      </c>
      <c r="N58" s="80">
        <f t="shared" si="29"/>
        <v>0</v>
      </c>
      <c r="O58" s="178">
        <v>0</v>
      </c>
      <c r="P58" s="80">
        <f t="shared" si="30"/>
        <v>0</v>
      </c>
      <c r="Q58" s="178">
        <v>0</v>
      </c>
      <c r="R58" s="80">
        <f t="shared" si="31"/>
        <v>0</v>
      </c>
      <c r="S58" s="178">
        <v>0</v>
      </c>
      <c r="T58" s="80">
        <f t="shared" si="32"/>
        <v>0</v>
      </c>
      <c r="U58" s="178">
        <v>0</v>
      </c>
      <c r="V58" s="80">
        <f t="shared" si="33"/>
        <v>0</v>
      </c>
      <c r="X58" s="192"/>
    </row>
    <row r="59" spans="1:24" ht="12.75" customHeight="1">
      <c r="A59" s="2" t="s">
        <v>403</v>
      </c>
      <c r="B59" s="35"/>
      <c r="C59" s="178"/>
      <c r="D59" s="80">
        <f t="shared" si="24"/>
        <v>0</v>
      </c>
      <c r="E59" s="178"/>
      <c r="F59" s="80">
        <f t="shared" si="25"/>
        <v>0</v>
      </c>
      <c r="G59" s="178"/>
      <c r="H59" s="80">
        <f t="shared" si="26"/>
        <v>0</v>
      </c>
      <c r="I59" s="178"/>
      <c r="J59" s="80">
        <f t="shared" si="27"/>
        <v>0</v>
      </c>
      <c r="K59" s="178"/>
      <c r="L59" s="80">
        <f t="shared" si="28"/>
        <v>0</v>
      </c>
      <c r="M59" s="178"/>
      <c r="N59" s="80">
        <f t="shared" si="29"/>
        <v>0</v>
      </c>
      <c r="O59" s="178"/>
      <c r="P59" s="80">
        <f t="shared" si="30"/>
        <v>0</v>
      </c>
      <c r="Q59" s="178"/>
      <c r="R59" s="80">
        <f t="shared" si="31"/>
        <v>0</v>
      </c>
      <c r="S59" s="178"/>
      <c r="T59" s="80">
        <f t="shared" si="32"/>
        <v>0</v>
      </c>
      <c r="U59" s="178"/>
      <c r="V59" s="80">
        <f t="shared" si="33"/>
        <v>0</v>
      </c>
      <c r="X59" s="192"/>
    </row>
    <row r="60" spans="1:24" ht="12.75" customHeight="1">
      <c r="A60" s="2" t="s">
        <v>404</v>
      </c>
      <c r="B60" s="35"/>
      <c r="C60" s="178">
        <v>0</v>
      </c>
      <c r="D60" s="80">
        <f t="shared" si="24"/>
        <v>0</v>
      </c>
      <c r="E60" s="178">
        <v>0</v>
      </c>
      <c r="F60" s="80">
        <f t="shared" si="25"/>
        <v>0</v>
      </c>
      <c r="G60" s="178">
        <v>0</v>
      </c>
      <c r="H60" s="80">
        <f t="shared" si="26"/>
        <v>0</v>
      </c>
      <c r="I60" s="178">
        <v>0</v>
      </c>
      <c r="J60" s="80">
        <f t="shared" si="27"/>
        <v>0</v>
      </c>
      <c r="K60" s="178">
        <v>0</v>
      </c>
      <c r="L60" s="80">
        <f t="shared" si="28"/>
        <v>0</v>
      </c>
      <c r="M60" s="178">
        <v>0</v>
      </c>
      <c r="N60" s="80">
        <f t="shared" si="29"/>
        <v>0</v>
      </c>
      <c r="O60" s="178">
        <v>0</v>
      </c>
      <c r="P60" s="80">
        <f t="shared" si="30"/>
        <v>0</v>
      </c>
      <c r="Q60" s="178">
        <v>0</v>
      </c>
      <c r="R60" s="80">
        <f t="shared" si="31"/>
        <v>0</v>
      </c>
      <c r="S60" s="178">
        <v>0</v>
      </c>
      <c r="T60" s="80">
        <f t="shared" si="32"/>
        <v>0</v>
      </c>
      <c r="U60" s="178">
        <v>0</v>
      </c>
      <c r="V60" s="80">
        <f t="shared" si="33"/>
        <v>0</v>
      </c>
      <c r="X60" s="192"/>
    </row>
    <row r="61" spans="1:24" ht="12.75" customHeight="1">
      <c r="A61" s="2" t="s">
        <v>405</v>
      </c>
      <c r="B61" s="35"/>
      <c r="C61" s="178">
        <v>0</v>
      </c>
      <c r="D61" s="80">
        <f t="shared" si="24"/>
        <v>0</v>
      </c>
      <c r="E61" s="178">
        <v>0</v>
      </c>
      <c r="F61" s="80">
        <f t="shared" si="25"/>
        <v>0</v>
      </c>
      <c r="G61" s="178">
        <v>0</v>
      </c>
      <c r="H61" s="80">
        <f t="shared" si="26"/>
        <v>0</v>
      </c>
      <c r="I61" s="178">
        <v>0</v>
      </c>
      <c r="J61" s="80">
        <f t="shared" si="27"/>
        <v>0</v>
      </c>
      <c r="K61" s="178">
        <v>0</v>
      </c>
      <c r="L61" s="80">
        <f t="shared" si="28"/>
        <v>0</v>
      </c>
      <c r="M61" s="178">
        <v>0</v>
      </c>
      <c r="N61" s="80">
        <f t="shared" si="29"/>
        <v>0</v>
      </c>
      <c r="O61" s="178">
        <v>0</v>
      </c>
      <c r="P61" s="80">
        <f t="shared" si="30"/>
        <v>0</v>
      </c>
      <c r="Q61" s="178">
        <v>0</v>
      </c>
      <c r="R61" s="80">
        <f t="shared" si="31"/>
        <v>0</v>
      </c>
      <c r="S61" s="178">
        <v>0</v>
      </c>
      <c r="T61" s="80">
        <f t="shared" si="32"/>
        <v>0</v>
      </c>
      <c r="U61" s="178">
        <v>0</v>
      </c>
      <c r="V61" s="80">
        <f t="shared" si="33"/>
        <v>0</v>
      </c>
      <c r="X61" s="192"/>
    </row>
    <row r="62" spans="1:24" ht="12.75" customHeight="1">
      <c r="A62" s="2" t="s">
        <v>406</v>
      </c>
      <c r="B62" s="35"/>
      <c r="C62" s="178">
        <v>0</v>
      </c>
      <c r="D62" s="80">
        <f t="shared" si="24"/>
        <v>0</v>
      </c>
      <c r="E62" s="178">
        <v>0</v>
      </c>
      <c r="F62" s="80">
        <f t="shared" si="25"/>
        <v>0</v>
      </c>
      <c r="G62" s="178">
        <v>0</v>
      </c>
      <c r="H62" s="80">
        <f t="shared" si="26"/>
        <v>0</v>
      </c>
      <c r="I62" s="178">
        <v>0</v>
      </c>
      <c r="J62" s="80">
        <f t="shared" si="27"/>
        <v>0</v>
      </c>
      <c r="K62" s="178">
        <v>0</v>
      </c>
      <c r="L62" s="80">
        <f t="shared" si="28"/>
        <v>0</v>
      </c>
      <c r="M62" s="178">
        <v>0</v>
      </c>
      <c r="N62" s="80">
        <f t="shared" si="29"/>
        <v>0</v>
      </c>
      <c r="O62" s="178">
        <v>0</v>
      </c>
      <c r="P62" s="80">
        <f t="shared" si="30"/>
        <v>0</v>
      </c>
      <c r="Q62" s="178">
        <v>0</v>
      </c>
      <c r="R62" s="80">
        <f t="shared" si="31"/>
        <v>0</v>
      </c>
      <c r="S62" s="178">
        <v>0</v>
      </c>
      <c r="T62" s="80">
        <f t="shared" si="32"/>
        <v>0</v>
      </c>
      <c r="U62" s="178">
        <v>0</v>
      </c>
      <c r="V62" s="80">
        <f t="shared" si="33"/>
        <v>0</v>
      </c>
      <c r="X62" s="192"/>
    </row>
    <row r="63" spans="1:24" ht="12.75" customHeight="1">
      <c r="A63" s="2" t="s">
        <v>407</v>
      </c>
      <c r="B63" s="35"/>
      <c r="C63" s="178">
        <v>10949.111859267434</v>
      </c>
      <c r="D63" s="80">
        <f t="shared" si="24"/>
        <v>1.2165679843630482E-2</v>
      </c>
      <c r="E63" s="178">
        <v>13579.820131413122</v>
      </c>
      <c r="F63" s="80">
        <f t="shared" si="25"/>
        <v>1.2345291028557383E-2</v>
      </c>
      <c r="G63" s="178">
        <v>13973.521002496705</v>
      </c>
      <c r="H63" s="80">
        <f t="shared" si="26"/>
        <v>1.2214616260923693E-2</v>
      </c>
      <c r="I63" s="178">
        <v>14569.777926268671</v>
      </c>
      <c r="J63" s="80">
        <f t="shared" si="27"/>
        <v>1.2245980640018719E-2</v>
      </c>
      <c r="K63" s="178">
        <v>14960.620636626343</v>
      </c>
      <c r="L63" s="80">
        <f t="shared" si="28"/>
        <v>1.2208238976341107E-2</v>
      </c>
      <c r="M63" s="178">
        <v>15435.418036690355</v>
      </c>
      <c r="N63" s="80">
        <f t="shared" si="29"/>
        <v>1.2228820852233807E-2</v>
      </c>
      <c r="O63" s="178">
        <v>15931.257010833344</v>
      </c>
      <c r="P63" s="80">
        <f t="shared" si="30"/>
        <v>1.2254031885822084E-2</v>
      </c>
      <c r="Q63" s="178">
        <v>16457.385639347231</v>
      </c>
      <c r="R63" s="80">
        <f t="shared" si="31"/>
        <v>1.2290019821740245E-2</v>
      </c>
      <c r="S63" s="178">
        <v>16999.531584291635</v>
      </c>
      <c r="T63" s="80">
        <f t="shared" si="32"/>
        <v>1.2325128828525087E-2</v>
      </c>
      <c r="U63" s="178">
        <v>17562.815424850472</v>
      </c>
      <c r="V63" s="80">
        <f t="shared" si="33"/>
        <v>1.2362645761626812E-2</v>
      </c>
      <c r="X63" s="192"/>
    </row>
    <row r="64" spans="1:24" ht="12.75" customHeight="1">
      <c r="A64" s="2" t="s">
        <v>408</v>
      </c>
      <c r="B64" s="35"/>
      <c r="C64" s="178">
        <v>4319.9999999999991</v>
      </c>
      <c r="D64" s="80">
        <f t="shared" si="24"/>
        <v>4.7999999999999987E-3</v>
      </c>
      <c r="E64" s="178">
        <v>5279.9999999999991</v>
      </c>
      <c r="F64" s="80">
        <f t="shared" si="25"/>
        <v>4.7999999999999996E-3</v>
      </c>
      <c r="G64" s="178">
        <v>5491.2</v>
      </c>
      <c r="H64" s="80">
        <f t="shared" si="26"/>
        <v>4.7999999999999996E-3</v>
      </c>
      <c r="I64" s="178">
        <v>5710.8479999999981</v>
      </c>
      <c r="J64" s="80">
        <f t="shared" si="27"/>
        <v>4.7999999999999987E-3</v>
      </c>
      <c r="K64" s="178">
        <v>5882.1734399999996</v>
      </c>
      <c r="L64" s="80">
        <f t="shared" si="28"/>
        <v>4.7999999999999996E-3</v>
      </c>
      <c r="M64" s="178">
        <v>6058.6386431999999</v>
      </c>
      <c r="N64" s="80">
        <f t="shared" si="29"/>
        <v>4.7999999999999996E-3</v>
      </c>
      <c r="O64" s="178">
        <v>6240.3978024959988</v>
      </c>
      <c r="P64" s="80">
        <f t="shared" si="30"/>
        <v>4.7999999999999987E-3</v>
      </c>
      <c r="Q64" s="178">
        <v>6427.6097365708783</v>
      </c>
      <c r="R64" s="80">
        <f t="shared" si="31"/>
        <v>4.7999999999999987E-3</v>
      </c>
      <c r="S64" s="178">
        <v>6620.4380286680062</v>
      </c>
      <c r="T64" s="80">
        <f t="shared" si="32"/>
        <v>4.7999999999999996E-3</v>
      </c>
      <c r="U64" s="178">
        <v>6819.0511695280466</v>
      </c>
      <c r="V64" s="80">
        <f t="shared" si="33"/>
        <v>4.7999999999999996E-3</v>
      </c>
      <c r="X64" s="192"/>
    </row>
    <row r="65" spans="1:24" ht="12.75" customHeight="1">
      <c r="A65" s="2" t="s">
        <v>409</v>
      </c>
      <c r="B65" s="35"/>
      <c r="C65" s="178">
        <v>450</v>
      </c>
      <c r="D65" s="80">
        <f t="shared" si="24"/>
        <v>5.0000000000000001E-4</v>
      </c>
      <c r="E65" s="178">
        <v>550</v>
      </c>
      <c r="F65" s="80">
        <f t="shared" si="25"/>
        <v>5.0000000000000001E-4</v>
      </c>
      <c r="G65" s="178">
        <v>572</v>
      </c>
      <c r="H65" s="80">
        <f t="shared" si="26"/>
        <v>5.0000000000000001E-4</v>
      </c>
      <c r="I65" s="178">
        <v>594.88</v>
      </c>
      <c r="J65" s="80">
        <f t="shared" si="27"/>
        <v>5.0000000000000001E-4</v>
      </c>
      <c r="K65" s="178">
        <v>612.72640000000001</v>
      </c>
      <c r="L65" s="80">
        <f t="shared" si="28"/>
        <v>5.0000000000000001E-4</v>
      </c>
      <c r="M65" s="178">
        <v>631.10819200000003</v>
      </c>
      <c r="N65" s="80">
        <f t="shared" si="29"/>
        <v>5.0000000000000001E-4</v>
      </c>
      <c r="O65" s="178">
        <v>650.04143776000001</v>
      </c>
      <c r="P65" s="80">
        <f t="shared" si="30"/>
        <v>5.0000000000000001E-4</v>
      </c>
      <c r="Q65" s="178">
        <v>669.54268089280004</v>
      </c>
      <c r="R65" s="80">
        <f t="shared" si="31"/>
        <v>5.0000000000000001E-4</v>
      </c>
      <c r="S65" s="178">
        <v>689.62896131958394</v>
      </c>
      <c r="T65" s="80">
        <f t="shared" si="32"/>
        <v>4.999999999999999E-4</v>
      </c>
      <c r="U65" s="178">
        <v>710.31783015917154</v>
      </c>
      <c r="V65" s="80">
        <f t="shared" si="33"/>
        <v>4.999999999999999E-4</v>
      </c>
      <c r="X65" s="192"/>
    </row>
    <row r="66" spans="1:24" ht="12.75" customHeight="1">
      <c r="A66" s="2" t="s">
        <v>410</v>
      </c>
      <c r="B66" s="35"/>
      <c r="C66" s="178">
        <v>2520</v>
      </c>
      <c r="D66" s="80">
        <f t="shared" si="24"/>
        <v>2.8E-3</v>
      </c>
      <c r="E66" s="178">
        <v>3079.9999999999995</v>
      </c>
      <c r="F66" s="80">
        <f t="shared" si="25"/>
        <v>2.7999999999999995E-3</v>
      </c>
      <c r="G66" s="178">
        <v>3203.2</v>
      </c>
      <c r="H66" s="80">
        <f t="shared" si="26"/>
        <v>2.8E-3</v>
      </c>
      <c r="I66" s="178">
        <v>3331.328</v>
      </c>
      <c r="J66" s="80">
        <f t="shared" si="27"/>
        <v>2.8E-3</v>
      </c>
      <c r="K66" s="178">
        <v>3431.26784</v>
      </c>
      <c r="L66" s="80">
        <f t="shared" si="28"/>
        <v>2.8E-3</v>
      </c>
      <c r="M66" s="178">
        <v>3534.2058752000007</v>
      </c>
      <c r="N66" s="80">
        <f t="shared" si="29"/>
        <v>2.8000000000000004E-3</v>
      </c>
      <c r="O66" s="178">
        <v>3640.2320514559997</v>
      </c>
      <c r="P66" s="80">
        <f t="shared" si="30"/>
        <v>2.7999999999999995E-3</v>
      </c>
      <c r="Q66" s="178">
        <v>3749.43901299968</v>
      </c>
      <c r="R66" s="80">
        <f t="shared" si="31"/>
        <v>2.8E-3</v>
      </c>
      <c r="S66" s="178">
        <v>3861.9221833896704</v>
      </c>
      <c r="T66" s="80">
        <f t="shared" si="32"/>
        <v>2.8E-3</v>
      </c>
      <c r="U66" s="178">
        <v>3977.7798488913609</v>
      </c>
      <c r="V66" s="80">
        <f t="shared" si="33"/>
        <v>2.8E-3</v>
      </c>
      <c r="X66" s="192"/>
    </row>
    <row r="67" spans="1:24" ht="12.75" customHeight="1">
      <c r="A67" s="2" t="s">
        <v>411</v>
      </c>
      <c r="B67" s="35"/>
      <c r="C67" s="178">
        <v>13499.999999999998</v>
      </c>
      <c r="D67" s="80">
        <f t="shared" si="24"/>
        <v>1.4999999999999998E-2</v>
      </c>
      <c r="E67" s="178">
        <v>16500</v>
      </c>
      <c r="F67" s="80">
        <f t="shared" si="25"/>
        <v>1.4999999999999999E-2</v>
      </c>
      <c r="G67" s="178">
        <v>17160</v>
      </c>
      <c r="H67" s="80">
        <f t="shared" si="26"/>
        <v>1.4999999999999999E-2</v>
      </c>
      <c r="I67" s="178">
        <v>17846.399999999998</v>
      </c>
      <c r="J67" s="80">
        <f t="shared" si="27"/>
        <v>1.4999999999999998E-2</v>
      </c>
      <c r="K67" s="178">
        <v>18381.791999999998</v>
      </c>
      <c r="L67" s="80">
        <f t="shared" si="28"/>
        <v>1.4999999999999998E-2</v>
      </c>
      <c r="M67" s="178">
        <v>18933.245760000002</v>
      </c>
      <c r="N67" s="80">
        <f t="shared" si="29"/>
        <v>1.5000000000000001E-2</v>
      </c>
      <c r="O67" s="178">
        <v>19501.243132799998</v>
      </c>
      <c r="P67" s="80">
        <f t="shared" si="30"/>
        <v>1.4999999999999999E-2</v>
      </c>
      <c r="Q67" s="178">
        <v>20086.280426783997</v>
      </c>
      <c r="R67" s="80">
        <f t="shared" si="31"/>
        <v>1.4999999999999998E-2</v>
      </c>
      <c r="S67" s="178">
        <v>20688.868839587522</v>
      </c>
      <c r="T67" s="80">
        <f t="shared" si="32"/>
        <v>1.4999999999999999E-2</v>
      </c>
      <c r="U67" s="178">
        <v>21309.534904775144</v>
      </c>
      <c r="V67" s="80">
        <f t="shared" si="33"/>
        <v>1.4999999999999998E-2</v>
      </c>
      <c r="X67" s="192"/>
    </row>
    <row r="68" spans="1:24" ht="12.75" customHeight="1">
      <c r="A68" s="2" t="s">
        <v>412</v>
      </c>
      <c r="B68" s="35"/>
      <c r="C68" s="178">
        <v>1529.9999999999998</v>
      </c>
      <c r="D68" s="80">
        <f t="shared" si="24"/>
        <v>1.6999999999999997E-3</v>
      </c>
      <c r="E68" s="178">
        <v>1869.9999999999998</v>
      </c>
      <c r="F68" s="80">
        <f t="shared" si="25"/>
        <v>1.6999999999999997E-3</v>
      </c>
      <c r="G68" s="178">
        <v>1944.8</v>
      </c>
      <c r="H68" s="80">
        <f t="shared" si="26"/>
        <v>1.6999999999999999E-3</v>
      </c>
      <c r="I68" s="178">
        <v>2022.5919999999996</v>
      </c>
      <c r="J68" s="80">
        <f t="shared" si="27"/>
        <v>1.6999999999999997E-3</v>
      </c>
      <c r="K68" s="178">
        <v>2083.2697599999997</v>
      </c>
      <c r="L68" s="80">
        <f t="shared" si="28"/>
        <v>1.6999999999999997E-3</v>
      </c>
      <c r="M68" s="178">
        <v>2145.7678528000001</v>
      </c>
      <c r="N68" s="80">
        <f t="shared" si="29"/>
        <v>1.6999999999999999E-3</v>
      </c>
      <c r="O68" s="178">
        <v>2210.1408883839995</v>
      </c>
      <c r="P68" s="80">
        <f t="shared" si="30"/>
        <v>1.6999999999999997E-3</v>
      </c>
      <c r="Q68" s="178">
        <v>2276.4451150355198</v>
      </c>
      <c r="R68" s="80">
        <f t="shared" si="31"/>
        <v>1.6999999999999999E-3</v>
      </c>
      <c r="S68" s="178">
        <v>2344.7384684865856</v>
      </c>
      <c r="T68" s="80">
        <f t="shared" si="32"/>
        <v>1.6999999999999999E-3</v>
      </c>
      <c r="U68" s="178">
        <v>2415.0806225411829</v>
      </c>
      <c r="V68" s="80">
        <f t="shared" si="33"/>
        <v>1.6999999999999997E-3</v>
      </c>
      <c r="X68" s="192"/>
    </row>
    <row r="69" spans="1:24" ht="12.75" customHeight="1">
      <c r="A69" s="2" t="s">
        <v>413</v>
      </c>
      <c r="B69" s="35"/>
      <c r="C69" s="178">
        <v>0</v>
      </c>
      <c r="D69" s="80">
        <f t="shared" si="24"/>
        <v>0</v>
      </c>
      <c r="E69" s="178">
        <v>0</v>
      </c>
      <c r="F69" s="80">
        <f t="shared" si="25"/>
        <v>0</v>
      </c>
      <c r="G69" s="178">
        <v>0</v>
      </c>
      <c r="H69" s="80">
        <f t="shared" si="26"/>
        <v>0</v>
      </c>
      <c r="I69" s="178">
        <v>0</v>
      </c>
      <c r="J69" s="80">
        <f t="shared" si="27"/>
        <v>0</v>
      </c>
      <c r="K69" s="178">
        <v>0</v>
      </c>
      <c r="L69" s="80">
        <f t="shared" si="28"/>
        <v>0</v>
      </c>
      <c r="M69" s="178">
        <v>0</v>
      </c>
      <c r="N69" s="80">
        <f t="shared" si="29"/>
        <v>0</v>
      </c>
      <c r="O69" s="178">
        <v>0</v>
      </c>
      <c r="P69" s="80">
        <f t="shared" si="30"/>
        <v>0</v>
      </c>
      <c r="Q69" s="178">
        <v>0</v>
      </c>
      <c r="R69" s="80">
        <f t="shared" si="31"/>
        <v>0</v>
      </c>
      <c r="S69" s="178">
        <v>0</v>
      </c>
      <c r="T69" s="80">
        <f t="shared" si="32"/>
        <v>0</v>
      </c>
      <c r="U69" s="178">
        <v>0</v>
      </c>
      <c r="V69" s="80">
        <f t="shared" si="33"/>
        <v>0</v>
      </c>
      <c r="X69" s="192"/>
    </row>
    <row r="70" spans="1:24" ht="12.75" customHeight="1">
      <c r="A70" s="2" t="s">
        <v>414</v>
      </c>
      <c r="B70" s="35"/>
      <c r="C70" s="178">
        <v>90</v>
      </c>
      <c r="D70" s="80">
        <f t="shared" si="24"/>
        <v>1E-4</v>
      </c>
      <c r="E70" s="178">
        <v>110.00000000000001</v>
      </c>
      <c r="F70" s="80">
        <f t="shared" si="25"/>
        <v>1.0000000000000002E-4</v>
      </c>
      <c r="G70" s="178">
        <v>114.4</v>
      </c>
      <c r="H70" s="80">
        <f t="shared" si="26"/>
        <v>1E-4</v>
      </c>
      <c r="I70" s="178">
        <v>118.976</v>
      </c>
      <c r="J70" s="80">
        <f t="shared" si="27"/>
        <v>1E-4</v>
      </c>
      <c r="K70" s="178">
        <v>122.54527999999999</v>
      </c>
      <c r="L70" s="80">
        <f t="shared" si="28"/>
        <v>9.9999999999999991E-5</v>
      </c>
      <c r="M70" s="178">
        <v>126.22163840000002</v>
      </c>
      <c r="N70" s="80">
        <f t="shared" si="29"/>
        <v>1E-4</v>
      </c>
      <c r="O70" s="178">
        <v>130.00828755199998</v>
      </c>
      <c r="P70" s="80">
        <f t="shared" si="30"/>
        <v>9.9999999999999991E-5</v>
      </c>
      <c r="Q70" s="178">
        <v>133.90853617856001</v>
      </c>
      <c r="R70" s="80">
        <f t="shared" si="31"/>
        <v>1.0000000000000002E-4</v>
      </c>
      <c r="S70" s="178">
        <v>137.9257922639168</v>
      </c>
      <c r="T70" s="80">
        <f t="shared" si="32"/>
        <v>9.9999999999999991E-5</v>
      </c>
      <c r="U70" s="178">
        <v>142.06356603183431</v>
      </c>
      <c r="V70" s="80">
        <f t="shared" si="33"/>
        <v>9.9999999999999991E-5</v>
      </c>
      <c r="X70" s="192"/>
    </row>
    <row r="71" spans="1:24" ht="12.75" customHeight="1">
      <c r="A71" s="2" t="s">
        <v>415</v>
      </c>
      <c r="B71" s="35"/>
      <c r="C71" s="178">
        <v>0</v>
      </c>
      <c r="D71" s="80">
        <f t="shared" si="24"/>
        <v>0</v>
      </c>
      <c r="E71" s="178">
        <v>0</v>
      </c>
      <c r="F71" s="80">
        <f t="shared" si="25"/>
        <v>0</v>
      </c>
      <c r="G71" s="178">
        <v>0</v>
      </c>
      <c r="H71" s="80">
        <f t="shared" si="26"/>
        <v>0</v>
      </c>
      <c r="I71" s="178">
        <v>0</v>
      </c>
      <c r="J71" s="80">
        <f t="shared" si="27"/>
        <v>0</v>
      </c>
      <c r="K71" s="178">
        <v>0</v>
      </c>
      <c r="L71" s="80">
        <f t="shared" si="28"/>
        <v>0</v>
      </c>
      <c r="M71" s="178">
        <v>0</v>
      </c>
      <c r="N71" s="80">
        <f t="shared" si="29"/>
        <v>0</v>
      </c>
      <c r="O71" s="178">
        <v>0</v>
      </c>
      <c r="P71" s="80">
        <f t="shared" si="30"/>
        <v>0</v>
      </c>
      <c r="Q71" s="178">
        <v>0</v>
      </c>
      <c r="R71" s="80">
        <f t="shared" si="31"/>
        <v>0</v>
      </c>
      <c r="S71" s="178">
        <v>0</v>
      </c>
      <c r="T71" s="80">
        <f t="shared" si="32"/>
        <v>0</v>
      </c>
      <c r="U71" s="178">
        <v>0</v>
      </c>
      <c r="V71" s="80">
        <f t="shared" si="33"/>
        <v>0</v>
      </c>
      <c r="X71" s="192"/>
    </row>
    <row r="72" spans="1:24" ht="12.75" customHeight="1">
      <c r="A72" s="2" t="s">
        <v>416</v>
      </c>
      <c r="B72" s="35"/>
      <c r="C72" s="178">
        <v>0</v>
      </c>
      <c r="D72" s="80">
        <f t="shared" si="24"/>
        <v>0</v>
      </c>
      <c r="E72" s="178">
        <v>0</v>
      </c>
      <c r="F72" s="80">
        <f t="shared" si="25"/>
        <v>0</v>
      </c>
      <c r="G72" s="178">
        <v>0</v>
      </c>
      <c r="H72" s="80">
        <f t="shared" si="26"/>
        <v>0</v>
      </c>
      <c r="I72" s="178">
        <v>0</v>
      </c>
      <c r="J72" s="80">
        <f t="shared" si="27"/>
        <v>0</v>
      </c>
      <c r="K72" s="178">
        <v>0</v>
      </c>
      <c r="L72" s="80">
        <f t="shared" si="28"/>
        <v>0</v>
      </c>
      <c r="M72" s="178">
        <v>0</v>
      </c>
      <c r="N72" s="80">
        <f t="shared" si="29"/>
        <v>0</v>
      </c>
      <c r="O72" s="178">
        <v>0</v>
      </c>
      <c r="P72" s="80">
        <f t="shared" si="30"/>
        <v>0</v>
      </c>
      <c r="Q72" s="178">
        <v>0</v>
      </c>
      <c r="R72" s="80">
        <f t="shared" si="31"/>
        <v>0</v>
      </c>
      <c r="S72" s="178">
        <v>0</v>
      </c>
      <c r="T72" s="80">
        <f t="shared" si="32"/>
        <v>0</v>
      </c>
      <c r="U72" s="178">
        <v>0</v>
      </c>
      <c r="V72" s="80">
        <f t="shared" si="33"/>
        <v>0</v>
      </c>
      <c r="X72" s="192"/>
    </row>
    <row r="73" spans="1:24" ht="12.75" customHeight="1">
      <c r="A73" s="2" t="s">
        <v>417</v>
      </c>
      <c r="B73" s="35"/>
      <c r="C73" s="178">
        <v>0</v>
      </c>
      <c r="D73" s="80">
        <f t="shared" si="24"/>
        <v>0</v>
      </c>
      <c r="E73" s="178">
        <v>0</v>
      </c>
      <c r="F73" s="80">
        <f t="shared" si="25"/>
        <v>0</v>
      </c>
      <c r="G73" s="178">
        <v>0</v>
      </c>
      <c r="H73" s="80">
        <f t="shared" si="26"/>
        <v>0</v>
      </c>
      <c r="I73" s="178">
        <v>0</v>
      </c>
      <c r="J73" s="80">
        <f t="shared" si="27"/>
        <v>0</v>
      </c>
      <c r="K73" s="178">
        <v>0</v>
      </c>
      <c r="L73" s="80">
        <f t="shared" si="28"/>
        <v>0</v>
      </c>
      <c r="M73" s="178">
        <v>0</v>
      </c>
      <c r="N73" s="80">
        <f t="shared" si="29"/>
        <v>0</v>
      </c>
      <c r="O73" s="178">
        <v>0</v>
      </c>
      <c r="P73" s="80">
        <f t="shared" si="30"/>
        <v>0</v>
      </c>
      <c r="Q73" s="178">
        <v>0</v>
      </c>
      <c r="R73" s="80">
        <f t="shared" si="31"/>
        <v>0</v>
      </c>
      <c r="S73" s="178">
        <v>0</v>
      </c>
      <c r="T73" s="80">
        <f t="shared" si="32"/>
        <v>0</v>
      </c>
      <c r="U73" s="178">
        <v>0</v>
      </c>
      <c r="V73" s="80">
        <f t="shared" si="33"/>
        <v>0</v>
      </c>
      <c r="X73" s="192"/>
    </row>
    <row r="74" spans="1:24" ht="12.75" customHeight="1">
      <c r="A74" s="2" t="s">
        <v>418</v>
      </c>
      <c r="B74" s="35"/>
      <c r="C74" s="178">
        <v>0</v>
      </c>
      <c r="D74" s="80">
        <f t="shared" si="24"/>
        <v>0</v>
      </c>
      <c r="E74" s="178">
        <v>0</v>
      </c>
      <c r="F74" s="80">
        <f t="shared" si="25"/>
        <v>0</v>
      </c>
      <c r="G74" s="178">
        <v>0</v>
      </c>
      <c r="H74" s="80">
        <f t="shared" si="26"/>
        <v>0</v>
      </c>
      <c r="I74" s="178">
        <v>0</v>
      </c>
      <c r="J74" s="80">
        <f t="shared" si="27"/>
        <v>0</v>
      </c>
      <c r="K74" s="178">
        <v>0</v>
      </c>
      <c r="L74" s="80">
        <f t="shared" si="28"/>
        <v>0</v>
      </c>
      <c r="M74" s="178">
        <v>0</v>
      </c>
      <c r="N74" s="80">
        <f t="shared" si="29"/>
        <v>0</v>
      </c>
      <c r="O74" s="178">
        <v>0</v>
      </c>
      <c r="P74" s="80">
        <f t="shared" si="30"/>
        <v>0</v>
      </c>
      <c r="Q74" s="178">
        <v>0</v>
      </c>
      <c r="R74" s="80">
        <f t="shared" si="31"/>
        <v>0</v>
      </c>
      <c r="S74" s="178">
        <v>0</v>
      </c>
      <c r="T74" s="80">
        <f t="shared" si="32"/>
        <v>0</v>
      </c>
      <c r="U74" s="178">
        <v>0</v>
      </c>
      <c r="V74" s="80">
        <f t="shared" si="33"/>
        <v>0</v>
      </c>
      <c r="X74" s="192"/>
    </row>
    <row r="75" spans="1:24" ht="12.75" customHeight="1">
      <c r="A75" s="2" t="s">
        <v>419</v>
      </c>
      <c r="B75" s="35"/>
      <c r="C75" s="178">
        <v>4049.9999999999995</v>
      </c>
      <c r="D75" s="80">
        <f t="shared" si="24"/>
        <v>4.4999999999999997E-3</v>
      </c>
      <c r="E75" s="178">
        <v>4949.9999999999991</v>
      </c>
      <c r="F75" s="80">
        <f t="shared" si="25"/>
        <v>4.4999999999999988E-3</v>
      </c>
      <c r="G75" s="178">
        <v>5148</v>
      </c>
      <c r="H75" s="80">
        <f t="shared" si="26"/>
        <v>4.4999999999999997E-3</v>
      </c>
      <c r="I75" s="178">
        <v>5353.9199999999992</v>
      </c>
      <c r="J75" s="80">
        <f t="shared" si="27"/>
        <v>4.4999999999999997E-3</v>
      </c>
      <c r="K75" s="178">
        <v>5514.5375999999997</v>
      </c>
      <c r="L75" s="80">
        <f t="shared" si="28"/>
        <v>4.4999999999999997E-3</v>
      </c>
      <c r="M75" s="178">
        <v>5679.9737279999999</v>
      </c>
      <c r="N75" s="80">
        <f t="shared" si="29"/>
        <v>4.4999999999999997E-3</v>
      </c>
      <c r="O75" s="178">
        <v>5850.3729398399992</v>
      </c>
      <c r="P75" s="80">
        <f t="shared" si="30"/>
        <v>4.4999999999999997E-3</v>
      </c>
      <c r="Q75" s="178">
        <v>6025.8841280351999</v>
      </c>
      <c r="R75" s="80">
        <f t="shared" si="31"/>
        <v>4.4999999999999997E-3</v>
      </c>
      <c r="S75" s="178">
        <v>6206.6606518762555</v>
      </c>
      <c r="T75" s="80">
        <f t="shared" si="32"/>
        <v>4.4999999999999997E-3</v>
      </c>
      <c r="U75" s="178">
        <v>6392.8604714325438</v>
      </c>
      <c r="V75" s="80">
        <f t="shared" si="33"/>
        <v>4.4999999999999997E-3</v>
      </c>
      <c r="X75" s="192"/>
    </row>
    <row r="76" spans="1:24" ht="12.75" customHeight="1">
      <c r="A76" s="2" t="s">
        <v>420</v>
      </c>
      <c r="B76" s="35"/>
      <c r="C76" s="178">
        <v>360</v>
      </c>
      <c r="D76" s="80">
        <f t="shared" si="24"/>
        <v>4.0000000000000002E-4</v>
      </c>
      <c r="E76" s="178">
        <v>440.00000000000006</v>
      </c>
      <c r="F76" s="80">
        <f t="shared" si="25"/>
        <v>4.0000000000000007E-4</v>
      </c>
      <c r="G76" s="178">
        <v>457.6</v>
      </c>
      <c r="H76" s="80">
        <f t="shared" si="26"/>
        <v>4.0000000000000002E-4</v>
      </c>
      <c r="I76" s="178">
        <v>475.904</v>
      </c>
      <c r="J76" s="80">
        <f t="shared" si="27"/>
        <v>4.0000000000000002E-4</v>
      </c>
      <c r="K76" s="178">
        <v>490.18111999999996</v>
      </c>
      <c r="L76" s="80">
        <f t="shared" si="28"/>
        <v>3.9999999999999996E-4</v>
      </c>
      <c r="M76" s="178">
        <v>504.88655360000007</v>
      </c>
      <c r="N76" s="80">
        <f t="shared" si="29"/>
        <v>4.0000000000000002E-4</v>
      </c>
      <c r="O76" s="178">
        <v>520.03315020799994</v>
      </c>
      <c r="P76" s="80">
        <f t="shared" si="30"/>
        <v>3.9999999999999996E-4</v>
      </c>
      <c r="Q76" s="178">
        <v>535.63414471424005</v>
      </c>
      <c r="R76" s="80">
        <f t="shared" si="31"/>
        <v>4.0000000000000007E-4</v>
      </c>
      <c r="S76" s="178">
        <v>551.70316905566722</v>
      </c>
      <c r="T76" s="80">
        <f t="shared" si="32"/>
        <v>3.9999999999999996E-4</v>
      </c>
      <c r="U76" s="178">
        <v>568.25426412733725</v>
      </c>
      <c r="V76" s="80">
        <f t="shared" si="33"/>
        <v>3.9999999999999996E-4</v>
      </c>
      <c r="X76" s="192"/>
    </row>
    <row r="77" spans="1:24" ht="12.75" customHeight="1">
      <c r="A77" s="2" t="s">
        <v>421</v>
      </c>
      <c r="B77" s="35"/>
      <c r="C77" s="178">
        <v>1170</v>
      </c>
      <c r="D77" s="80">
        <f t="shared" si="24"/>
        <v>1.2999999999999999E-3</v>
      </c>
      <c r="E77" s="178">
        <v>1430</v>
      </c>
      <c r="F77" s="80">
        <f t="shared" si="25"/>
        <v>1.2999999999999999E-3</v>
      </c>
      <c r="G77" s="178">
        <v>1487.2</v>
      </c>
      <c r="H77" s="80">
        <f t="shared" si="26"/>
        <v>1.2999999999999999E-3</v>
      </c>
      <c r="I77" s="178">
        <v>1546.6879999999999</v>
      </c>
      <c r="J77" s="80">
        <f t="shared" si="27"/>
        <v>1.2999999999999999E-3</v>
      </c>
      <c r="K77" s="178">
        <v>1593.0886399999997</v>
      </c>
      <c r="L77" s="80">
        <f t="shared" si="28"/>
        <v>1.2999999999999997E-3</v>
      </c>
      <c r="M77" s="178">
        <v>1640.8812992000001</v>
      </c>
      <c r="N77" s="80">
        <f t="shared" si="29"/>
        <v>1.2999999999999999E-3</v>
      </c>
      <c r="O77" s="178">
        <v>1690.1077381759997</v>
      </c>
      <c r="P77" s="80">
        <f t="shared" si="30"/>
        <v>1.2999999999999997E-3</v>
      </c>
      <c r="Q77" s="178">
        <v>1740.8109703212797</v>
      </c>
      <c r="R77" s="80">
        <f t="shared" si="31"/>
        <v>1.2999999999999997E-3</v>
      </c>
      <c r="S77" s="178">
        <v>1793.0352994309185</v>
      </c>
      <c r="T77" s="80">
        <f t="shared" si="32"/>
        <v>1.2999999999999999E-3</v>
      </c>
      <c r="U77" s="178">
        <v>1846.826358413846</v>
      </c>
      <c r="V77" s="80">
        <f t="shared" si="33"/>
        <v>1.2999999999999999E-3</v>
      </c>
      <c r="X77" s="192"/>
    </row>
    <row r="78" spans="1:24" ht="12.75" customHeight="1">
      <c r="A78" s="2" t="s">
        <v>422</v>
      </c>
      <c r="B78" s="35"/>
      <c r="C78" s="178">
        <v>19799.999999999996</v>
      </c>
      <c r="D78" s="80">
        <f t="shared" si="24"/>
        <v>2.1999999999999995E-2</v>
      </c>
      <c r="E78" s="178">
        <v>24199.999999999996</v>
      </c>
      <c r="F78" s="80">
        <f t="shared" si="25"/>
        <v>2.1999999999999995E-2</v>
      </c>
      <c r="G78" s="178">
        <v>25168</v>
      </c>
      <c r="H78" s="80">
        <f t="shared" si="26"/>
        <v>2.1999999999999999E-2</v>
      </c>
      <c r="I78" s="178">
        <v>26174.719999999994</v>
      </c>
      <c r="J78" s="80">
        <f t="shared" si="27"/>
        <v>2.1999999999999995E-2</v>
      </c>
      <c r="K78" s="178">
        <v>26959.961599999999</v>
      </c>
      <c r="L78" s="80">
        <f t="shared" si="28"/>
        <v>2.1999999999999999E-2</v>
      </c>
      <c r="M78" s="178">
        <v>27768.760448000001</v>
      </c>
      <c r="N78" s="80">
        <f t="shared" si="29"/>
        <v>2.1999999999999999E-2</v>
      </c>
      <c r="O78" s="178">
        <v>28601.823261439997</v>
      </c>
      <c r="P78" s="80">
        <f t="shared" si="30"/>
        <v>2.1999999999999999E-2</v>
      </c>
      <c r="Q78" s="178">
        <v>29459.877959283196</v>
      </c>
      <c r="R78" s="80">
        <f t="shared" si="31"/>
        <v>2.1999999999999999E-2</v>
      </c>
      <c r="S78" s="178">
        <v>30343.674298061698</v>
      </c>
      <c r="T78" s="80">
        <f t="shared" si="32"/>
        <v>2.1999999999999999E-2</v>
      </c>
      <c r="U78" s="178">
        <v>31253.984527003548</v>
      </c>
      <c r="V78" s="80">
        <f t="shared" si="33"/>
        <v>2.1999999999999999E-2</v>
      </c>
      <c r="X78" s="192"/>
    </row>
    <row r="79" spans="1:24" ht="12.75" customHeight="1">
      <c r="A79" s="2" t="s">
        <v>423</v>
      </c>
      <c r="B79" s="35"/>
      <c r="C79" s="178">
        <v>0</v>
      </c>
      <c r="D79" s="80">
        <f t="shared" si="24"/>
        <v>0</v>
      </c>
      <c r="E79" s="178">
        <v>0</v>
      </c>
      <c r="F79" s="80">
        <f t="shared" si="25"/>
        <v>0</v>
      </c>
      <c r="G79" s="178">
        <v>0</v>
      </c>
      <c r="H79" s="80">
        <f t="shared" si="26"/>
        <v>0</v>
      </c>
      <c r="I79" s="178">
        <v>0</v>
      </c>
      <c r="J79" s="80">
        <f t="shared" si="27"/>
        <v>0</v>
      </c>
      <c r="K79" s="178">
        <v>0</v>
      </c>
      <c r="L79" s="80">
        <f t="shared" si="28"/>
        <v>0</v>
      </c>
      <c r="M79" s="178">
        <v>0</v>
      </c>
      <c r="N79" s="80">
        <f t="shared" si="29"/>
        <v>0</v>
      </c>
      <c r="O79" s="178">
        <v>0</v>
      </c>
      <c r="P79" s="80">
        <f t="shared" si="30"/>
        <v>0</v>
      </c>
      <c r="Q79" s="178">
        <v>0</v>
      </c>
      <c r="R79" s="80">
        <f t="shared" si="31"/>
        <v>0</v>
      </c>
      <c r="S79" s="178">
        <v>0</v>
      </c>
      <c r="T79" s="80">
        <f t="shared" si="32"/>
        <v>0</v>
      </c>
      <c r="U79" s="178">
        <v>0</v>
      </c>
      <c r="V79" s="80">
        <f t="shared" si="33"/>
        <v>0</v>
      </c>
      <c r="X79" s="192"/>
    </row>
    <row r="80" spans="1:24" ht="12.75" customHeight="1">
      <c r="A80" s="2" t="s">
        <v>424</v>
      </c>
      <c r="B80" s="35"/>
      <c r="C80" s="178">
        <v>0</v>
      </c>
      <c r="D80" s="80">
        <f t="shared" si="24"/>
        <v>0</v>
      </c>
      <c r="E80" s="178">
        <v>0</v>
      </c>
      <c r="F80" s="80">
        <f t="shared" si="25"/>
        <v>0</v>
      </c>
      <c r="G80" s="178">
        <v>0</v>
      </c>
      <c r="H80" s="80">
        <f t="shared" si="26"/>
        <v>0</v>
      </c>
      <c r="I80" s="178">
        <v>0</v>
      </c>
      <c r="J80" s="80">
        <f t="shared" si="27"/>
        <v>0</v>
      </c>
      <c r="K80" s="178">
        <v>0</v>
      </c>
      <c r="L80" s="80">
        <f t="shared" si="28"/>
        <v>0</v>
      </c>
      <c r="M80" s="178">
        <v>0</v>
      </c>
      <c r="N80" s="80">
        <f t="shared" si="29"/>
        <v>0</v>
      </c>
      <c r="O80" s="178">
        <v>0</v>
      </c>
      <c r="P80" s="80">
        <f t="shared" si="30"/>
        <v>0</v>
      </c>
      <c r="Q80" s="178">
        <v>0</v>
      </c>
      <c r="R80" s="80">
        <f t="shared" si="31"/>
        <v>0</v>
      </c>
      <c r="S80" s="178">
        <v>0</v>
      </c>
      <c r="T80" s="80">
        <f t="shared" si="32"/>
        <v>0</v>
      </c>
      <c r="U80" s="178">
        <v>0</v>
      </c>
      <c r="V80" s="80">
        <f t="shared" si="33"/>
        <v>0</v>
      </c>
      <c r="X80" s="192"/>
    </row>
    <row r="81" spans="1:24" ht="12.75" customHeight="1">
      <c r="A81" s="2" t="s">
        <v>425</v>
      </c>
      <c r="B81" s="35"/>
      <c r="C81" s="178">
        <v>0</v>
      </c>
      <c r="D81" s="80">
        <f t="shared" si="24"/>
        <v>0</v>
      </c>
      <c r="E81" s="178">
        <v>0</v>
      </c>
      <c r="F81" s="80">
        <f t="shared" si="25"/>
        <v>0</v>
      </c>
      <c r="G81" s="178">
        <v>0</v>
      </c>
      <c r="H81" s="80">
        <f t="shared" si="26"/>
        <v>0</v>
      </c>
      <c r="I81" s="178">
        <v>0</v>
      </c>
      <c r="J81" s="80">
        <f t="shared" si="27"/>
        <v>0</v>
      </c>
      <c r="K81" s="178">
        <v>0</v>
      </c>
      <c r="L81" s="80">
        <f t="shared" si="28"/>
        <v>0</v>
      </c>
      <c r="M81" s="178">
        <v>0</v>
      </c>
      <c r="N81" s="80">
        <f t="shared" si="29"/>
        <v>0</v>
      </c>
      <c r="O81" s="178">
        <v>0</v>
      </c>
      <c r="P81" s="80">
        <f t="shared" si="30"/>
        <v>0</v>
      </c>
      <c r="Q81" s="178">
        <v>0</v>
      </c>
      <c r="R81" s="80">
        <f t="shared" si="31"/>
        <v>0</v>
      </c>
      <c r="S81" s="178">
        <v>0</v>
      </c>
      <c r="T81" s="80">
        <f t="shared" si="32"/>
        <v>0</v>
      </c>
      <c r="U81" s="178">
        <v>0</v>
      </c>
      <c r="V81" s="80">
        <f t="shared" si="33"/>
        <v>0</v>
      </c>
      <c r="X81" s="192"/>
    </row>
    <row r="82" spans="1:24" ht="12.75" customHeight="1">
      <c r="A82" s="2" t="s">
        <v>426</v>
      </c>
      <c r="B82" s="35"/>
      <c r="C82" s="178">
        <v>0</v>
      </c>
      <c r="D82" s="80">
        <f t="shared" si="24"/>
        <v>0</v>
      </c>
      <c r="E82" s="178">
        <v>0</v>
      </c>
      <c r="F82" s="80">
        <f t="shared" si="25"/>
        <v>0</v>
      </c>
      <c r="G82" s="178">
        <v>0</v>
      </c>
      <c r="H82" s="80">
        <f t="shared" si="26"/>
        <v>0</v>
      </c>
      <c r="I82" s="178">
        <v>0</v>
      </c>
      <c r="J82" s="80">
        <f t="shared" si="27"/>
        <v>0</v>
      </c>
      <c r="K82" s="178">
        <v>0</v>
      </c>
      <c r="L82" s="80">
        <f t="shared" si="28"/>
        <v>0</v>
      </c>
      <c r="M82" s="178">
        <v>0</v>
      </c>
      <c r="N82" s="80">
        <f t="shared" si="29"/>
        <v>0</v>
      </c>
      <c r="O82" s="178">
        <v>0</v>
      </c>
      <c r="P82" s="80">
        <f t="shared" si="30"/>
        <v>0</v>
      </c>
      <c r="Q82" s="178">
        <v>0</v>
      </c>
      <c r="R82" s="80">
        <f t="shared" si="31"/>
        <v>0</v>
      </c>
      <c r="S82" s="178">
        <v>0</v>
      </c>
      <c r="T82" s="80">
        <f t="shared" si="32"/>
        <v>0</v>
      </c>
      <c r="U82" s="178">
        <v>0</v>
      </c>
      <c r="V82" s="80">
        <f t="shared" si="33"/>
        <v>0</v>
      </c>
      <c r="X82" s="192"/>
    </row>
    <row r="83" spans="1:24" ht="12.75" customHeight="1">
      <c r="A83" s="2" t="s">
        <v>427</v>
      </c>
      <c r="B83" s="35"/>
      <c r="C83" s="178">
        <v>0</v>
      </c>
      <c r="D83" s="80">
        <f t="shared" si="24"/>
        <v>0</v>
      </c>
      <c r="E83" s="178">
        <v>0</v>
      </c>
      <c r="F83" s="80">
        <f t="shared" si="25"/>
        <v>0</v>
      </c>
      <c r="G83" s="178">
        <v>0</v>
      </c>
      <c r="H83" s="80">
        <f t="shared" si="26"/>
        <v>0</v>
      </c>
      <c r="I83" s="178">
        <v>0</v>
      </c>
      <c r="J83" s="80">
        <f t="shared" si="27"/>
        <v>0</v>
      </c>
      <c r="K83" s="178">
        <v>0</v>
      </c>
      <c r="L83" s="80">
        <f t="shared" si="28"/>
        <v>0</v>
      </c>
      <c r="M83" s="178">
        <v>0</v>
      </c>
      <c r="N83" s="80">
        <f t="shared" si="29"/>
        <v>0</v>
      </c>
      <c r="O83" s="178">
        <v>0</v>
      </c>
      <c r="P83" s="80">
        <f t="shared" si="30"/>
        <v>0</v>
      </c>
      <c r="Q83" s="178">
        <v>0</v>
      </c>
      <c r="R83" s="80">
        <f t="shared" si="31"/>
        <v>0</v>
      </c>
      <c r="S83" s="178">
        <v>0</v>
      </c>
      <c r="T83" s="80">
        <f t="shared" si="32"/>
        <v>0</v>
      </c>
      <c r="U83" s="178">
        <v>0</v>
      </c>
      <c r="V83" s="80">
        <f t="shared" si="33"/>
        <v>0</v>
      </c>
      <c r="X83" s="192"/>
    </row>
    <row r="84" spans="1:24" ht="12.75" customHeight="1">
      <c r="A84" s="2" t="s">
        <v>428</v>
      </c>
      <c r="B84" s="35"/>
      <c r="C84" s="178">
        <v>0</v>
      </c>
      <c r="D84" s="80">
        <f t="shared" si="24"/>
        <v>0</v>
      </c>
      <c r="E84" s="178">
        <v>0</v>
      </c>
      <c r="F84" s="80">
        <f t="shared" si="25"/>
        <v>0</v>
      </c>
      <c r="G84" s="178">
        <v>0</v>
      </c>
      <c r="H84" s="80">
        <f t="shared" si="26"/>
        <v>0</v>
      </c>
      <c r="I84" s="178">
        <v>0</v>
      </c>
      <c r="J84" s="80">
        <f t="shared" si="27"/>
        <v>0</v>
      </c>
      <c r="K84" s="178">
        <v>0</v>
      </c>
      <c r="L84" s="80">
        <f t="shared" si="28"/>
        <v>0</v>
      </c>
      <c r="M84" s="178">
        <v>0</v>
      </c>
      <c r="N84" s="80">
        <f t="shared" si="29"/>
        <v>0</v>
      </c>
      <c r="O84" s="178">
        <v>0</v>
      </c>
      <c r="P84" s="80">
        <f t="shared" si="30"/>
        <v>0</v>
      </c>
      <c r="Q84" s="178">
        <v>0</v>
      </c>
      <c r="R84" s="80">
        <f t="shared" si="31"/>
        <v>0</v>
      </c>
      <c r="S84" s="178">
        <v>0</v>
      </c>
      <c r="T84" s="80">
        <f t="shared" si="32"/>
        <v>0</v>
      </c>
      <c r="U84" s="178">
        <v>0</v>
      </c>
      <c r="V84" s="80">
        <f t="shared" si="33"/>
        <v>0</v>
      </c>
      <c r="X84" s="192"/>
    </row>
    <row r="85" spans="1:24" ht="12.75" customHeight="1">
      <c r="A85" s="2" t="s">
        <v>429</v>
      </c>
      <c r="B85" s="35"/>
      <c r="C85" s="178">
        <v>0</v>
      </c>
      <c r="D85" s="80">
        <f t="shared" si="24"/>
        <v>0</v>
      </c>
      <c r="E85" s="178">
        <v>0</v>
      </c>
      <c r="F85" s="80">
        <f t="shared" si="25"/>
        <v>0</v>
      </c>
      <c r="G85" s="178">
        <v>0</v>
      </c>
      <c r="H85" s="80">
        <f t="shared" si="26"/>
        <v>0</v>
      </c>
      <c r="I85" s="178">
        <v>0</v>
      </c>
      <c r="J85" s="80">
        <f t="shared" si="27"/>
        <v>0</v>
      </c>
      <c r="K85" s="178">
        <v>0</v>
      </c>
      <c r="L85" s="80">
        <f t="shared" si="28"/>
        <v>0</v>
      </c>
      <c r="M85" s="178">
        <v>0</v>
      </c>
      <c r="N85" s="80">
        <f t="shared" si="29"/>
        <v>0</v>
      </c>
      <c r="O85" s="178">
        <v>0</v>
      </c>
      <c r="P85" s="80">
        <f t="shared" si="30"/>
        <v>0</v>
      </c>
      <c r="Q85" s="178">
        <v>0</v>
      </c>
      <c r="R85" s="80">
        <f t="shared" si="31"/>
        <v>0</v>
      </c>
      <c r="S85" s="178">
        <v>0</v>
      </c>
      <c r="T85" s="80">
        <f t="shared" si="32"/>
        <v>0</v>
      </c>
      <c r="U85" s="178">
        <v>0</v>
      </c>
      <c r="V85" s="80">
        <f t="shared" si="33"/>
        <v>0</v>
      </c>
      <c r="X85" s="192"/>
    </row>
    <row r="86" spans="1:24" ht="12.75" customHeight="1">
      <c r="A86" s="2" t="s">
        <v>430</v>
      </c>
      <c r="B86" s="35"/>
      <c r="C86" s="178">
        <v>3600</v>
      </c>
      <c r="D86" s="80">
        <f t="shared" si="24"/>
        <v>4.0000000000000001E-3</v>
      </c>
      <c r="E86" s="178">
        <v>4400</v>
      </c>
      <c r="F86" s="80">
        <f t="shared" si="25"/>
        <v>4.0000000000000001E-3</v>
      </c>
      <c r="G86" s="178">
        <v>4576</v>
      </c>
      <c r="H86" s="80">
        <f t="shared" si="26"/>
        <v>4.0000000000000001E-3</v>
      </c>
      <c r="I86" s="178">
        <v>4759.04</v>
      </c>
      <c r="J86" s="80">
        <f t="shared" si="27"/>
        <v>4.0000000000000001E-3</v>
      </c>
      <c r="K86" s="178">
        <v>4901.8112000000001</v>
      </c>
      <c r="L86" s="80">
        <f t="shared" si="28"/>
        <v>4.0000000000000001E-3</v>
      </c>
      <c r="M86" s="178">
        <v>5048.8655360000002</v>
      </c>
      <c r="N86" s="80">
        <f t="shared" si="29"/>
        <v>4.0000000000000001E-3</v>
      </c>
      <c r="O86" s="178">
        <v>5200.3315020800001</v>
      </c>
      <c r="P86" s="80">
        <f t="shared" si="30"/>
        <v>4.0000000000000001E-3</v>
      </c>
      <c r="Q86" s="178">
        <v>5356.3414471424003</v>
      </c>
      <c r="R86" s="80">
        <f t="shared" si="31"/>
        <v>4.0000000000000001E-3</v>
      </c>
      <c r="S86" s="178">
        <v>5517.0316905566715</v>
      </c>
      <c r="T86" s="80">
        <f t="shared" si="32"/>
        <v>3.9999999999999992E-3</v>
      </c>
      <c r="U86" s="178">
        <v>5682.5426412733723</v>
      </c>
      <c r="V86" s="80">
        <f t="shared" si="33"/>
        <v>3.9999999999999992E-3</v>
      </c>
      <c r="X86" s="192"/>
    </row>
    <row r="87" spans="1:24" ht="12.75" customHeight="1">
      <c r="A87" s="2" t="s">
        <v>431</v>
      </c>
      <c r="B87" s="35"/>
      <c r="C87" s="178">
        <v>0</v>
      </c>
      <c r="D87" s="80">
        <f t="shared" si="24"/>
        <v>0</v>
      </c>
      <c r="E87" s="178">
        <v>0</v>
      </c>
      <c r="F87" s="80">
        <f t="shared" si="25"/>
        <v>0</v>
      </c>
      <c r="G87" s="178">
        <v>0</v>
      </c>
      <c r="H87" s="80">
        <f t="shared" si="26"/>
        <v>0</v>
      </c>
      <c r="I87" s="178">
        <v>0</v>
      </c>
      <c r="J87" s="80">
        <f t="shared" si="27"/>
        <v>0</v>
      </c>
      <c r="K87" s="178">
        <v>0</v>
      </c>
      <c r="L87" s="80">
        <f t="shared" si="28"/>
        <v>0</v>
      </c>
      <c r="M87" s="178">
        <v>0</v>
      </c>
      <c r="N87" s="80">
        <f t="shared" si="29"/>
        <v>0</v>
      </c>
      <c r="O87" s="178">
        <v>0</v>
      </c>
      <c r="P87" s="80">
        <f t="shared" si="30"/>
        <v>0</v>
      </c>
      <c r="Q87" s="178">
        <v>0</v>
      </c>
      <c r="R87" s="80">
        <f t="shared" si="31"/>
        <v>0</v>
      </c>
      <c r="S87" s="178">
        <v>0</v>
      </c>
      <c r="T87" s="80">
        <f t="shared" si="32"/>
        <v>0</v>
      </c>
      <c r="U87" s="178">
        <v>0</v>
      </c>
      <c r="V87" s="80">
        <f t="shared" si="33"/>
        <v>0</v>
      </c>
      <c r="X87" s="192"/>
    </row>
    <row r="88" spans="1:24" ht="12.75" customHeight="1">
      <c r="A88" s="2" t="s">
        <v>432</v>
      </c>
      <c r="B88" s="35"/>
      <c r="C88" s="178">
        <v>4590</v>
      </c>
      <c r="D88" s="80">
        <f t="shared" si="24"/>
        <v>5.1000000000000004E-3</v>
      </c>
      <c r="E88" s="178">
        <v>5610</v>
      </c>
      <c r="F88" s="80">
        <f t="shared" si="25"/>
        <v>5.1000000000000004E-3</v>
      </c>
      <c r="G88" s="178">
        <v>5834.4000000000005</v>
      </c>
      <c r="H88" s="80">
        <f t="shared" si="26"/>
        <v>5.1000000000000004E-3</v>
      </c>
      <c r="I88" s="178">
        <v>6067.7759999999998</v>
      </c>
      <c r="J88" s="80">
        <f t="shared" si="27"/>
        <v>5.0999999999999995E-3</v>
      </c>
      <c r="K88" s="178">
        <v>6249.8092800000004</v>
      </c>
      <c r="L88" s="80">
        <f t="shared" si="28"/>
        <v>5.1000000000000004E-3</v>
      </c>
      <c r="M88" s="178">
        <v>6437.3035584000008</v>
      </c>
      <c r="N88" s="80">
        <f t="shared" si="29"/>
        <v>5.1000000000000004E-3</v>
      </c>
      <c r="O88" s="178">
        <v>6630.4226651519994</v>
      </c>
      <c r="P88" s="80">
        <f t="shared" si="30"/>
        <v>5.0999999999999995E-3</v>
      </c>
      <c r="Q88" s="178">
        <v>6829.3353451065605</v>
      </c>
      <c r="R88" s="80">
        <f t="shared" si="31"/>
        <v>5.1000000000000004E-3</v>
      </c>
      <c r="S88" s="178">
        <v>7034.2154054597577</v>
      </c>
      <c r="T88" s="80">
        <f t="shared" si="32"/>
        <v>5.1000000000000004E-3</v>
      </c>
      <c r="U88" s="178">
        <v>7245.2418676235502</v>
      </c>
      <c r="V88" s="80">
        <f t="shared" si="33"/>
        <v>5.0999999999999995E-3</v>
      </c>
      <c r="X88" s="192"/>
    </row>
    <row r="89" spans="1:24" ht="12.75" customHeight="1">
      <c r="A89" s="2" t="s">
        <v>433</v>
      </c>
      <c r="B89" s="35"/>
      <c r="C89" s="178">
        <v>0</v>
      </c>
      <c r="D89" s="80">
        <f t="shared" si="24"/>
        <v>0</v>
      </c>
      <c r="E89" s="178">
        <v>0</v>
      </c>
      <c r="F89" s="80">
        <f t="shared" si="25"/>
        <v>0</v>
      </c>
      <c r="G89" s="178">
        <v>0</v>
      </c>
      <c r="H89" s="80">
        <f t="shared" si="26"/>
        <v>0</v>
      </c>
      <c r="I89" s="178">
        <v>0</v>
      </c>
      <c r="J89" s="80">
        <f t="shared" si="27"/>
        <v>0</v>
      </c>
      <c r="K89" s="178">
        <v>0</v>
      </c>
      <c r="L89" s="80">
        <f t="shared" si="28"/>
        <v>0</v>
      </c>
      <c r="M89" s="178">
        <v>0</v>
      </c>
      <c r="N89" s="80">
        <f t="shared" si="29"/>
        <v>0</v>
      </c>
      <c r="O89" s="178">
        <v>0</v>
      </c>
      <c r="P89" s="80">
        <f t="shared" si="30"/>
        <v>0</v>
      </c>
      <c r="Q89" s="178">
        <v>0</v>
      </c>
      <c r="R89" s="80">
        <f t="shared" si="31"/>
        <v>0</v>
      </c>
      <c r="S89" s="178">
        <v>0</v>
      </c>
      <c r="T89" s="80">
        <f t="shared" si="32"/>
        <v>0</v>
      </c>
      <c r="U89" s="178">
        <v>0</v>
      </c>
      <c r="V89" s="80">
        <f t="shared" si="33"/>
        <v>0</v>
      </c>
      <c r="X89" s="192"/>
    </row>
    <row r="90" spans="1:24" ht="12.75" customHeight="1">
      <c r="A90" s="2" t="s">
        <v>434</v>
      </c>
      <c r="B90" s="35"/>
      <c r="C90" s="178">
        <v>180</v>
      </c>
      <c r="D90" s="80">
        <f t="shared" si="24"/>
        <v>2.0000000000000001E-4</v>
      </c>
      <c r="E90" s="178">
        <v>220.00000000000003</v>
      </c>
      <c r="F90" s="80">
        <f t="shared" si="25"/>
        <v>2.0000000000000004E-4</v>
      </c>
      <c r="G90" s="178">
        <v>228.8</v>
      </c>
      <c r="H90" s="80">
        <f t="shared" si="26"/>
        <v>2.0000000000000001E-4</v>
      </c>
      <c r="I90" s="178">
        <v>237.952</v>
      </c>
      <c r="J90" s="80">
        <f t="shared" si="27"/>
        <v>2.0000000000000001E-4</v>
      </c>
      <c r="K90" s="178">
        <v>245.09055999999998</v>
      </c>
      <c r="L90" s="80">
        <f t="shared" si="28"/>
        <v>1.9999999999999998E-4</v>
      </c>
      <c r="M90" s="178">
        <v>252.44327680000004</v>
      </c>
      <c r="N90" s="80">
        <f t="shared" si="29"/>
        <v>2.0000000000000001E-4</v>
      </c>
      <c r="O90" s="178">
        <v>260.01657510399997</v>
      </c>
      <c r="P90" s="80">
        <f t="shared" si="30"/>
        <v>1.9999999999999998E-4</v>
      </c>
      <c r="Q90" s="178">
        <v>267.81707235712003</v>
      </c>
      <c r="R90" s="80">
        <f t="shared" si="31"/>
        <v>2.0000000000000004E-4</v>
      </c>
      <c r="S90" s="178">
        <v>275.85158452783361</v>
      </c>
      <c r="T90" s="80">
        <f t="shared" si="32"/>
        <v>1.9999999999999998E-4</v>
      </c>
      <c r="U90" s="178">
        <v>284.12713206366863</v>
      </c>
      <c r="V90" s="80">
        <f t="shared" si="33"/>
        <v>1.9999999999999998E-4</v>
      </c>
      <c r="X90" s="192"/>
    </row>
    <row r="91" spans="1:24" ht="12.75" customHeight="1">
      <c r="A91" s="2" t="s">
        <v>435</v>
      </c>
      <c r="C91" s="178">
        <v>0</v>
      </c>
      <c r="D91" s="80">
        <f t="shared" si="24"/>
        <v>0</v>
      </c>
      <c r="E91" s="178">
        <v>0</v>
      </c>
      <c r="F91" s="80">
        <f t="shared" si="25"/>
        <v>0</v>
      </c>
      <c r="G91" s="178">
        <v>0</v>
      </c>
      <c r="H91" s="80">
        <f t="shared" si="26"/>
        <v>0</v>
      </c>
      <c r="I91" s="178">
        <v>0</v>
      </c>
      <c r="J91" s="80">
        <f t="shared" si="27"/>
        <v>0</v>
      </c>
      <c r="K91" s="178">
        <v>0</v>
      </c>
      <c r="L91" s="80">
        <f t="shared" si="28"/>
        <v>0</v>
      </c>
      <c r="M91" s="178">
        <v>0</v>
      </c>
      <c r="N91" s="80">
        <f t="shared" si="29"/>
        <v>0</v>
      </c>
      <c r="O91" s="178">
        <v>0</v>
      </c>
      <c r="P91" s="80">
        <f t="shared" si="30"/>
        <v>0</v>
      </c>
      <c r="Q91" s="178">
        <v>0</v>
      </c>
      <c r="R91" s="80">
        <f t="shared" si="31"/>
        <v>0</v>
      </c>
      <c r="S91" s="178">
        <v>0</v>
      </c>
      <c r="T91" s="80">
        <f t="shared" si="32"/>
        <v>0</v>
      </c>
      <c r="U91" s="178">
        <v>0</v>
      </c>
      <c r="V91" s="80">
        <f t="shared" si="33"/>
        <v>0</v>
      </c>
      <c r="X91" s="192"/>
    </row>
    <row r="92" spans="1:24" ht="12.75" customHeight="1">
      <c r="A92" s="2" t="s">
        <v>436</v>
      </c>
      <c r="B92" s="35"/>
      <c r="C92" s="178">
        <v>4680</v>
      </c>
      <c r="D92" s="80">
        <f t="shared" si="24"/>
        <v>5.1999999999999998E-3</v>
      </c>
      <c r="E92" s="178">
        <v>5720</v>
      </c>
      <c r="F92" s="80">
        <f t="shared" si="25"/>
        <v>5.1999999999999998E-3</v>
      </c>
      <c r="G92" s="178">
        <v>5948.8</v>
      </c>
      <c r="H92" s="80">
        <f t="shared" si="26"/>
        <v>5.1999999999999998E-3</v>
      </c>
      <c r="I92" s="178">
        <v>6186.7519999999995</v>
      </c>
      <c r="J92" s="80">
        <f t="shared" si="27"/>
        <v>5.1999999999999998E-3</v>
      </c>
      <c r="K92" s="178">
        <v>6372.3545599999989</v>
      </c>
      <c r="L92" s="80">
        <f t="shared" si="28"/>
        <v>5.1999999999999989E-3</v>
      </c>
      <c r="M92" s="178">
        <v>6563.5251968000002</v>
      </c>
      <c r="N92" s="80">
        <f t="shared" si="29"/>
        <v>5.1999999999999998E-3</v>
      </c>
      <c r="O92" s="178">
        <v>6760.4309527039986</v>
      </c>
      <c r="P92" s="80">
        <f t="shared" si="30"/>
        <v>5.1999999999999989E-3</v>
      </c>
      <c r="Q92" s="178">
        <v>6963.2438812851187</v>
      </c>
      <c r="R92" s="80">
        <f t="shared" si="31"/>
        <v>5.1999999999999989E-3</v>
      </c>
      <c r="S92" s="178">
        <v>7172.1411977236739</v>
      </c>
      <c r="T92" s="80">
        <f t="shared" si="32"/>
        <v>5.1999999999999998E-3</v>
      </c>
      <c r="U92" s="178">
        <v>7387.3054336553841</v>
      </c>
      <c r="V92" s="80">
        <f t="shared" si="33"/>
        <v>5.1999999999999998E-3</v>
      </c>
      <c r="X92" s="192"/>
    </row>
    <row r="93" spans="1:24" ht="12.75" customHeight="1">
      <c r="A93" s="2" t="s">
        <v>437</v>
      </c>
      <c r="B93" s="35"/>
      <c r="C93" s="178">
        <v>0</v>
      </c>
      <c r="D93" s="80">
        <f t="shared" si="24"/>
        <v>0</v>
      </c>
      <c r="E93" s="178">
        <v>0</v>
      </c>
      <c r="F93" s="80">
        <f t="shared" si="25"/>
        <v>0</v>
      </c>
      <c r="G93" s="178">
        <v>0</v>
      </c>
      <c r="H93" s="80">
        <f t="shared" si="26"/>
        <v>0</v>
      </c>
      <c r="I93" s="178">
        <v>0</v>
      </c>
      <c r="J93" s="80">
        <f t="shared" si="27"/>
        <v>0</v>
      </c>
      <c r="K93" s="178">
        <v>0</v>
      </c>
      <c r="L93" s="80">
        <f t="shared" si="28"/>
        <v>0</v>
      </c>
      <c r="M93" s="178">
        <v>0</v>
      </c>
      <c r="N93" s="80">
        <f t="shared" si="29"/>
        <v>0</v>
      </c>
      <c r="O93" s="178">
        <v>0</v>
      </c>
      <c r="P93" s="80">
        <f t="shared" si="30"/>
        <v>0</v>
      </c>
      <c r="Q93" s="178">
        <v>0</v>
      </c>
      <c r="R93" s="80">
        <f t="shared" si="31"/>
        <v>0</v>
      </c>
      <c r="S93" s="178">
        <v>0</v>
      </c>
      <c r="T93" s="80">
        <f t="shared" si="32"/>
        <v>0</v>
      </c>
      <c r="U93" s="178">
        <v>0</v>
      </c>
      <c r="V93" s="80">
        <f t="shared" si="33"/>
        <v>0</v>
      </c>
      <c r="X93" s="192"/>
    </row>
    <row r="94" spans="1:24" ht="12.75" customHeight="1">
      <c r="A94" s="2" t="s">
        <v>438</v>
      </c>
      <c r="B94" s="35"/>
      <c r="C94" s="178">
        <v>0</v>
      </c>
      <c r="D94" s="80">
        <f t="shared" si="24"/>
        <v>0</v>
      </c>
      <c r="E94" s="178">
        <v>0</v>
      </c>
      <c r="F94" s="80">
        <f t="shared" si="25"/>
        <v>0</v>
      </c>
      <c r="G94" s="178">
        <v>0</v>
      </c>
      <c r="H94" s="80">
        <f t="shared" si="26"/>
        <v>0</v>
      </c>
      <c r="I94" s="178">
        <v>0</v>
      </c>
      <c r="J94" s="80">
        <f t="shared" si="27"/>
        <v>0</v>
      </c>
      <c r="K94" s="178">
        <v>0</v>
      </c>
      <c r="L94" s="80">
        <f t="shared" si="28"/>
        <v>0</v>
      </c>
      <c r="M94" s="178">
        <v>0</v>
      </c>
      <c r="N94" s="80">
        <f t="shared" si="29"/>
        <v>0</v>
      </c>
      <c r="O94" s="178">
        <v>0</v>
      </c>
      <c r="P94" s="80">
        <f t="shared" si="30"/>
        <v>0</v>
      </c>
      <c r="Q94" s="178">
        <v>0</v>
      </c>
      <c r="R94" s="80">
        <f t="shared" si="31"/>
        <v>0</v>
      </c>
      <c r="S94" s="178">
        <v>0</v>
      </c>
      <c r="T94" s="80">
        <f t="shared" si="32"/>
        <v>0</v>
      </c>
      <c r="U94" s="178">
        <v>0</v>
      </c>
      <c r="V94" s="80">
        <f t="shared" si="33"/>
        <v>0</v>
      </c>
      <c r="X94" s="192"/>
    </row>
    <row r="95" spans="1:24" ht="12.75" customHeight="1">
      <c r="A95" s="2" t="s">
        <v>439</v>
      </c>
      <c r="B95" s="35"/>
      <c r="C95" s="178">
        <v>0</v>
      </c>
      <c r="D95" s="80">
        <f t="shared" si="24"/>
        <v>0</v>
      </c>
      <c r="E95" s="178">
        <v>0</v>
      </c>
      <c r="F95" s="80">
        <f t="shared" si="25"/>
        <v>0</v>
      </c>
      <c r="G95" s="178">
        <v>0</v>
      </c>
      <c r="H95" s="80">
        <f t="shared" si="26"/>
        <v>0</v>
      </c>
      <c r="I95" s="178">
        <v>0</v>
      </c>
      <c r="J95" s="80">
        <f t="shared" si="27"/>
        <v>0</v>
      </c>
      <c r="K95" s="178">
        <v>0</v>
      </c>
      <c r="L95" s="80">
        <f t="shared" si="28"/>
        <v>0</v>
      </c>
      <c r="M95" s="178">
        <v>0</v>
      </c>
      <c r="N95" s="80">
        <f t="shared" si="29"/>
        <v>0</v>
      </c>
      <c r="O95" s="178">
        <v>0</v>
      </c>
      <c r="P95" s="80">
        <f t="shared" si="30"/>
        <v>0</v>
      </c>
      <c r="Q95" s="178">
        <v>0</v>
      </c>
      <c r="R95" s="80">
        <f t="shared" si="31"/>
        <v>0</v>
      </c>
      <c r="S95" s="178">
        <v>0</v>
      </c>
      <c r="T95" s="80">
        <f t="shared" si="32"/>
        <v>0</v>
      </c>
      <c r="U95" s="178">
        <v>0</v>
      </c>
      <c r="V95" s="80">
        <f t="shared" si="33"/>
        <v>0</v>
      </c>
      <c r="X95" s="192"/>
    </row>
    <row r="96" spans="1:24" ht="12.75" customHeight="1">
      <c r="A96" s="2" t="s">
        <v>440</v>
      </c>
      <c r="B96" s="35"/>
      <c r="C96" s="178">
        <v>0</v>
      </c>
      <c r="D96" s="80">
        <f t="shared" si="24"/>
        <v>0</v>
      </c>
      <c r="E96" s="178">
        <v>0</v>
      </c>
      <c r="F96" s="80">
        <f t="shared" si="25"/>
        <v>0</v>
      </c>
      <c r="G96" s="178">
        <v>0</v>
      </c>
      <c r="H96" s="80">
        <f t="shared" si="26"/>
        <v>0</v>
      </c>
      <c r="I96" s="178">
        <v>0</v>
      </c>
      <c r="J96" s="80">
        <f t="shared" si="27"/>
        <v>0</v>
      </c>
      <c r="K96" s="178">
        <v>0</v>
      </c>
      <c r="L96" s="80">
        <f t="shared" si="28"/>
        <v>0</v>
      </c>
      <c r="M96" s="178">
        <v>0</v>
      </c>
      <c r="N96" s="80">
        <f t="shared" si="29"/>
        <v>0</v>
      </c>
      <c r="O96" s="178">
        <v>0</v>
      </c>
      <c r="P96" s="80">
        <f t="shared" si="30"/>
        <v>0</v>
      </c>
      <c r="Q96" s="178">
        <v>0</v>
      </c>
      <c r="R96" s="80">
        <f t="shared" si="31"/>
        <v>0</v>
      </c>
      <c r="S96" s="178">
        <v>0</v>
      </c>
      <c r="T96" s="80">
        <f t="shared" si="32"/>
        <v>0</v>
      </c>
      <c r="U96" s="178">
        <v>0</v>
      </c>
      <c r="V96" s="80">
        <f t="shared" si="33"/>
        <v>0</v>
      </c>
      <c r="X96" s="192"/>
    </row>
    <row r="97" spans="1:24" ht="12.75" customHeight="1">
      <c r="A97" s="2" t="s">
        <v>441</v>
      </c>
      <c r="B97" s="35"/>
      <c r="C97" s="178">
        <v>6023.1608999999999</v>
      </c>
      <c r="D97" s="80">
        <f t="shared" si="24"/>
        <v>6.6924009999999997E-3</v>
      </c>
      <c r="E97" s="178">
        <v>6697.7549208000009</v>
      </c>
      <c r="F97" s="80">
        <f t="shared" si="25"/>
        <v>6.0888681098181831E-3</v>
      </c>
      <c r="G97" s="178">
        <v>6932.1763430279998</v>
      </c>
      <c r="H97" s="80">
        <f t="shared" si="26"/>
        <v>6.0595947054440553E-3</v>
      </c>
      <c r="I97" s="178">
        <v>7154.0059860048959</v>
      </c>
      <c r="J97" s="80">
        <f t="shared" si="27"/>
        <v>6.012982438479102E-3</v>
      </c>
      <c r="K97" s="178">
        <v>7332.8561356550172</v>
      </c>
      <c r="L97" s="80">
        <f t="shared" si="28"/>
        <v>5.9837932033408522E-3</v>
      </c>
      <c r="M97" s="178">
        <v>7516.1775390463918</v>
      </c>
      <c r="N97" s="80">
        <f t="shared" si="29"/>
        <v>5.9547456635188085E-3</v>
      </c>
      <c r="O97" s="178">
        <v>7704.0819775225518</v>
      </c>
      <c r="P97" s="80">
        <f t="shared" si="30"/>
        <v>5.9258391311716304E-3</v>
      </c>
      <c r="Q97" s="178">
        <v>7896.6840269606137</v>
      </c>
      <c r="R97" s="80">
        <f t="shared" si="31"/>
        <v>5.89707292179701E-3</v>
      </c>
      <c r="S97" s="178">
        <v>8094.1011276346289</v>
      </c>
      <c r="T97" s="80">
        <f t="shared" si="32"/>
        <v>5.8684463542154697E-3</v>
      </c>
      <c r="U97" s="178">
        <v>8296.4536558254931</v>
      </c>
      <c r="V97" s="80">
        <f t="shared" si="33"/>
        <v>5.8399587505542283E-3</v>
      </c>
      <c r="X97" s="192"/>
    </row>
    <row r="98" spans="1:24" ht="12.75" customHeight="1">
      <c r="A98" s="117" t="s">
        <v>444</v>
      </c>
      <c r="B98" s="35"/>
      <c r="C98" s="178">
        <v>1079.9999999999998</v>
      </c>
      <c r="D98" s="80">
        <f t="shared" si="24"/>
        <v>1.1999999999999997E-3</v>
      </c>
      <c r="E98" s="178">
        <v>1319.9999999999998</v>
      </c>
      <c r="F98" s="80">
        <f t="shared" si="25"/>
        <v>1.1999999999999999E-3</v>
      </c>
      <c r="G98" s="178">
        <v>1372.8</v>
      </c>
      <c r="H98" s="80">
        <f t="shared" si="26"/>
        <v>1.1999999999999999E-3</v>
      </c>
      <c r="I98" s="178">
        <v>1427.7119999999995</v>
      </c>
      <c r="J98" s="80">
        <f t="shared" si="27"/>
        <v>1.1999999999999997E-3</v>
      </c>
      <c r="K98" s="178">
        <v>1470.5433599999999</v>
      </c>
      <c r="L98" s="80">
        <f t="shared" si="28"/>
        <v>1.1999999999999999E-3</v>
      </c>
      <c r="M98" s="178">
        <v>1514.6596608</v>
      </c>
      <c r="N98" s="80">
        <f t="shared" si="29"/>
        <v>1.1999999999999999E-3</v>
      </c>
      <c r="O98" s="178">
        <v>1560.0994506239997</v>
      </c>
      <c r="P98" s="80">
        <f t="shared" si="30"/>
        <v>1.1999999999999997E-3</v>
      </c>
      <c r="Q98" s="178">
        <v>1606.9024341427196</v>
      </c>
      <c r="R98" s="80">
        <f t="shared" si="31"/>
        <v>1.1999999999999997E-3</v>
      </c>
      <c r="S98" s="178">
        <v>1655.1095071670015</v>
      </c>
      <c r="T98" s="80">
        <f t="shared" si="32"/>
        <v>1.1999999999999999E-3</v>
      </c>
      <c r="U98" s="178">
        <v>1704.7627923820116</v>
      </c>
      <c r="V98" s="80">
        <f t="shared" si="33"/>
        <v>1.1999999999999999E-3</v>
      </c>
      <c r="X98" s="192"/>
    </row>
    <row r="99" spans="1:24" ht="12.75" customHeight="1">
      <c r="A99" s="117" t="s">
        <v>444</v>
      </c>
      <c r="B99" s="35"/>
      <c r="C99" s="178">
        <v>0</v>
      </c>
      <c r="D99" s="80">
        <f t="shared" si="24"/>
        <v>0</v>
      </c>
      <c r="E99" s="178">
        <v>0</v>
      </c>
      <c r="F99" s="80">
        <f t="shared" si="25"/>
        <v>0</v>
      </c>
      <c r="G99" s="178">
        <v>0</v>
      </c>
      <c r="H99" s="80">
        <f t="shared" si="26"/>
        <v>0</v>
      </c>
      <c r="I99" s="178">
        <v>0</v>
      </c>
      <c r="J99" s="80">
        <f t="shared" si="27"/>
        <v>0</v>
      </c>
      <c r="K99" s="178">
        <v>0</v>
      </c>
      <c r="L99" s="80">
        <f t="shared" si="28"/>
        <v>0</v>
      </c>
      <c r="M99" s="178">
        <v>0</v>
      </c>
      <c r="N99" s="80">
        <f t="shared" si="29"/>
        <v>0</v>
      </c>
      <c r="O99" s="178">
        <v>0</v>
      </c>
      <c r="P99" s="80">
        <f t="shared" si="30"/>
        <v>0</v>
      </c>
      <c r="Q99" s="178">
        <v>0</v>
      </c>
      <c r="R99" s="80">
        <f t="shared" si="31"/>
        <v>0</v>
      </c>
      <c r="S99" s="178">
        <v>0</v>
      </c>
      <c r="T99" s="80">
        <f t="shared" si="32"/>
        <v>0</v>
      </c>
      <c r="U99" s="178">
        <v>0</v>
      </c>
      <c r="V99" s="80">
        <f t="shared" si="33"/>
        <v>0</v>
      </c>
      <c r="X99" s="192"/>
    </row>
    <row r="100" spans="1:24" ht="12.75" customHeight="1">
      <c r="A100" s="117" t="s">
        <v>444</v>
      </c>
      <c r="B100" s="35"/>
      <c r="C100" s="178">
        <v>0</v>
      </c>
      <c r="D100" s="80">
        <f t="shared" si="24"/>
        <v>0</v>
      </c>
      <c r="E100" s="178">
        <v>0</v>
      </c>
      <c r="F100" s="80">
        <f t="shared" si="25"/>
        <v>0</v>
      </c>
      <c r="G100" s="178">
        <v>0</v>
      </c>
      <c r="H100" s="80">
        <f t="shared" si="26"/>
        <v>0</v>
      </c>
      <c r="I100" s="178">
        <v>0</v>
      </c>
      <c r="J100" s="80">
        <f t="shared" si="27"/>
        <v>0</v>
      </c>
      <c r="K100" s="178">
        <v>0</v>
      </c>
      <c r="L100" s="80">
        <f t="shared" si="28"/>
        <v>0</v>
      </c>
      <c r="M100" s="178">
        <v>0</v>
      </c>
      <c r="N100" s="80">
        <f t="shared" si="29"/>
        <v>0</v>
      </c>
      <c r="O100" s="178">
        <v>0</v>
      </c>
      <c r="P100" s="80">
        <f t="shared" si="30"/>
        <v>0</v>
      </c>
      <c r="Q100" s="178">
        <v>0</v>
      </c>
      <c r="R100" s="80">
        <f t="shared" si="31"/>
        <v>0</v>
      </c>
      <c r="S100" s="178">
        <v>0</v>
      </c>
      <c r="T100" s="80">
        <f t="shared" si="32"/>
        <v>0</v>
      </c>
      <c r="U100" s="178">
        <v>0</v>
      </c>
      <c r="V100" s="80">
        <f t="shared" si="33"/>
        <v>0</v>
      </c>
      <c r="X100" s="192"/>
    </row>
    <row r="101" spans="1:24" ht="12.75" customHeight="1">
      <c r="A101" s="2" t="s">
        <v>445</v>
      </c>
      <c r="B101" s="35"/>
      <c r="C101" s="178"/>
      <c r="D101" s="80">
        <f t="shared" si="24"/>
        <v>0</v>
      </c>
      <c r="E101" s="178"/>
      <c r="F101" s="80">
        <f t="shared" si="25"/>
        <v>0</v>
      </c>
      <c r="G101" s="178"/>
      <c r="H101" s="80">
        <f t="shared" si="26"/>
        <v>0</v>
      </c>
      <c r="I101" s="178">
        <v>0</v>
      </c>
      <c r="J101" s="80">
        <f t="shared" si="27"/>
        <v>0</v>
      </c>
      <c r="K101" s="178">
        <v>0</v>
      </c>
      <c r="L101" s="80">
        <f t="shared" si="28"/>
        <v>0</v>
      </c>
      <c r="M101" s="178">
        <v>0</v>
      </c>
      <c r="N101" s="80">
        <f t="shared" si="29"/>
        <v>0</v>
      </c>
      <c r="O101" s="178">
        <v>0</v>
      </c>
      <c r="P101" s="80">
        <f t="shared" si="30"/>
        <v>0</v>
      </c>
      <c r="Q101" s="178">
        <v>0</v>
      </c>
      <c r="R101" s="80">
        <f t="shared" si="31"/>
        <v>0</v>
      </c>
      <c r="S101" s="178">
        <v>0</v>
      </c>
      <c r="T101" s="80">
        <f t="shared" si="32"/>
        <v>0</v>
      </c>
      <c r="U101" s="178">
        <v>0</v>
      </c>
      <c r="V101" s="80">
        <f t="shared" si="33"/>
        <v>0</v>
      </c>
      <c r="X101" s="192"/>
    </row>
    <row r="102" spans="1:24" ht="12.75" customHeight="1">
      <c r="A102" s="117" t="s">
        <v>446</v>
      </c>
      <c r="B102" s="35"/>
      <c r="C102" s="178">
        <v>9000</v>
      </c>
      <c r="D102" s="80">
        <f t="shared" si="24"/>
        <v>0.01</v>
      </c>
      <c r="E102" s="178">
        <v>11000</v>
      </c>
      <c r="F102" s="80">
        <f t="shared" si="25"/>
        <v>0.01</v>
      </c>
      <c r="G102" s="178">
        <v>11440</v>
      </c>
      <c r="H102" s="80">
        <f t="shared" si="26"/>
        <v>0.01</v>
      </c>
      <c r="I102" s="178">
        <v>11897.6</v>
      </c>
      <c r="J102" s="80">
        <f t="shared" si="27"/>
        <v>0.01</v>
      </c>
      <c r="K102" s="178">
        <v>12254.528</v>
      </c>
      <c r="L102" s="80">
        <f t="shared" si="28"/>
        <v>0.01</v>
      </c>
      <c r="M102" s="178">
        <v>12622.163840000001</v>
      </c>
      <c r="N102" s="80">
        <f t="shared" si="29"/>
        <v>0.01</v>
      </c>
      <c r="O102" s="178">
        <v>13000.8287552</v>
      </c>
      <c r="P102" s="80">
        <f t="shared" si="30"/>
        <v>0.01</v>
      </c>
      <c r="Q102" s="178">
        <v>13390.853617856001</v>
      </c>
      <c r="R102" s="80">
        <f t="shared" si="31"/>
        <v>0.01</v>
      </c>
      <c r="S102" s="178">
        <v>13792.579226391681</v>
      </c>
      <c r="T102" s="80">
        <f t="shared" si="32"/>
        <v>0.01</v>
      </c>
      <c r="U102" s="178">
        <v>14206.356603183431</v>
      </c>
      <c r="V102" s="80">
        <f t="shared" si="33"/>
        <v>9.9999999999999985E-3</v>
      </c>
      <c r="X102" s="192"/>
    </row>
    <row r="103" spans="1:24" ht="12.75" customHeight="1">
      <c r="A103" s="117" t="s">
        <v>446</v>
      </c>
      <c r="B103" s="35"/>
      <c r="C103" s="178">
        <v>0</v>
      </c>
      <c r="D103" s="80">
        <f t="shared" si="24"/>
        <v>0</v>
      </c>
      <c r="E103" s="178">
        <v>0</v>
      </c>
      <c r="F103" s="80">
        <f t="shared" si="25"/>
        <v>0</v>
      </c>
      <c r="G103" s="178">
        <v>0</v>
      </c>
      <c r="H103" s="80">
        <f t="shared" si="26"/>
        <v>0</v>
      </c>
      <c r="I103" s="178">
        <v>0</v>
      </c>
      <c r="J103" s="80">
        <f t="shared" si="27"/>
        <v>0</v>
      </c>
      <c r="K103" s="178">
        <v>0</v>
      </c>
      <c r="L103" s="80">
        <f t="shared" si="28"/>
        <v>0</v>
      </c>
      <c r="M103" s="178">
        <v>0</v>
      </c>
      <c r="N103" s="80">
        <f t="shared" si="29"/>
        <v>0</v>
      </c>
      <c r="O103" s="178">
        <v>0</v>
      </c>
      <c r="P103" s="80">
        <f t="shared" si="30"/>
        <v>0</v>
      </c>
      <c r="Q103" s="178">
        <v>0</v>
      </c>
      <c r="R103" s="80">
        <f t="shared" si="31"/>
        <v>0</v>
      </c>
      <c r="S103" s="178">
        <v>0</v>
      </c>
      <c r="T103" s="80">
        <f t="shared" si="32"/>
        <v>0</v>
      </c>
      <c r="U103" s="178">
        <v>0</v>
      </c>
      <c r="V103" s="80">
        <f t="shared" si="33"/>
        <v>0</v>
      </c>
      <c r="X103" s="192"/>
    </row>
    <row r="104" spans="1:24" ht="12.75" customHeight="1">
      <c r="A104" s="117" t="s">
        <v>446</v>
      </c>
      <c r="B104" s="1"/>
      <c r="C104" s="178">
        <v>0</v>
      </c>
      <c r="D104" s="80">
        <f t="shared" si="24"/>
        <v>0</v>
      </c>
      <c r="E104" s="178">
        <v>0</v>
      </c>
      <c r="F104" s="80">
        <f t="shared" si="25"/>
        <v>0</v>
      </c>
      <c r="G104" s="178">
        <v>0</v>
      </c>
      <c r="H104" s="80">
        <f t="shared" si="26"/>
        <v>0</v>
      </c>
      <c r="I104" s="178">
        <v>0</v>
      </c>
      <c r="J104" s="80">
        <f t="shared" si="27"/>
        <v>0</v>
      </c>
      <c r="K104" s="178">
        <v>0</v>
      </c>
      <c r="L104" s="80">
        <f t="shared" si="28"/>
        <v>0</v>
      </c>
      <c r="M104" s="178">
        <v>0</v>
      </c>
      <c r="N104" s="80">
        <f t="shared" si="29"/>
        <v>0</v>
      </c>
      <c r="O104" s="178">
        <v>0</v>
      </c>
      <c r="P104" s="80">
        <f t="shared" si="30"/>
        <v>0</v>
      </c>
      <c r="Q104" s="178">
        <v>0</v>
      </c>
      <c r="R104" s="80">
        <f t="shared" si="31"/>
        <v>0</v>
      </c>
      <c r="S104" s="178">
        <v>0</v>
      </c>
      <c r="T104" s="80">
        <f t="shared" si="32"/>
        <v>0</v>
      </c>
      <c r="U104" s="178">
        <v>0</v>
      </c>
      <c r="V104" s="80">
        <f t="shared" si="33"/>
        <v>0</v>
      </c>
      <c r="X104" s="192"/>
    </row>
    <row r="105" spans="1:24" ht="12.75" customHeight="1">
      <c r="A105" s="1" t="s">
        <v>447</v>
      </c>
      <c r="B105" s="53"/>
      <c r="C105" s="82">
        <f>SUM(C52:C104)</f>
        <v>151981.27275926745</v>
      </c>
      <c r="D105" s="83">
        <f t="shared" ref="D105" si="34">IFERROR(C105/C$28,0)</f>
        <v>0.1688680808436305</v>
      </c>
      <c r="E105" s="82">
        <f>SUM(E52:E104)</f>
        <v>185288.57505221316</v>
      </c>
      <c r="F105" s="83">
        <f t="shared" ref="F105" si="35">IFERROR(E105/E$28,0)</f>
        <v>0.1684441591383756</v>
      </c>
      <c r="G105" s="82">
        <f>SUM(G52:G104)</f>
        <v>192517.13734552468</v>
      </c>
      <c r="H105" s="83">
        <f t="shared" ref="H105" si="36">IFERROR(G105/G$28,0)</f>
        <v>0.16828421096636773</v>
      </c>
      <c r="I105" s="82">
        <f>SUM(I52:I104)</f>
        <v>200199.68151227359</v>
      </c>
      <c r="J105" s="83">
        <f t="shared" ref="J105" si="37">IFERROR(I105/I$28,0)</f>
        <v>0.16826896307849784</v>
      </c>
      <c r="K105" s="82">
        <f>SUM(K52:K104)</f>
        <v>206123.65130028137</v>
      </c>
      <c r="L105" s="83">
        <f t="shared" ref="L105" si="38">IFERROR(K105/K$28,0)</f>
        <v>0.16820203217968197</v>
      </c>
      <c r="M105" s="82">
        <f>SUM(M52:M104)</f>
        <v>212296.67533957679</v>
      </c>
      <c r="N105" s="83">
        <f t="shared" ref="N105" si="39">IFERROR(M105/M$28,0)</f>
        <v>0.16819356651575265</v>
      </c>
      <c r="O105" s="82">
        <f>SUM(O52:O104)</f>
        <v>218660.77114511107</v>
      </c>
      <c r="P105" s="83">
        <f t="shared" ref="P105" si="40">IFERROR(O105/O$28,0)</f>
        <v>0.1681898710169937</v>
      </c>
      <c r="Q105" s="82">
        <f>SUM(Q52:Q104)</f>
        <v>225230.26478776563</v>
      </c>
      <c r="R105" s="83">
        <f t="shared" ref="R105" si="41">IFERROR(Q105/Q$28,0)</f>
        <v>0.1681970927435372</v>
      </c>
      <c r="S105" s="82">
        <f>SUM(S52:S104)</f>
        <v>231996.11368702789</v>
      </c>
      <c r="T105" s="83">
        <f t="shared" ref="T105" si="42">IFERROR(S105/S$28,0)</f>
        <v>0.16820357518274057</v>
      </c>
      <c r="U105" s="82">
        <f>SUM(U52:U104)</f>
        <v>198857.24608420188</v>
      </c>
      <c r="V105" s="83">
        <f t="shared" si="33"/>
        <v>0.13997765341160093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448</v>
      </c>
      <c r="B107" s="53"/>
      <c r="C107" s="82">
        <f>C28-C33-C46-C105</f>
        <v>284851.01724073256</v>
      </c>
      <c r="D107" s="83">
        <f>IFERROR(C107/C$28,0)</f>
        <v>0.31650113026748061</v>
      </c>
      <c r="E107" s="82">
        <f>E28-E33-E46-E105</f>
        <v>365940.93142778683</v>
      </c>
      <c r="F107" s="83">
        <f>IFERROR(E107/E$28,0)</f>
        <v>0.33267357402526077</v>
      </c>
      <c r="G107" s="82">
        <f>G28-G33-G46-G105</f>
        <v>381635.40186127537</v>
      </c>
      <c r="H107" s="83">
        <f>IFERROR(G107/G$28,0)</f>
        <v>0.33359737924936661</v>
      </c>
      <c r="I107" s="82">
        <f>I28-I33-I46-I105</f>
        <v>398366.05894914398</v>
      </c>
      <c r="J107" s="83">
        <f>IFERROR(I107/I$28,0)</f>
        <v>0.33482892259711539</v>
      </c>
      <c r="K107" s="82">
        <f>K28-K33-K46-K105</f>
        <v>411332.44067267166</v>
      </c>
      <c r="L107" s="83">
        <f>IFERROR(K107/K$28,0)</f>
        <v>0.33565751424507873</v>
      </c>
      <c r="M107" s="82">
        <f>M28-M33-M46-M105</f>
        <v>424639.81317270012</v>
      </c>
      <c r="N107" s="83">
        <f>IFERROR(M107/M$28,0)</f>
        <v>0.33642394327587821</v>
      </c>
      <c r="O107" s="82">
        <f>O28-O33-O46-O105</f>
        <v>438364.44364717265</v>
      </c>
      <c r="P107" s="83">
        <f>IFERROR(O107/O$28,0)</f>
        <v>0.33718192270768743</v>
      </c>
      <c r="Q107" s="82">
        <f>Q28-Q33-Q46-Q105</f>
        <v>452510.85386354133</v>
      </c>
      <c r="R107" s="83">
        <f>IFERROR(Q107/Q$28,0)</f>
        <v>0.33792532334170383</v>
      </c>
      <c r="S107" s="82">
        <f>S28-S33-S46-S105</f>
        <v>467107.51462445426</v>
      </c>
      <c r="T107" s="83">
        <f>IFERROR(S107/S$28,0)</f>
        <v>0.33866581946519347</v>
      </c>
      <c r="U107" s="82">
        <f>U28-U33-U46-U105</f>
        <v>572275.5240797766</v>
      </c>
      <c r="V107" s="83">
        <f>IFERROR(U107/U$28,0)</f>
        <v>0.40283060609047233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449</v>
      </c>
      <c r="B110" s="40"/>
      <c r="C110" s="86" t="str">
        <f>C50</f>
        <v>FY 2018-19</v>
      </c>
      <c r="D110" s="86" t="s">
        <v>366</v>
      </c>
      <c r="E110" s="86" t="str">
        <f>E50</f>
        <v>FY 2019-20</v>
      </c>
      <c r="F110" s="86" t="s">
        <v>366</v>
      </c>
      <c r="G110" s="86" t="str">
        <f>G50</f>
        <v>FY 2020-21</v>
      </c>
      <c r="H110" s="86" t="s">
        <v>366</v>
      </c>
      <c r="I110" s="86" t="str">
        <f>I50</f>
        <v>FY 2021-22</v>
      </c>
      <c r="J110" s="86" t="s">
        <v>366</v>
      </c>
      <c r="K110" s="86" t="str">
        <f>K50</f>
        <v>FY 2022-23</v>
      </c>
      <c r="L110" s="86" t="s">
        <v>366</v>
      </c>
      <c r="M110" s="86" t="str">
        <f>M50</f>
        <v>FY 2023-24</v>
      </c>
      <c r="N110" s="86" t="s">
        <v>366</v>
      </c>
      <c r="O110" s="86" t="str">
        <f>O50</f>
        <v>FY 2024-25</v>
      </c>
      <c r="P110" s="86" t="s">
        <v>366</v>
      </c>
      <c r="Q110" s="86" t="str">
        <f>Q50</f>
        <v>FY 2025-26</v>
      </c>
      <c r="R110" s="86" t="s">
        <v>366</v>
      </c>
      <c r="S110" s="86" t="str">
        <f>S50</f>
        <v>FY 2026-27</v>
      </c>
      <c r="T110" s="86" t="s">
        <v>366</v>
      </c>
      <c r="U110" s="86" t="str">
        <f>U50</f>
        <v>FY 2027-28</v>
      </c>
      <c r="V110" s="86" t="s">
        <v>366</v>
      </c>
    </row>
    <row r="111" spans="1:24" ht="12.75" customHeight="1">
      <c r="A111" s="2" t="s">
        <v>403</v>
      </c>
      <c r="B111" s="35"/>
      <c r="C111" s="79">
        <f>C59</f>
        <v>0</v>
      </c>
      <c r="D111" s="80">
        <f t="shared" ref="D111:D116" si="43">IFERROR(C111/C$28,0)</f>
        <v>0</v>
      </c>
      <c r="E111" s="79">
        <f>E59</f>
        <v>0</v>
      </c>
      <c r="F111" s="80">
        <f t="shared" ref="F111:F116" si="44">IFERROR(E111/E$28,0)</f>
        <v>0</v>
      </c>
      <c r="G111" s="79">
        <f>G59</f>
        <v>0</v>
      </c>
      <c r="H111" s="80">
        <f t="shared" ref="H111:H116" si="45">IFERROR(G111/G$28,0)</f>
        <v>0</v>
      </c>
      <c r="I111" s="79">
        <f>I59</f>
        <v>0</v>
      </c>
      <c r="J111" s="80">
        <f t="shared" ref="J111:J116" si="46">IFERROR(I111/I$28,0)</f>
        <v>0</v>
      </c>
      <c r="K111" s="79">
        <f>K59</f>
        <v>0</v>
      </c>
      <c r="L111" s="80">
        <f t="shared" ref="L111:L116" si="47">IFERROR(K111/K$28,0)</f>
        <v>0</v>
      </c>
      <c r="M111" s="79">
        <f>M59</f>
        <v>0</v>
      </c>
      <c r="N111" s="80">
        <f t="shared" ref="N111:N116" si="48">IFERROR(M111/M$28,0)</f>
        <v>0</v>
      </c>
      <c r="O111" s="79">
        <f>O59</f>
        <v>0</v>
      </c>
      <c r="P111" s="80">
        <f t="shared" ref="P111:P116" si="49">IFERROR(O111/O$28,0)</f>
        <v>0</v>
      </c>
      <c r="Q111" s="79">
        <f>Q59</f>
        <v>0</v>
      </c>
      <c r="R111" s="80">
        <f t="shared" ref="R111:R116" si="50">IFERROR(Q111/Q$28,0)</f>
        <v>0</v>
      </c>
      <c r="S111" s="79">
        <f>S59</f>
        <v>0</v>
      </c>
      <c r="T111" s="80">
        <f t="shared" ref="T111:T116" si="51">IFERROR(S111/S$28,0)</f>
        <v>0</v>
      </c>
      <c r="U111" s="79">
        <f>U59</f>
        <v>0</v>
      </c>
      <c r="V111" s="80">
        <f t="shared" ref="V111:V116" si="52">IFERROR(U111/U$28,0)</f>
        <v>0</v>
      </c>
    </row>
    <row r="112" spans="1:24" ht="12.75" customHeight="1">
      <c r="A112" s="2" t="s">
        <v>450</v>
      </c>
      <c r="B112" s="35"/>
      <c r="C112" s="79">
        <f>C62</f>
        <v>0</v>
      </c>
      <c r="D112" s="80">
        <f t="shared" si="43"/>
        <v>0</v>
      </c>
      <c r="E112" s="79">
        <f>E62</f>
        <v>0</v>
      </c>
      <c r="F112" s="80">
        <f t="shared" si="44"/>
        <v>0</v>
      </c>
      <c r="G112" s="79">
        <f>G62</f>
        <v>0</v>
      </c>
      <c r="H112" s="80">
        <f t="shared" si="45"/>
        <v>0</v>
      </c>
      <c r="I112" s="79">
        <f>I62</f>
        <v>0</v>
      </c>
      <c r="J112" s="80">
        <f t="shared" si="46"/>
        <v>0</v>
      </c>
      <c r="K112" s="79">
        <f>K62</f>
        <v>0</v>
      </c>
      <c r="L112" s="80">
        <f t="shared" si="47"/>
        <v>0</v>
      </c>
      <c r="M112" s="79">
        <f>M62</f>
        <v>0</v>
      </c>
      <c r="N112" s="80">
        <f t="shared" si="48"/>
        <v>0</v>
      </c>
      <c r="O112" s="79">
        <f>O62</f>
        <v>0</v>
      </c>
      <c r="P112" s="80">
        <f t="shared" si="49"/>
        <v>0</v>
      </c>
      <c r="Q112" s="79">
        <f>Q62</f>
        <v>0</v>
      </c>
      <c r="R112" s="80">
        <f t="shared" si="50"/>
        <v>0</v>
      </c>
      <c r="S112" s="79">
        <f>S62</f>
        <v>0</v>
      </c>
      <c r="T112" s="80">
        <f t="shared" si="51"/>
        <v>0</v>
      </c>
      <c r="U112" s="79">
        <f>U62</f>
        <v>0</v>
      </c>
      <c r="V112" s="80">
        <f t="shared" si="52"/>
        <v>0</v>
      </c>
    </row>
    <row r="113" spans="1:22" ht="12.75" customHeight="1">
      <c r="A113" s="117" t="s">
        <v>446</v>
      </c>
      <c r="B113" s="41"/>
      <c r="C113" s="111">
        <v>0</v>
      </c>
      <c r="D113" s="80">
        <f t="shared" si="43"/>
        <v>0</v>
      </c>
      <c r="E113" s="111">
        <v>0</v>
      </c>
      <c r="F113" s="80">
        <f t="shared" si="44"/>
        <v>0</v>
      </c>
      <c r="G113" s="111">
        <v>0</v>
      </c>
      <c r="H113" s="80">
        <f t="shared" si="45"/>
        <v>0</v>
      </c>
      <c r="I113" s="111">
        <v>0</v>
      </c>
      <c r="J113" s="80">
        <f t="shared" si="46"/>
        <v>0</v>
      </c>
      <c r="K113" s="111">
        <v>0</v>
      </c>
      <c r="L113" s="80">
        <f t="shared" si="47"/>
        <v>0</v>
      </c>
      <c r="M113" s="111">
        <v>0</v>
      </c>
      <c r="N113" s="80">
        <f t="shared" si="48"/>
        <v>0</v>
      </c>
      <c r="O113" s="111">
        <v>0</v>
      </c>
      <c r="P113" s="80">
        <f t="shared" si="49"/>
        <v>0</v>
      </c>
      <c r="Q113" s="111">
        <v>0</v>
      </c>
      <c r="R113" s="80">
        <f t="shared" si="50"/>
        <v>0</v>
      </c>
      <c r="S113" s="111">
        <v>0</v>
      </c>
      <c r="T113" s="80">
        <f t="shared" si="51"/>
        <v>0</v>
      </c>
      <c r="U113" s="111">
        <v>0</v>
      </c>
      <c r="V113" s="80">
        <f t="shared" si="52"/>
        <v>0</v>
      </c>
    </row>
    <row r="114" spans="1:22" ht="12.75" customHeight="1">
      <c r="A114" s="117" t="s">
        <v>446</v>
      </c>
      <c r="B114" s="41"/>
      <c r="C114" s="111">
        <v>0</v>
      </c>
      <c r="D114" s="80">
        <f t="shared" si="43"/>
        <v>0</v>
      </c>
      <c r="E114" s="111">
        <v>0</v>
      </c>
      <c r="F114" s="80">
        <f t="shared" si="44"/>
        <v>0</v>
      </c>
      <c r="G114" s="111">
        <v>0</v>
      </c>
      <c r="H114" s="80">
        <f t="shared" si="45"/>
        <v>0</v>
      </c>
      <c r="I114" s="111">
        <v>0</v>
      </c>
      <c r="J114" s="80">
        <f t="shared" si="46"/>
        <v>0</v>
      </c>
      <c r="K114" s="111">
        <v>0</v>
      </c>
      <c r="L114" s="80">
        <f t="shared" si="47"/>
        <v>0</v>
      </c>
      <c r="M114" s="111">
        <v>0</v>
      </c>
      <c r="N114" s="80">
        <f t="shared" si="48"/>
        <v>0</v>
      </c>
      <c r="O114" s="111">
        <v>0</v>
      </c>
      <c r="P114" s="80">
        <f t="shared" si="49"/>
        <v>0</v>
      </c>
      <c r="Q114" s="111">
        <v>0</v>
      </c>
      <c r="R114" s="80">
        <f t="shared" si="50"/>
        <v>0</v>
      </c>
      <c r="S114" s="111">
        <v>0</v>
      </c>
      <c r="T114" s="80">
        <f t="shared" si="51"/>
        <v>0</v>
      </c>
      <c r="U114" s="111">
        <v>0</v>
      </c>
      <c r="V114" s="80">
        <f t="shared" si="52"/>
        <v>0</v>
      </c>
    </row>
    <row r="115" spans="1:22" ht="12.75" customHeight="1">
      <c r="A115" s="117" t="s">
        <v>446</v>
      </c>
      <c r="B115" s="41"/>
      <c r="C115" s="112">
        <v>0</v>
      </c>
      <c r="D115" s="80">
        <f t="shared" si="43"/>
        <v>0</v>
      </c>
      <c r="E115" s="112">
        <v>0</v>
      </c>
      <c r="F115" s="80">
        <f t="shared" si="44"/>
        <v>0</v>
      </c>
      <c r="G115" s="112">
        <v>0</v>
      </c>
      <c r="H115" s="80">
        <f t="shared" si="45"/>
        <v>0</v>
      </c>
      <c r="I115" s="112">
        <v>0</v>
      </c>
      <c r="J115" s="80">
        <f t="shared" si="46"/>
        <v>0</v>
      </c>
      <c r="K115" s="112">
        <v>0</v>
      </c>
      <c r="L115" s="80">
        <f t="shared" si="47"/>
        <v>0</v>
      </c>
      <c r="M115" s="112">
        <v>0</v>
      </c>
      <c r="N115" s="80">
        <f t="shared" si="48"/>
        <v>0</v>
      </c>
      <c r="O115" s="112">
        <v>0</v>
      </c>
      <c r="P115" s="80">
        <f t="shared" si="49"/>
        <v>0</v>
      </c>
      <c r="Q115" s="112">
        <v>0</v>
      </c>
      <c r="R115" s="80">
        <f t="shared" si="50"/>
        <v>0</v>
      </c>
      <c r="S115" s="112">
        <v>0</v>
      </c>
      <c r="T115" s="80">
        <f t="shared" si="51"/>
        <v>0</v>
      </c>
      <c r="U115" s="112">
        <v>0</v>
      </c>
      <c r="V115" s="80">
        <f t="shared" si="52"/>
        <v>0</v>
      </c>
    </row>
    <row r="116" spans="1:22" ht="12.75" customHeight="1">
      <c r="A116" s="40" t="s">
        <v>451</v>
      </c>
      <c r="B116" s="42"/>
      <c r="C116" s="85">
        <f>SUM(C111:C115)</f>
        <v>0</v>
      </c>
      <c r="D116" s="83">
        <f t="shared" si="43"/>
        <v>0</v>
      </c>
      <c r="E116" s="85">
        <f>SUM(E111:E115)</f>
        <v>0</v>
      </c>
      <c r="F116" s="83">
        <f t="shared" si="44"/>
        <v>0</v>
      </c>
      <c r="G116" s="85">
        <f>SUM(G111:G115)</f>
        <v>0</v>
      </c>
      <c r="H116" s="83">
        <f t="shared" si="45"/>
        <v>0</v>
      </c>
      <c r="I116" s="85">
        <f>SUM(I111:I115)</f>
        <v>0</v>
      </c>
      <c r="J116" s="83">
        <f t="shared" si="46"/>
        <v>0</v>
      </c>
      <c r="K116" s="85">
        <f>SUM(K111:K115)</f>
        <v>0</v>
      </c>
      <c r="L116" s="83">
        <f t="shared" si="47"/>
        <v>0</v>
      </c>
      <c r="M116" s="85">
        <f>SUM(M111:M115)</f>
        <v>0</v>
      </c>
      <c r="N116" s="83">
        <f t="shared" si="48"/>
        <v>0</v>
      </c>
      <c r="O116" s="85">
        <f>SUM(O111:O115)</f>
        <v>0</v>
      </c>
      <c r="P116" s="83">
        <f t="shared" si="49"/>
        <v>0</v>
      </c>
      <c r="Q116" s="85">
        <f>SUM(Q111:Q115)</f>
        <v>0</v>
      </c>
      <c r="R116" s="83">
        <f t="shared" si="50"/>
        <v>0</v>
      </c>
      <c r="S116" s="85">
        <f>SUM(S111:S115)</f>
        <v>0</v>
      </c>
      <c r="T116" s="83">
        <f t="shared" si="51"/>
        <v>0</v>
      </c>
      <c r="U116" s="85">
        <f>SUM(U111:U115)</f>
        <v>0</v>
      </c>
      <c r="V116" s="83">
        <f t="shared" si="52"/>
        <v>0</v>
      </c>
    </row>
    <row r="118" spans="1:22" ht="12.75" customHeight="1">
      <c r="A118" s="43" t="s">
        <v>452</v>
      </c>
      <c r="B118" s="43"/>
    </row>
    <row r="119" spans="1:22" ht="12.75" customHeight="1">
      <c r="A119" s="47" t="s">
        <v>475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7" tint="0.59999389629810485"/>
  </sheetPr>
  <dimension ref="A1:X119"/>
  <sheetViews>
    <sheetView topLeftCell="A9" zoomScale="70" zoomScaleNormal="70" workbookViewId="0" xr3:uid="{CAA03FB3-9A95-5D50-9E3C-B000AFB1AE50}">
      <selection activeCell="W59" sqref="W59"/>
    </sheetView>
  </sheetViews>
  <sheetFormatPr defaultColWidth="9.140625" defaultRowHeight="12.75" customHeight="1"/>
  <cols>
    <col min="1" max="1" width="9.5703125" style="2" customWidth="1"/>
    <col min="2" max="2" width="38.28515625" style="2" customWidth="1"/>
    <col min="3" max="3" width="12.7109375" style="2" customWidth="1"/>
    <col min="4" max="4" width="8.7109375" style="2" customWidth="1"/>
    <col min="5" max="5" width="12.7109375" style="2" customWidth="1"/>
    <col min="6" max="6" width="8.7109375" style="2" customWidth="1"/>
    <col min="7" max="7" width="12.710937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355</v>
      </c>
      <c r="G2" s="33" t="s">
        <v>54</v>
      </c>
      <c r="H2" s="34"/>
      <c r="I2" s="34"/>
      <c r="V2" s="32"/>
    </row>
    <row r="3" spans="1:22" ht="12.75" customHeight="1">
      <c r="A3" s="1" t="s">
        <v>357</v>
      </c>
      <c r="D3" s="118" t="s">
        <v>358</v>
      </c>
      <c r="G3" s="115" t="str">
        <f>+G2</f>
        <v>Moe's Southwest Grill (Parking Garage 5)</v>
      </c>
      <c r="H3" s="116"/>
      <c r="I3" s="116"/>
      <c r="V3" s="32"/>
    </row>
    <row r="4" spans="1:22" ht="12.75" customHeight="1">
      <c r="A4" s="1" t="s">
        <v>359</v>
      </c>
      <c r="B4" s="109" t="s">
        <v>221</v>
      </c>
      <c r="D4" s="118" t="s">
        <v>360</v>
      </c>
      <c r="G4" s="115" t="s">
        <v>65</v>
      </c>
      <c r="H4" s="116"/>
      <c r="I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361</v>
      </c>
      <c r="B7" s="1"/>
    </row>
    <row r="8" spans="1:22" ht="12.75" customHeight="1">
      <c r="A8" s="2" t="s">
        <v>362</v>
      </c>
      <c r="C8" s="109">
        <v>190</v>
      </c>
      <c r="E8" s="109">
        <f>+C8</f>
        <v>190</v>
      </c>
      <c r="G8" s="109">
        <f>+E8</f>
        <v>190</v>
      </c>
      <c r="I8" s="109">
        <f>+G8</f>
        <v>190</v>
      </c>
      <c r="K8" s="109">
        <f>+I8</f>
        <v>190</v>
      </c>
      <c r="M8" s="109">
        <f>+K8</f>
        <v>190</v>
      </c>
      <c r="O8" s="109">
        <f>+M8</f>
        <v>190</v>
      </c>
      <c r="Q8" s="109">
        <f>+O8</f>
        <v>190</v>
      </c>
      <c r="S8" s="109">
        <f>+Q8</f>
        <v>190</v>
      </c>
      <c r="U8" s="109">
        <f>+S8</f>
        <v>190</v>
      </c>
    </row>
    <row r="10" spans="1:22" ht="12.75" customHeight="1">
      <c r="A10" s="2" t="s">
        <v>462</v>
      </c>
      <c r="C10" s="201">
        <f>+C14/C8/C12</f>
        <v>423.23049001814877</v>
      </c>
      <c r="D10" s="202"/>
      <c r="E10" s="201">
        <f>+E14/E8/E12</f>
        <v>438.83747831116256</v>
      </c>
      <c r="F10" s="202"/>
      <c r="G10" s="201">
        <f>+G14/G8/G12</f>
        <v>467.62905896752829</v>
      </c>
      <c r="H10" s="202"/>
      <c r="I10" s="201">
        <f>+I14/I8/I12</f>
        <v>485.00725210023694</v>
      </c>
      <c r="J10" s="202"/>
      <c r="K10" s="201">
        <f>+K14/K8/K12</f>
        <v>495.10607837528602</v>
      </c>
      <c r="L10" s="202"/>
      <c r="M10" s="201">
        <f>+M14/M8/M12</f>
        <v>505.42357987322833</v>
      </c>
      <c r="N10" s="202"/>
      <c r="O10" s="201">
        <f t="shared" ref="O10" si="0">+O14/O8/O12</f>
        <v>518.48149095971053</v>
      </c>
      <c r="P10" s="202"/>
      <c r="Q10" s="201">
        <f t="shared" ref="Q10" si="1">+Q14/Q8/Q12</f>
        <v>531.88545541056146</v>
      </c>
      <c r="R10" s="202"/>
      <c r="S10" s="201">
        <f>+S14/S8/S12</f>
        <v>545.11503949868109</v>
      </c>
      <c r="T10" s="202"/>
      <c r="U10" s="201">
        <f>+U14/U8/U12</f>
        <v>558.48195615872862</v>
      </c>
    </row>
    <row r="12" spans="1:22" ht="12.75" customHeight="1">
      <c r="A12" s="2" t="s">
        <v>463</v>
      </c>
      <c r="C12" s="110">
        <v>7.25</v>
      </c>
      <c r="E12" s="110">
        <v>7.28</v>
      </c>
      <c r="G12" s="110">
        <v>7.31</v>
      </c>
      <c r="I12" s="110">
        <v>7.33</v>
      </c>
      <c r="K12" s="110">
        <v>7.36</v>
      </c>
      <c r="M12" s="110">
        <v>7.39</v>
      </c>
      <c r="O12" s="110">
        <v>7.42</v>
      </c>
      <c r="Q12" s="110">
        <v>7.45</v>
      </c>
      <c r="S12" s="110">
        <v>7.48</v>
      </c>
      <c r="U12" s="110">
        <v>7.52</v>
      </c>
    </row>
    <row r="14" spans="1:22" ht="12.75" customHeight="1">
      <c r="A14" s="2" t="s">
        <v>464</v>
      </c>
      <c r="C14" s="198">
        <v>583000</v>
      </c>
      <c r="D14" s="12"/>
      <c r="E14" s="198">
        <v>607000</v>
      </c>
      <c r="F14" s="12"/>
      <c r="G14" s="198">
        <f>+E14*1.07</f>
        <v>649490</v>
      </c>
      <c r="H14" s="12"/>
      <c r="I14" s="198">
        <f>+G14*1.04</f>
        <v>675469.6</v>
      </c>
      <c r="J14" s="12"/>
      <c r="K14" s="198">
        <f>+I14*1.025</f>
        <v>692356.34</v>
      </c>
      <c r="L14" s="12"/>
      <c r="M14" s="198">
        <f>+K14*1.025</f>
        <v>709665.24849999987</v>
      </c>
      <c r="N14" s="12"/>
      <c r="O14" s="198">
        <f>+M14*1.03</f>
        <v>730955.2059549999</v>
      </c>
      <c r="P14" s="12"/>
      <c r="Q14" s="198">
        <f>+O14*1.03</f>
        <v>752883.86213364988</v>
      </c>
      <c r="R14" s="12"/>
      <c r="S14" s="198">
        <f>+Q14*1.029</f>
        <v>774717.49413552566</v>
      </c>
      <c r="T14" s="12"/>
      <c r="U14" s="198">
        <f>+S14*1.03</f>
        <v>797959.0189595914</v>
      </c>
    </row>
    <row r="15" spans="1:22" ht="12.75" customHeight="1">
      <c r="A15" s="39">
        <v>0.05</v>
      </c>
    </row>
    <row r="16" spans="1:22" ht="12.75" customHeight="1">
      <c r="B16" s="35"/>
      <c r="C16" s="86" t="str">
        <f>C6</f>
        <v>FY 2018-19</v>
      </c>
      <c r="D16" s="86" t="s">
        <v>366</v>
      </c>
      <c r="E16" s="86" t="str">
        <f>E6</f>
        <v>FY 2019-20</v>
      </c>
      <c r="F16" s="86" t="s">
        <v>366</v>
      </c>
      <c r="G16" s="86" t="str">
        <f>G6</f>
        <v>FY 2020-21</v>
      </c>
      <c r="H16" s="86" t="s">
        <v>366</v>
      </c>
      <c r="I16" s="86" t="str">
        <f>I6</f>
        <v>FY 2021-22</v>
      </c>
      <c r="J16" s="86" t="s">
        <v>366</v>
      </c>
      <c r="K16" s="86" t="str">
        <f>K6</f>
        <v>FY 2022-23</v>
      </c>
      <c r="L16" s="86" t="s">
        <v>366</v>
      </c>
      <c r="M16" s="86" t="str">
        <f>M6</f>
        <v>FY 2023-24</v>
      </c>
      <c r="N16" s="86" t="s">
        <v>366</v>
      </c>
      <c r="O16" s="86" t="str">
        <f>O6</f>
        <v>FY 2024-25</v>
      </c>
      <c r="P16" s="86" t="s">
        <v>366</v>
      </c>
      <c r="Q16" s="86" t="str">
        <f>Q6</f>
        <v>FY 2025-26</v>
      </c>
      <c r="R16" s="86" t="s">
        <v>366</v>
      </c>
      <c r="S16" s="86" t="str">
        <f>S6</f>
        <v>FY 2026-27</v>
      </c>
      <c r="T16" s="86" t="s">
        <v>366</v>
      </c>
      <c r="U16" s="86" t="str">
        <f>U6</f>
        <v>FY 2027-28</v>
      </c>
      <c r="V16" s="86" t="s">
        <v>366</v>
      </c>
    </row>
    <row r="17" spans="1:24" ht="12.75" customHeight="1">
      <c r="A17" s="1" t="s">
        <v>367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368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369</v>
      </c>
      <c r="B19" s="35"/>
      <c r="C19" s="200">
        <f>+C14-C20-C21</f>
        <v>493334.6</v>
      </c>
      <c r="D19" s="80">
        <f>IFERROR(C19/C$28,0)</f>
        <v>0.84619999999999995</v>
      </c>
      <c r="E19" s="200">
        <f>+E14-E20-E21</f>
        <v>491670</v>
      </c>
      <c r="F19" s="80">
        <f>IFERROR(E19/E$28,0)</f>
        <v>0.81</v>
      </c>
      <c r="G19" s="200">
        <f>+G14-G20-G21</f>
        <v>530942.9</v>
      </c>
      <c r="H19" s="80">
        <f>IFERROR(G19/G$28,0)</f>
        <v>0.81747663551401872</v>
      </c>
      <c r="I19" s="200">
        <f>+I14-I20-I21</f>
        <v>554161.86399999994</v>
      </c>
      <c r="J19" s="80">
        <f>IFERROR(I19/I$28,0)</f>
        <v>0.82040977713874907</v>
      </c>
      <c r="K19" s="200">
        <f>+K14-K20-K21</f>
        <v>568521.12884000002</v>
      </c>
      <c r="L19" s="80">
        <f>IFERROR(K19/K$28,0)</f>
        <v>0.82113948554295035</v>
      </c>
      <c r="M19" s="200">
        <f>+M14-M20-M21</f>
        <v>583249.47966579988</v>
      </c>
      <c r="N19" s="80">
        <f>IFERROR(M19/M$28,0)</f>
        <v>0.82186563439396032</v>
      </c>
      <c r="O19" s="200">
        <f>+O14-O20-O21</f>
        <v>601798.22216956585</v>
      </c>
      <c r="P19" s="80">
        <f>IFERROR(O19/O$28,0)</f>
        <v>0.82330383211829072</v>
      </c>
      <c r="Q19" s="200">
        <f>+Q14-Q20-Q21</f>
        <v>620924.45211072068</v>
      </c>
      <c r="R19" s="80">
        <f>IFERROR(Q19/Q$28,0)</f>
        <v>0.82472806675791899</v>
      </c>
      <c r="S19" s="200">
        <f>+S14-S20-S21</f>
        <v>639915.61726936186</v>
      </c>
      <c r="T19" s="80">
        <f>IFERROR(S19/S$28,0)</f>
        <v>0.82599866675712097</v>
      </c>
      <c r="U19" s="200">
        <f>+U14-U20-U21</f>
        <v>660228.68930786359</v>
      </c>
      <c r="V19" s="80">
        <f>IFERROR(U19/U$28,0)</f>
        <v>0.82739673795365365</v>
      </c>
    </row>
    <row r="20" spans="1:24" ht="12.75" customHeight="1">
      <c r="A20" s="2" t="s">
        <v>370</v>
      </c>
      <c r="B20" s="35"/>
      <c r="C20" s="111">
        <f>+C14*12.38%</f>
        <v>72175.400000000009</v>
      </c>
      <c r="D20" s="80">
        <f>IFERROR(C20/C$28,0)</f>
        <v>0.12380000000000002</v>
      </c>
      <c r="E20" s="111">
        <f>+E14*16%</f>
        <v>97120</v>
      </c>
      <c r="F20" s="80">
        <f>IFERROR(E20/E$28,0)</f>
        <v>0.16</v>
      </c>
      <c r="G20" s="111">
        <f t="shared" ref="G20:U20" si="2">E20*1.02</f>
        <v>99062.400000000009</v>
      </c>
      <c r="H20" s="80">
        <f>IFERROR(G20/G$28,0)</f>
        <v>0.15252336448598133</v>
      </c>
      <c r="I20" s="111">
        <f t="shared" si="2"/>
        <v>101043.64800000002</v>
      </c>
      <c r="J20" s="80">
        <f>IFERROR(I20/I$28,0)</f>
        <v>0.14959022286125093</v>
      </c>
      <c r="K20" s="111">
        <f t="shared" si="2"/>
        <v>103064.52096000002</v>
      </c>
      <c r="L20" s="80">
        <f>IFERROR(K20/K$28,0)</f>
        <v>0.1488605144570497</v>
      </c>
      <c r="M20" s="111">
        <f t="shared" si="2"/>
        <v>105125.81137920002</v>
      </c>
      <c r="N20" s="80">
        <f>IFERROR(M20/M$28,0)</f>
        <v>0.14813436560603974</v>
      </c>
      <c r="O20" s="111">
        <f t="shared" si="2"/>
        <v>107228.32760678402</v>
      </c>
      <c r="P20" s="80">
        <f>IFERROR(O20/O$28,0)</f>
        <v>0.14669616788170925</v>
      </c>
      <c r="Q20" s="111">
        <f t="shared" si="2"/>
        <v>109372.89415891971</v>
      </c>
      <c r="R20" s="80">
        <f>IFERROR(Q20/Q$28,0)</f>
        <v>0.14527193324208101</v>
      </c>
      <c r="S20" s="111">
        <f t="shared" si="2"/>
        <v>111560.35204209811</v>
      </c>
      <c r="T20" s="80">
        <f>IFERROR(S20/S$28,0)</f>
        <v>0.14400133324287914</v>
      </c>
      <c r="U20" s="111">
        <f t="shared" si="2"/>
        <v>113791.55908294008</v>
      </c>
      <c r="V20" s="80">
        <f>IFERROR(U20/U$28,0)</f>
        <v>0.14260326204634635</v>
      </c>
    </row>
    <row r="21" spans="1:24" ht="12.75" customHeight="1">
      <c r="A21" s="186" t="s">
        <v>371</v>
      </c>
      <c r="B21" s="195"/>
      <c r="C21" s="111">
        <f>+C14*0.03</f>
        <v>17490</v>
      </c>
      <c r="D21" s="80">
        <f>IFERROR(C21/C$28,0)</f>
        <v>0.03</v>
      </c>
      <c r="E21" s="111">
        <f>+E14*0.03</f>
        <v>18210</v>
      </c>
      <c r="F21" s="80">
        <f>IFERROR(E21/E$28,0)</f>
        <v>0.03</v>
      </c>
      <c r="G21" s="111">
        <f>+G14*0.03</f>
        <v>19484.7</v>
      </c>
      <c r="H21" s="80">
        <f>IFERROR(G21/G$28,0)</f>
        <v>3.0000000000000002E-2</v>
      </c>
      <c r="I21" s="111">
        <f>+I14*0.03</f>
        <v>20264.088</v>
      </c>
      <c r="J21" s="80">
        <f>IFERROR(I21/I$28,0)</f>
        <v>3.0000000000000002E-2</v>
      </c>
      <c r="K21" s="111">
        <f>+K14*0.03</f>
        <v>20770.690199999997</v>
      </c>
      <c r="L21" s="80">
        <f>IFERROR(K21/K$28,0)</f>
        <v>0.03</v>
      </c>
      <c r="M21" s="111">
        <f>+M14*0.03</f>
        <v>21289.957454999996</v>
      </c>
      <c r="N21" s="80">
        <f>IFERROR(M21/M$28,0)</f>
        <v>0.03</v>
      </c>
      <c r="O21" s="111">
        <f>+O14*0.03</f>
        <v>21928.656178649995</v>
      </c>
      <c r="P21" s="80">
        <f>IFERROR(O21/O$28,0)</f>
        <v>0.03</v>
      </c>
      <c r="Q21" s="111">
        <f>+Q14*0.03</f>
        <v>22586.515864009496</v>
      </c>
      <c r="R21" s="80">
        <f>IFERROR(Q21/Q$28,0)</f>
        <v>0.03</v>
      </c>
      <c r="S21" s="111">
        <f>+S14*0.03</f>
        <v>23241.524824065767</v>
      </c>
      <c r="T21" s="80">
        <f>IFERROR(S21/S$28,0)</f>
        <v>2.9999999999999995E-2</v>
      </c>
      <c r="U21" s="111">
        <f>+U14*0.03</f>
        <v>23938.770568787742</v>
      </c>
      <c r="V21" s="80">
        <f>IFERROR(U21/U$28,0)</f>
        <v>0.03</v>
      </c>
    </row>
    <row r="22" spans="1:24" ht="12.75" customHeight="1">
      <c r="A22" s="2" t="s">
        <v>372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373</v>
      </c>
      <c r="B23" s="123"/>
      <c r="C23" s="79"/>
      <c r="D23" s="80">
        <f t="shared" ref="D23:D28" si="3">IFERROR(C23/C$28,0)</f>
        <v>0</v>
      </c>
      <c r="E23" s="79"/>
      <c r="F23" s="80">
        <f t="shared" ref="F23:F28" si="4">IFERROR(E23/E$28,0)</f>
        <v>0</v>
      </c>
      <c r="G23" s="79"/>
      <c r="H23" s="80">
        <f t="shared" ref="H23:H28" si="5">IFERROR(G23/G$28,0)</f>
        <v>0</v>
      </c>
      <c r="I23" s="79"/>
      <c r="J23" s="80">
        <f t="shared" ref="J23:J28" si="6">IFERROR(I23/I$28,0)</f>
        <v>0</v>
      </c>
      <c r="K23" s="79"/>
      <c r="L23" s="80">
        <f t="shared" ref="L23:L28" si="7">IFERROR(K23/K$28,0)</f>
        <v>0</v>
      </c>
      <c r="M23" s="79"/>
      <c r="N23" s="80">
        <f t="shared" ref="N23:N28" si="8">IFERROR(M23/M$28,0)</f>
        <v>0</v>
      </c>
      <c r="O23" s="79"/>
      <c r="P23" s="80">
        <f t="shared" ref="P23:P28" si="9">IFERROR(O23/O$28,0)</f>
        <v>0</v>
      </c>
      <c r="Q23" s="79"/>
      <c r="R23" s="80">
        <f t="shared" ref="R23:R28" si="10">IFERROR(Q23/Q$28,0)</f>
        <v>0</v>
      </c>
      <c r="S23" s="79"/>
      <c r="T23" s="80">
        <f t="shared" ref="T23:T28" si="11">IFERROR(S23/S$28,0)</f>
        <v>0</v>
      </c>
      <c r="U23" s="79"/>
      <c r="V23" s="80">
        <f t="shared" ref="V23:V28" si="12">IFERROR(U23/U$28,0)</f>
        <v>0</v>
      </c>
    </row>
    <row r="24" spans="1:24" ht="12.75" customHeight="1">
      <c r="A24" s="122" t="s">
        <v>374</v>
      </c>
      <c r="B24" s="123"/>
      <c r="C24" s="79"/>
      <c r="D24" s="80">
        <f t="shared" si="3"/>
        <v>0</v>
      </c>
      <c r="E24" s="79"/>
      <c r="F24" s="80">
        <f t="shared" si="4"/>
        <v>0</v>
      </c>
      <c r="G24" s="79"/>
      <c r="H24" s="80">
        <f t="shared" si="5"/>
        <v>0</v>
      </c>
      <c r="I24" s="79"/>
      <c r="J24" s="80">
        <f t="shared" si="6"/>
        <v>0</v>
      </c>
      <c r="K24" s="79"/>
      <c r="L24" s="80">
        <f t="shared" si="7"/>
        <v>0</v>
      </c>
      <c r="M24" s="79"/>
      <c r="N24" s="80">
        <f t="shared" si="8"/>
        <v>0</v>
      </c>
      <c r="O24" s="79"/>
      <c r="P24" s="80">
        <f t="shared" si="9"/>
        <v>0</v>
      </c>
      <c r="Q24" s="79"/>
      <c r="R24" s="80">
        <f t="shared" si="10"/>
        <v>0</v>
      </c>
      <c r="S24" s="79"/>
      <c r="T24" s="80">
        <f t="shared" si="11"/>
        <v>0</v>
      </c>
      <c r="U24" s="79"/>
      <c r="V24" s="80">
        <f t="shared" si="12"/>
        <v>0</v>
      </c>
      <c r="X24" s="79"/>
    </row>
    <row r="25" spans="1:24" ht="12.75" customHeight="1">
      <c r="A25" s="2" t="s">
        <v>375</v>
      </c>
      <c r="B25" s="35"/>
      <c r="C25" s="111"/>
      <c r="D25" s="80">
        <f t="shared" si="3"/>
        <v>0</v>
      </c>
      <c r="E25" s="111"/>
      <c r="F25" s="80">
        <f t="shared" si="4"/>
        <v>0</v>
      </c>
      <c r="G25" s="111"/>
      <c r="H25" s="80">
        <f t="shared" si="5"/>
        <v>0</v>
      </c>
      <c r="I25" s="111"/>
      <c r="J25" s="80">
        <f t="shared" si="6"/>
        <v>0</v>
      </c>
      <c r="K25" s="111"/>
      <c r="L25" s="80">
        <f t="shared" si="7"/>
        <v>0</v>
      </c>
      <c r="M25" s="111"/>
      <c r="N25" s="80">
        <f t="shared" si="8"/>
        <v>0</v>
      </c>
      <c r="O25" s="111"/>
      <c r="P25" s="80">
        <f t="shared" si="9"/>
        <v>0</v>
      </c>
      <c r="Q25" s="111"/>
      <c r="R25" s="80">
        <f t="shared" si="10"/>
        <v>0</v>
      </c>
      <c r="S25" s="111"/>
      <c r="T25" s="80">
        <f t="shared" si="11"/>
        <v>0</v>
      </c>
      <c r="U25" s="111"/>
      <c r="V25" s="80">
        <f t="shared" si="12"/>
        <v>0</v>
      </c>
      <c r="X25" s="79"/>
    </row>
    <row r="26" spans="1:24" ht="12.75" customHeight="1">
      <c r="A26" s="122" t="s">
        <v>376</v>
      </c>
      <c r="B26" s="35"/>
      <c r="C26" s="79"/>
      <c r="D26" s="80">
        <f t="shared" si="3"/>
        <v>0</v>
      </c>
      <c r="E26" s="79"/>
      <c r="F26" s="80">
        <f t="shared" si="4"/>
        <v>0</v>
      </c>
      <c r="G26" s="79"/>
      <c r="H26" s="80">
        <f t="shared" si="5"/>
        <v>0</v>
      </c>
      <c r="I26" s="79"/>
      <c r="J26" s="80">
        <f t="shared" si="6"/>
        <v>0</v>
      </c>
      <c r="K26" s="79"/>
      <c r="L26" s="80">
        <f t="shared" si="7"/>
        <v>0</v>
      </c>
      <c r="M26" s="79"/>
      <c r="N26" s="80">
        <f t="shared" si="8"/>
        <v>0</v>
      </c>
      <c r="O26" s="79"/>
      <c r="P26" s="80">
        <f t="shared" si="9"/>
        <v>0</v>
      </c>
      <c r="Q26" s="79"/>
      <c r="R26" s="80">
        <f t="shared" si="10"/>
        <v>0</v>
      </c>
      <c r="S26" s="79"/>
      <c r="T26" s="80">
        <f t="shared" si="11"/>
        <v>0</v>
      </c>
      <c r="U26" s="79"/>
      <c r="V26" s="80">
        <f t="shared" si="12"/>
        <v>0</v>
      </c>
    </row>
    <row r="27" spans="1:24" ht="12.75" customHeight="1">
      <c r="A27" s="2" t="s">
        <v>377</v>
      </c>
      <c r="B27" s="35"/>
      <c r="C27" s="112"/>
      <c r="D27" s="80">
        <f t="shared" si="3"/>
        <v>0</v>
      </c>
      <c r="E27" s="112"/>
      <c r="F27" s="80">
        <f t="shared" si="4"/>
        <v>0</v>
      </c>
      <c r="G27" s="112"/>
      <c r="H27" s="80">
        <f t="shared" si="5"/>
        <v>0</v>
      </c>
      <c r="I27" s="112"/>
      <c r="J27" s="80">
        <f t="shared" si="6"/>
        <v>0</v>
      </c>
      <c r="K27" s="112"/>
      <c r="L27" s="80">
        <f t="shared" si="7"/>
        <v>0</v>
      </c>
      <c r="M27" s="112"/>
      <c r="N27" s="80">
        <f t="shared" si="8"/>
        <v>0</v>
      </c>
      <c r="O27" s="112"/>
      <c r="P27" s="80">
        <f t="shared" si="9"/>
        <v>0</v>
      </c>
      <c r="Q27" s="112"/>
      <c r="R27" s="80">
        <f t="shared" si="10"/>
        <v>0</v>
      </c>
      <c r="S27" s="112"/>
      <c r="T27" s="80">
        <f t="shared" si="11"/>
        <v>0</v>
      </c>
      <c r="U27" s="112"/>
      <c r="V27" s="80">
        <f t="shared" si="12"/>
        <v>0</v>
      </c>
    </row>
    <row r="28" spans="1:24" ht="12.75" customHeight="1">
      <c r="A28" s="1" t="s">
        <v>378</v>
      </c>
      <c r="B28" s="53"/>
      <c r="C28" s="82">
        <f>SUM(C19:C27)</f>
        <v>583000</v>
      </c>
      <c r="D28" s="83">
        <f t="shared" si="3"/>
        <v>1</v>
      </c>
      <c r="E28" s="82">
        <f>SUM(E19:E27)</f>
        <v>607000</v>
      </c>
      <c r="F28" s="83">
        <f t="shared" si="4"/>
        <v>1</v>
      </c>
      <c r="G28" s="82">
        <f>SUM(G19:G27)</f>
        <v>649490</v>
      </c>
      <c r="H28" s="83">
        <f t="shared" si="5"/>
        <v>1</v>
      </c>
      <c r="I28" s="82">
        <f>SUM(I19:I27)</f>
        <v>675469.6</v>
      </c>
      <c r="J28" s="83">
        <f t="shared" si="6"/>
        <v>1</v>
      </c>
      <c r="K28" s="82">
        <f>SUM(K19:K27)</f>
        <v>692356.34</v>
      </c>
      <c r="L28" s="83">
        <f t="shared" si="7"/>
        <v>1</v>
      </c>
      <c r="M28" s="82">
        <f>SUM(M19:M27)</f>
        <v>709665.24849999987</v>
      </c>
      <c r="N28" s="83">
        <f t="shared" si="8"/>
        <v>1</v>
      </c>
      <c r="O28" s="82">
        <f>SUM(O19:O27)</f>
        <v>730955.2059549999</v>
      </c>
      <c r="P28" s="83">
        <f t="shared" si="9"/>
        <v>1</v>
      </c>
      <c r="Q28" s="82">
        <f>SUM(Q19:Q27)</f>
        <v>752883.86213364988</v>
      </c>
      <c r="R28" s="83">
        <f t="shared" si="10"/>
        <v>1</v>
      </c>
      <c r="S28" s="82">
        <f>SUM(S19:S27)</f>
        <v>774717.49413552566</v>
      </c>
      <c r="T28" s="83">
        <f t="shared" si="11"/>
        <v>1</v>
      </c>
      <c r="U28" s="82">
        <f>SUM(U19:U27)</f>
        <v>797959.0189595914</v>
      </c>
      <c r="V28" s="83">
        <f t="shared" si="12"/>
        <v>1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379</v>
      </c>
      <c r="B30" s="53"/>
      <c r="C30" s="197">
        <v>0.29499999999999998</v>
      </c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380</v>
      </c>
      <c r="B31" s="35"/>
      <c r="C31" s="178">
        <f>$C$30*C14</f>
        <v>171985</v>
      </c>
      <c r="D31" s="80">
        <f>IFERROR(C31/C$28,0)</f>
        <v>0.29499999999999998</v>
      </c>
      <c r="E31" s="178">
        <f>$C$30*E14</f>
        <v>179065</v>
      </c>
      <c r="F31" s="80">
        <f>IFERROR(E31/E$28,0)</f>
        <v>0.29499999999999998</v>
      </c>
      <c r="G31" s="178">
        <f>$C$30*G14</f>
        <v>191599.55</v>
      </c>
      <c r="H31" s="80">
        <f>IFERROR(G31/G$28,0)</f>
        <v>0.29499999999999998</v>
      </c>
      <c r="I31" s="178">
        <f>$C$30*I14</f>
        <v>199263.53199999998</v>
      </c>
      <c r="J31" s="80">
        <f>IFERROR(I31/I$28,0)</f>
        <v>0.29499999999999998</v>
      </c>
      <c r="K31" s="178">
        <f>$C$30*K14</f>
        <v>204245.12029999998</v>
      </c>
      <c r="L31" s="80">
        <f>IFERROR(K31/K$28,0)</f>
        <v>0.29499999999999998</v>
      </c>
      <c r="M31" s="178">
        <f>$C$30*M14</f>
        <v>209351.24830749995</v>
      </c>
      <c r="N31" s="80">
        <f>IFERROR(M31/M$28,0)</f>
        <v>0.29499999999999998</v>
      </c>
      <c r="O31" s="178">
        <f>$C$30*O14</f>
        <v>215631.78575672494</v>
      </c>
      <c r="P31" s="80">
        <f>IFERROR(O31/O$28,0)</f>
        <v>0.29499999999999998</v>
      </c>
      <c r="Q31" s="178">
        <f>$C$30*Q14</f>
        <v>222100.73932942669</v>
      </c>
      <c r="R31" s="80">
        <f>IFERROR(Q31/Q$28,0)</f>
        <v>0.29499999999999998</v>
      </c>
      <c r="S31" s="178">
        <f>$C$30*S14</f>
        <v>228541.66076998005</v>
      </c>
      <c r="T31" s="80">
        <f>IFERROR(S31/S$28,0)</f>
        <v>0.29499999999999998</v>
      </c>
      <c r="U31" s="178">
        <f>$C$30*U14</f>
        <v>235397.91059307946</v>
      </c>
      <c r="V31" s="80">
        <f>IFERROR(U31/U$28,0)</f>
        <v>0.29499999999999998</v>
      </c>
    </row>
    <row r="32" spans="1:24" ht="12.75" customHeight="1">
      <c r="A32" s="8" t="s">
        <v>381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382</v>
      </c>
      <c r="B33" s="53"/>
      <c r="C33" s="82">
        <f>SUM(C31:C32)</f>
        <v>171985</v>
      </c>
      <c r="D33" s="83">
        <f>IFERROR(C33/C$28,0)</f>
        <v>0.29499999999999998</v>
      </c>
      <c r="E33" s="82">
        <f>SUM(E31:E32)</f>
        <v>179065</v>
      </c>
      <c r="F33" s="83">
        <f>IFERROR(E33/E$28,0)</f>
        <v>0.29499999999999998</v>
      </c>
      <c r="G33" s="82">
        <f>SUM(G31:G32)</f>
        <v>191599.55</v>
      </c>
      <c r="H33" s="83">
        <f>IFERROR(G33/G$28,0)</f>
        <v>0.29499999999999998</v>
      </c>
      <c r="I33" s="82">
        <f>SUM(I31:I32)</f>
        <v>199263.53199999998</v>
      </c>
      <c r="J33" s="83">
        <f>IFERROR(I33/I$28,0)</f>
        <v>0.29499999999999998</v>
      </c>
      <c r="K33" s="82">
        <f>SUM(K31:K32)</f>
        <v>204245.12029999998</v>
      </c>
      <c r="L33" s="83">
        <f>IFERROR(K33/K$28,0)</f>
        <v>0.29499999999999998</v>
      </c>
      <c r="M33" s="82">
        <f>SUM(M31:M32)</f>
        <v>209351.24830749995</v>
      </c>
      <c r="N33" s="83">
        <f>IFERROR(M33/M$28,0)</f>
        <v>0.29499999999999998</v>
      </c>
      <c r="O33" s="82">
        <f>SUM(O31:O32)</f>
        <v>215631.78575672494</v>
      </c>
      <c r="P33" s="83">
        <f>IFERROR(O33/O$28,0)</f>
        <v>0.29499999999999998</v>
      </c>
      <c r="Q33" s="82">
        <f>SUM(Q31:Q32)</f>
        <v>222100.73932942669</v>
      </c>
      <c r="R33" s="83">
        <f>IFERROR(Q33/Q$28,0)</f>
        <v>0.29499999999999998</v>
      </c>
      <c r="S33" s="82">
        <f>SUM(S31:S32)</f>
        <v>228541.66076998005</v>
      </c>
      <c r="T33" s="83">
        <f>IFERROR(S33/S$28,0)</f>
        <v>0.29499999999999998</v>
      </c>
      <c r="U33" s="82">
        <f>SUM(U31:U32)</f>
        <v>235397.91059307946</v>
      </c>
      <c r="V33" s="83">
        <f>IFERROR(U33/U$28,0)</f>
        <v>0.29499999999999998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383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384</v>
      </c>
      <c r="B36" s="35"/>
      <c r="C36" s="178">
        <v>63729</v>
      </c>
      <c r="D36" s="80">
        <f t="shared" ref="D36:D46" si="13">IFERROR(C36/C$28,0)</f>
        <v>0.10931217838765009</v>
      </c>
      <c r="E36" s="178">
        <f>+C36*1.025</f>
        <v>65322.224999999991</v>
      </c>
      <c r="F36" s="80">
        <f t="shared" ref="F36:F46" si="14">IFERROR(E36/E$28,0)</f>
        <v>0.10761486820428334</v>
      </c>
      <c r="G36" s="178">
        <f>+E36*1.025</f>
        <v>66955.280624999985</v>
      </c>
      <c r="H36" s="80">
        <f t="shared" ref="H36:H46" si="15">IFERROR(G36/G$28,0)</f>
        <v>0.10308900926111254</v>
      </c>
      <c r="I36" s="178">
        <f>+G36*1.025</f>
        <v>68629.162640624985</v>
      </c>
      <c r="J36" s="80">
        <f t="shared" ref="J36:J46" si="16">IFERROR(I36/I$28,0)</f>
        <v>0.10160214855061574</v>
      </c>
      <c r="K36" s="178">
        <f>+I36*1.025</f>
        <v>70344.891706640599</v>
      </c>
      <c r="L36" s="80">
        <f t="shared" ref="L36:L46" si="17">IFERROR(K36/K$28,0)</f>
        <v>0.10160214855061572</v>
      </c>
      <c r="M36" s="178">
        <f>+K36*1.025</f>
        <v>72103.513999306611</v>
      </c>
      <c r="N36" s="80">
        <f t="shared" ref="N36:N46" si="18">IFERROR(M36/M$28,0)</f>
        <v>0.10160214855061572</v>
      </c>
      <c r="O36" s="178">
        <f>+M36*1.025</f>
        <v>73906.101849289276</v>
      </c>
      <c r="P36" s="80">
        <f t="shared" ref="P36:P46" si="19">IFERROR(O36/O$28,0)</f>
        <v>0.10110893423726322</v>
      </c>
      <c r="Q36" s="178">
        <f>+O36*1.025</f>
        <v>75753.754395521508</v>
      </c>
      <c r="R36" s="80">
        <f t="shared" ref="R36:R46" si="20">IFERROR(Q36/Q$28,0)</f>
        <v>0.10061811416815029</v>
      </c>
      <c r="S36" s="178">
        <f>+Q36*1.025</f>
        <v>77647.598255409539</v>
      </c>
      <c r="T36" s="80">
        <f t="shared" ref="T36:T46" si="21">IFERROR(S36/S$28,0)</f>
        <v>0.10022698447264727</v>
      </c>
      <c r="U36" s="178">
        <f>+S36*1.025</f>
        <v>79588.788211794774</v>
      </c>
      <c r="V36" s="80">
        <f t="shared" ref="V36:V46" si="22">IFERROR(U36/U$28,0)</f>
        <v>9.9740445713071321E-2</v>
      </c>
    </row>
    <row r="37" spans="1:22" ht="12.75" customHeight="1">
      <c r="A37" s="2" t="s">
        <v>385</v>
      </c>
      <c r="B37" s="35"/>
      <c r="C37" s="178">
        <v>129272</v>
      </c>
      <c r="D37" s="80">
        <f t="shared" si="13"/>
        <v>0.22173584905660376</v>
      </c>
      <c r="E37" s="178">
        <f>+C37*1.112</f>
        <v>143750.46400000001</v>
      </c>
      <c r="F37" s="80">
        <f t="shared" si="14"/>
        <v>0.23682119275123559</v>
      </c>
      <c r="G37" s="178">
        <f>+E37*1.035-50000</f>
        <v>98781.730240000004</v>
      </c>
      <c r="H37" s="80">
        <f t="shared" si="15"/>
        <v>0.15209122579254492</v>
      </c>
      <c r="I37" s="178">
        <f>+G37*1.032</f>
        <v>101942.74560768</v>
      </c>
      <c r="J37" s="80">
        <f t="shared" si="16"/>
        <v>0.15092129328644843</v>
      </c>
      <c r="K37" s="178">
        <f>+I37*1.025</f>
        <v>104491.314247872</v>
      </c>
      <c r="L37" s="80">
        <f t="shared" si="17"/>
        <v>0.15092129328644843</v>
      </c>
      <c r="M37" s="178">
        <f>+K37*1.025</f>
        <v>107103.59710406879</v>
      </c>
      <c r="N37" s="80">
        <f t="shared" si="18"/>
        <v>0.15092129328644843</v>
      </c>
      <c r="O37" s="178">
        <f>+M37*1.025</f>
        <v>109781.1870316705</v>
      </c>
      <c r="P37" s="80">
        <f t="shared" si="19"/>
        <v>0.15018866564913555</v>
      </c>
      <c r="Q37" s="178">
        <f>+O37*1.025</f>
        <v>112525.71670746226</v>
      </c>
      <c r="R37" s="80">
        <f t="shared" si="20"/>
        <v>0.14945959445666401</v>
      </c>
      <c r="S37" s="178">
        <f>+Q37*1.02</f>
        <v>114776.23104161151</v>
      </c>
      <c r="T37" s="80">
        <f t="shared" si="21"/>
        <v>0.14815236768299059</v>
      </c>
      <c r="U37" s="178">
        <f>+S37*1.025</f>
        <v>117645.63681765179</v>
      </c>
      <c r="V37" s="80">
        <f t="shared" si="22"/>
        <v>0.14743318143210229</v>
      </c>
    </row>
    <row r="38" spans="1:22" ht="12.75" customHeight="1">
      <c r="A38" s="2" t="s">
        <v>386</v>
      </c>
      <c r="B38" s="35"/>
      <c r="C38" s="178">
        <v>75010</v>
      </c>
      <c r="D38" s="80">
        <f t="shared" si="13"/>
        <v>0.12866209262435677</v>
      </c>
      <c r="E38" s="178">
        <f t="shared" ref="E38:E39" si="23">+C38*1.112</f>
        <v>83411.12000000001</v>
      </c>
      <c r="F38" s="80">
        <f t="shared" si="14"/>
        <v>0.13741535420098849</v>
      </c>
      <c r="G38" s="178">
        <f>+E38*1.035-30000</f>
        <v>56330.5092</v>
      </c>
      <c r="H38" s="80">
        <f t="shared" si="15"/>
        <v>8.6730371830205238E-2</v>
      </c>
      <c r="I38" s="178">
        <f>+G38*1.032</f>
        <v>58133.085494400002</v>
      </c>
      <c r="J38" s="80">
        <f t="shared" si="16"/>
        <v>8.6063215123819051E-2</v>
      </c>
      <c r="K38" s="178">
        <f>+I38*1.025</f>
        <v>59586.412631759995</v>
      </c>
      <c r="L38" s="80">
        <f t="shared" si="17"/>
        <v>8.6063215123819037E-2</v>
      </c>
      <c r="M38" s="178">
        <f>+K38*1.025</f>
        <v>61076.072947553992</v>
      </c>
      <c r="N38" s="80">
        <f t="shared" si="18"/>
        <v>8.6063215123819051E-2</v>
      </c>
      <c r="O38" s="178">
        <f>+M38*1.025</f>
        <v>62602.974771242836</v>
      </c>
      <c r="P38" s="80">
        <f t="shared" si="19"/>
        <v>8.5645432526130591E-2</v>
      </c>
      <c r="Q38" s="178">
        <f>+O38*1.025</f>
        <v>64168.049140523901</v>
      </c>
      <c r="R38" s="80">
        <f t="shared" si="20"/>
        <v>8.5229677999304712E-2</v>
      </c>
      <c r="S38" s="178">
        <f>+Q38*1.02</f>
        <v>65451.410123334383</v>
      </c>
      <c r="T38" s="80">
        <f t="shared" si="21"/>
        <v>8.448422892059361E-2</v>
      </c>
      <c r="U38" s="178">
        <f>+S38*1.025</f>
        <v>67087.695376417731</v>
      </c>
      <c r="V38" s="80">
        <f t="shared" si="22"/>
        <v>8.4074111304474203E-2</v>
      </c>
    </row>
    <row r="39" spans="1:22" ht="12.75" customHeight="1">
      <c r="A39" s="2" t="s">
        <v>387</v>
      </c>
      <c r="B39" s="35"/>
      <c r="C39" s="178">
        <v>34320</v>
      </c>
      <c r="D39" s="80">
        <f t="shared" si="13"/>
        <v>5.8867924528301883E-2</v>
      </c>
      <c r="E39" s="178">
        <f t="shared" si="23"/>
        <v>38163.840000000004</v>
      </c>
      <c r="F39" s="80">
        <f t="shared" si="14"/>
        <v>6.2872883031301494E-2</v>
      </c>
      <c r="G39" s="178">
        <f>+E39*1.035-15000</f>
        <v>24499.574399999998</v>
      </c>
      <c r="H39" s="80">
        <f t="shared" si="15"/>
        <v>3.7721249595836732E-2</v>
      </c>
      <c r="I39" s="178">
        <f>+G39*1.032</f>
        <v>25283.560780799999</v>
      </c>
      <c r="J39" s="80">
        <f t="shared" si="16"/>
        <v>3.743108613740722E-2</v>
      </c>
      <c r="K39" s="178">
        <f>+I39*1.025</f>
        <v>25915.649800319996</v>
      </c>
      <c r="L39" s="80">
        <f t="shared" si="17"/>
        <v>3.7431086137407213E-2</v>
      </c>
      <c r="M39" s="178">
        <f>+K39*1.025</f>
        <v>26563.541045327995</v>
      </c>
      <c r="N39" s="80">
        <f t="shared" si="18"/>
        <v>3.743108613740722E-2</v>
      </c>
      <c r="O39" s="178">
        <f>+M39*1.025</f>
        <v>27227.629571461192</v>
      </c>
      <c r="P39" s="80">
        <f t="shared" si="19"/>
        <v>3.7249381835769313E-2</v>
      </c>
      <c r="Q39" s="178">
        <f>+O39*1.025</f>
        <v>27908.32031074772</v>
      </c>
      <c r="R39" s="80">
        <f t="shared" si="20"/>
        <v>3.7068559593848104E-2</v>
      </c>
      <c r="S39" s="178">
        <f>+Q39*1.025</f>
        <v>28606.028318516412</v>
      </c>
      <c r="T39" s="80">
        <f t="shared" si="21"/>
        <v>3.6924464124095537E-2</v>
      </c>
      <c r="U39" s="178">
        <f>+S39*1.025</f>
        <v>29321.17902647932</v>
      </c>
      <c r="V39" s="80">
        <f t="shared" si="22"/>
        <v>3.6745219152619343E-2</v>
      </c>
    </row>
    <row r="40" spans="1:22" ht="12.75" customHeight="1">
      <c r="A40" s="2" t="s">
        <v>388</v>
      </c>
      <c r="B40" s="35"/>
      <c r="C40" s="178">
        <f>C36*0.124</f>
        <v>7902.3959999999997</v>
      </c>
      <c r="D40" s="80">
        <f t="shared" si="13"/>
        <v>1.3554710120068611E-2</v>
      </c>
      <c r="E40" s="178">
        <f>E36*0.124</f>
        <v>8099.955899999999</v>
      </c>
      <c r="F40" s="80">
        <f t="shared" si="14"/>
        <v>1.3344243657331134E-2</v>
      </c>
      <c r="G40" s="178">
        <f>G36*0.124</f>
        <v>8302.4547974999987</v>
      </c>
      <c r="H40" s="80">
        <f t="shared" si="15"/>
        <v>1.2783037148377956E-2</v>
      </c>
      <c r="I40" s="178">
        <f>I36*0.124</f>
        <v>8510.0161674374976</v>
      </c>
      <c r="J40" s="80">
        <f t="shared" si="16"/>
        <v>1.259866642027635E-2</v>
      </c>
      <c r="K40" s="178">
        <f>K36*0.124</f>
        <v>8722.7665716234351</v>
      </c>
      <c r="L40" s="80">
        <f t="shared" si="17"/>
        <v>1.259866642027635E-2</v>
      </c>
      <c r="M40" s="178">
        <f>M36*0.124</f>
        <v>8940.8357359140191</v>
      </c>
      <c r="N40" s="80">
        <f t="shared" si="18"/>
        <v>1.259866642027635E-2</v>
      </c>
      <c r="O40" s="178">
        <f>O36*0.124</f>
        <v>9164.3566293118711</v>
      </c>
      <c r="P40" s="80">
        <f t="shared" si="19"/>
        <v>1.253750784542064E-2</v>
      </c>
      <c r="Q40" s="178">
        <f>Q36*0.124</f>
        <v>9393.4655450446662</v>
      </c>
      <c r="R40" s="80">
        <f t="shared" si="20"/>
        <v>1.2476646156850636E-2</v>
      </c>
      <c r="S40" s="178">
        <f>S36*0.124</f>
        <v>9628.3021836707831</v>
      </c>
      <c r="T40" s="80">
        <f t="shared" si="21"/>
        <v>1.2428146074608263E-2</v>
      </c>
      <c r="U40" s="178">
        <f>U36*0.124</f>
        <v>9869.0097382625518</v>
      </c>
      <c r="V40" s="80">
        <f t="shared" si="22"/>
        <v>1.2367815268420844E-2</v>
      </c>
    </row>
    <row r="41" spans="1:22" ht="12.75" customHeight="1">
      <c r="A41" s="2" t="s">
        <v>389</v>
      </c>
      <c r="B41" s="35"/>
      <c r="C41" s="178">
        <f>C37*0.124</f>
        <v>16029.727999999999</v>
      </c>
      <c r="D41" s="80">
        <f t="shared" si="13"/>
        <v>2.7495245283018867E-2</v>
      </c>
      <c r="E41" s="178">
        <f>E37*0.124</f>
        <v>17825.057536</v>
      </c>
      <c r="F41" s="80">
        <f t="shared" si="14"/>
        <v>2.9365827901153212E-2</v>
      </c>
      <c r="G41" s="178">
        <f>G37*0.124</f>
        <v>12248.934549760001</v>
      </c>
      <c r="H41" s="80">
        <f t="shared" si="15"/>
        <v>1.885931199827557E-2</v>
      </c>
      <c r="I41" s="178">
        <f>I37*0.124</f>
        <v>12640.900455352319</v>
      </c>
      <c r="J41" s="80">
        <f t="shared" si="16"/>
        <v>1.8714240367519605E-2</v>
      </c>
      <c r="K41" s="178">
        <f>K37*0.124</f>
        <v>12956.922966736127</v>
      </c>
      <c r="L41" s="80">
        <f t="shared" si="17"/>
        <v>1.8714240367519605E-2</v>
      </c>
      <c r="M41" s="178">
        <f>M37*0.124</f>
        <v>13280.846040904529</v>
      </c>
      <c r="N41" s="80">
        <f t="shared" si="18"/>
        <v>1.8714240367519605E-2</v>
      </c>
      <c r="O41" s="178">
        <f>O37*0.124</f>
        <v>13612.867191927142</v>
      </c>
      <c r="P41" s="80">
        <f t="shared" si="19"/>
        <v>1.8623394540492808E-2</v>
      </c>
      <c r="Q41" s="178">
        <f>Q37*0.124</f>
        <v>13953.18887172532</v>
      </c>
      <c r="R41" s="80">
        <f t="shared" si="20"/>
        <v>1.853298971262634E-2</v>
      </c>
      <c r="S41" s="178">
        <f>S37*0.124</f>
        <v>14232.252649159827</v>
      </c>
      <c r="T41" s="80">
        <f t="shared" si="21"/>
        <v>1.8370893592690833E-2</v>
      </c>
      <c r="U41" s="178">
        <f>U37*0.124</f>
        <v>14588.058965388822</v>
      </c>
      <c r="V41" s="80">
        <f t="shared" si="22"/>
        <v>1.8281714497580683E-2</v>
      </c>
    </row>
    <row r="42" spans="1:22" ht="12.75" customHeight="1">
      <c r="A42" s="2" t="s">
        <v>390</v>
      </c>
      <c r="B42" s="35"/>
      <c r="C42" s="178"/>
      <c r="D42" s="80">
        <f t="shared" si="13"/>
        <v>0</v>
      </c>
      <c r="E42" s="178"/>
      <c r="F42" s="80">
        <f t="shared" si="14"/>
        <v>0</v>
      </c>
      <c r="G42" s="178"/>
      <c r="H42" s="80">
        <f t="shared" si="15"/>
        <v>0</v>
      </c>
      <c r="I42" s="178"/>
      <c r="J42" s="80">
        <f t="shared" si="16"/>
        <v>0</v>
      </c>
      <c r="K42" s="178"/>
      <c r="L42" s="80">
        <f t="shared" si="17"/>
        <v>0</v>
      </c>
      <c r="M42" s="178"/>
      <c r="N42" s="80">
        <f t="shared" si="18"/>
        <v>0</v>
      </c>
      <c r="O42" s="178"/>
      <c r="P42" s="80">
        <f t="shared" si="19"/>
        <v>0</v>
      </c>
      <c r="Q42" s="178"/>
      <c r="R42" s="80">
        <f t="shared" si="20"/>
        <v>0</v>
      </c>
      <c r="S42" s="178"/>
      <c r="T42" s="80">
        <f t="shared" si="21"/>
        <v>0</v>
      </c>
      <c r="U42" s="178"/>
      <c r="V42" s="80">
        <f t="shared" si="22"/>
        <v>0</v>
      </c>
    </row>
    <row r="43" spans="1:22" ht="12.75" customHeight="1">
      <c r="A43" s="2" t="s">
        <v>391</v>
      </c>
      <c r="B43" s="35"/>
      <c r="C43" s="178"/>
      <c r="D43" s="80">
        <f t="shared" si="13"/>
        <v>0</v>
      </c>
      <c r="E43" s="178"/>
      <c r="F43" s="80">
        <f t="shared" si="14"/>
        <v>0</v>
      </c>
      <c r="G43" s="178"/>
      <c r="H43" s="80">
        <f t="shared" si="15"/>
        <v>0</v>
      </c>
      <c r="I43" s="178"/>
      <c r="J43" s="80">
        <f t="shared" si="16"/>
        <v>0</v>
      </c>
      <c r="K43" s="178"/>
      <c r="L43" s="80">
        <f t="shared" si="17"/>
        <v>0</v>
      </c>
      <c r="M43" s="178"/>
      <c r="N43" s="80">
        <f t="shared" si="18"/>
        <v>0</v>
      </c>
      <c r="O43" s="178"/>
      <c r="P43" s="80">
        <f t="shared" si="19"/>
        <v>0</v>
      </c>
      <c r="Q43" s="178"/>
      <c r="R43" s="80">
        <f t="shared" si="20"/>
        <v>0</v>
      </c>
      <c r="S43" s="178"/>
      <c r="T43" s="80">
        <f t="shared" si="21"/>
        <v>0</v>
      </c>
      <c r="U43" s="178"/>
      <c r="V43" s="80">
        <f t="shared" si="22"/>
        <v>0</v>
      </c>
    </row>
    <row r="44" spans="1:22" ht="12.75" customHeight="1">
      <c r="A44" s="2" t="s">
        <v>392</v>
      </c>
      <c r="B44" s="35"/>
      <c r="C44" s="178"/>
      <c r="D44" s="80">
        <f t="shared" si="13"/>
        <v>0</v>
      </c>
      <c r="E44" s="178"/>
      <c r="F44" s="80">
        <f t="shared" si="14"/>
        <v>0</v>
      </c>
      <c r="G44" s="178"/>
      <c r="H44" s="80">
        <f t="shared" si="15"/>
        <v>0</v>
      </c>
      <c r="I44" s="178"/>
      <c r="J44" s="80">
        <f t="shared" si="16"/>
        <v>0</v>
      </c>
      <c r="K44" s="178"/>
      <c r="L44" s="80">
        <f t="shared" si="17"/>
        <v>0</v>
      </c>
      <c r="M44" s="178"/>
      <c r="N44" s="80">
        <f t="shared" si="18"/>
        <v>0</v>
      </c>
      <c r="O44" s="178"/>
      <c r="P44" s="80">
        <f t="shared" si="19"/>
        <v>0</v>
      </c>
      <c r="Q44" s="178"/>
      <c r="R44" s="80">
        <f t="shared" si="20"/>
        <v>0</v>
      </c>
      <c r="S44" s="178"/>
      <c r="T44" s="80">
        <f t="shared" si="21"/>
        <v>0</v>
      </c>
      <c r="U44" s="178"/>
      <c r="V44" s="80">
        <f t="shared" si="22"/>
        <v>0</v>
      </c>
    </row>
    <row r="45" spans="1:22" ht="12.75" customHeight="1">
      <c r="A45" s="2" t="s">
        <v>393</v>
      </c>
      <c r="B45" s="35"/>
      <c r="C45" s="181">
        <f>SUM(C36:C39)*0.094</f>
        <v>28419.114000000001</v>
      </c>
      <c r="D45" s="80">
        <f t="shared" si="13"/>
        <v>4.8746336192109781E-2</v>
      </c>
      <c r="E45" s="181">
        <f>SUM(E36:E39)*0.094</f>
        <v>31080.879006000003</v>
      </c>
      <c r="F45" s="80">
        <f t="shared" si="14"/>
        <v>5.120408402965404E-2</v>
      </c>
      <c r="G45" s="181">
        <f>SUM(G36:G39)*0.094</f>
        <v>23177.306879709999</v>
      </c>
      <c r="H45" s="80">
        <f t="shared" si="15"/>
        <v>3.568539450909175E-2</v>
      </c>
      <c r="I45" s="181">
        <f>SUM(I36:I39)*0.094</f>
        <v>23874.924125209469</v>
      </c>
      <c r="J45" s="80">
        <f t="shared" si="16"/>
        <v>3.5345667851239299E-2</v>
      </c>
      <c r="K45" s="181">
        <f>SUM(K36:K39)*0.094</f>
        <v>24471.797228339699</v>
      </c>
      <c r="L45" s="80">
        <f t="shared" si="17"/>
        <v>3.5345667851239292E-2</v>
      </c>
      <c r="M45" s="181">
        <f>SUM(M36:M39)*0.094</f>
        <v>25083.592159048196</v>
      </c>
      <c r="N45" s="80">
        <f t="shared" si="18"/>
        <v>3.5345667851239305E-2</v>
      </c>
      <c r="O45" s="181">
        <f>SUM(O36:O39)*0.094</f>
        <v>25710.681963024395</v>
      </c>
      <c r="P45" s="80">
        <f t="shared" si="19"/>
        <v>3.5174086939340071E-2</v>
      </c>
      <c r="Q45" s="181">
        <f>SUM(Q36:Q39)*0.094</f>
        <v>26353.449012100002</v>
      </c>
      <c r="R45" s="80">
        <f t="shared" si="20"/>
        <v>3.5003338944488906E-2</v>
      </c>
      <c r="S45" s="181">
        <f>SUM(S36:S39)*0.094</f>
        <v>26929.23916745395</v>
      </c>
      <c r="T45" s="80">
        <f t="shared" si="21"/>
        <v>3.4760076248830735E-2</v>
      </c>
      <c r="U45" s="181">
        <f>SUM(U36:U39)*0.094</f>
        <v>27602.470146640295</v>
      </c>
      <c r="V45" s="80">
        <f t="shared" si="22"/>
        <v>3.4591338014613109E-2</v>
      </c>
    </row>
    <row r="46" spans="1:22" ht="12.75" customHeight="1">
      <c r="A46" s="1" t="s">
        <v>394</v>
      </c>
      <c r="B46" s="53"/>
      <c r="C46" s="82">
        <f>SUM(C36:C45)</f>
        <v>354682.23800000001</v>
      </c>
      <c r="D46" s="83">
        <f t="shared" si="13"/>
        <v>0.60837433619210979</v>
      </c>
      <c r="E46" s="82">
        <f>SUM(E36:E45)</f>
        <v>387653.54144200002</v>
      </c>
      <c r="F46" s="83">
        <f t="shared" si="14"/>
        <v>0.6386384537759473</v>
      </c>
      <c r="G46" s="82">
        <f>SUM(G36:G45)</f>
        <v>290295.79069196997</v>
      </c>
      <c r="H46" s="83">
        <f t="shared" si="15"/>
        <v>0.44695960013544467</v>
      </c>
      <c r="I46" s="82">
        <f>SUM(I36:I45)</f>
        <v>299014.39527150424</v>
      </c>
      <c r="J46" s="83">
        <f t="shared" si="16"/>
        <v>0.44267631773732563</v>
      </c>
      <c r="K46" s="82">
        <f>SUM(K36:K45)</f>
        <v>306489.75515329186</v>
      </c>
      <c r="L46" s="83">
        <f t="shared" si="17"/>
        <v>0.44267631773732563</v>
      </c>
      <c r="M46" s="82">
        <f>SUM(M36:M45)</f>
        <v>314151.99903212412</v>
      </c>
      <c r="N46" s="83">
        <f t="shared" si="18"/>
        <v>0.44267631773732569</v>
      </c>
      <c r="O46" s="82">
        <f>SUM(O36:O45)</f>
        <v>322005.79900792718</v>
      </c>
      <c r="P46" s="83">
        <f t="shared" si="19"/>
        <v>0.44052740357355219</v>
      </c>
      <c r="Q46" s="82">
        <f>SUM(Q36:Q45)</f>
        <v>330055.94398312538</v>
      </c>
      <c r="R46" s="83">
        <f t="shared" si="20"/>
        <v>0.438388921031933</v>
      </c>
      <c r="S46" s="82">
        <f>SUM(S36:S45)</f>
        <v>337271.06173915637</v>
      </c>
      <c r="T46" s="83">
        <f t="shared" si="21"/>
        <v>0.43534716111645683</v>
      </c>
      <c r="U46" s="82">
        <f>SUM(U36:U45)</f>
        <v>345702.83828263526</v>
      </c>
      <c r="V46" s="83">
        <f t="shared" si="22"/>
        <v>0.43323382538288174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366</v>
      </c>
      <c r="E50" s="86" t="str">
        <f>E6</f>
        <v>FY 2019-20</v>
      </c>
      <c r="F50" s="86" t="s">
        <v>366</v>
      </c>
      <c r="G50" s="86" t="str">
        <f>G6</f>
        <v>FY 2020-21</v>
      </c>
      <c r="H50" s="86" t="s">
        <v>366</v>
      </c>
      <c r="I50" s="86" t="str">
        <f>I6</f>
        <v>FY 2021-22</v>
      </c>
      <c r="J50" s="86" t="s">
        <v>366</v>
      </c>
      <c r="K50" s="86" t="str">
        <f>K6</f>
        <v>FY 2022-23</v>
      </c>
      <c r="L50" s="86" t="s">
        <v>366</v>
      </c>
      <c r="M50" s="86" t="str">
        <f>M6</f>
        <v>FY 2023-24</v>
      </c>
      <c r="N50" s="86" t="s">
        <v>366</v>
      </c>
      <c r="O50" s="86" t="str">
        <f>O6</f>
        <v>FY 2024-25</v>
      </c>
      <c r="P50" s="86" t="s">
        <v>366</v>
      </c>
      <c r="Q50" s="86" t="str">
        <f>Q6</f>
        <v>FY 2025-26</v>
      </c>
      <c r="R50" s="86" t="s">
        <v>366</v>
      </c>
      <c r="S50" s="86" t="str">
        <f>S6</f>
        <v>FY 2026-27</v>
      </c>
      <c r="T50" s="86" t="s">
        <v>366</v>
      </c>
      <c r="U50" s="86" t="str">
        <f>U6</f>
        <v>FY 2027-28</v>
      </c>
      <c r="V50" s="86" t="s">
        <v>366</v>
      </c>
    </row>
    <row r="51" spans="1:24" ht="12.75" customHeight="1">
      <c r="A51" s="1" t="s">
        <v>395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396</v>
      </c>
      <c r="B52" s="35"/>
      <c r="C52" s="178">
        <v>0</v>
      </c>
      <c r="D52" s="80">
        <f t="shared" ref="D52:D104" si="24">IFERROR(C52/C$28,0)</f>
        <v>0</v>
      </c>
      <c r="E52" s="178">
        <v>0</v>
      </c>
      <c r="F52" s="80">
        <f t="shared" ref="F52:F104" si="25">IFERROR(E52/E$28,0)</f>
        <v>0</v>
      </c>
      <c r="G52" s="178">
        <v>0</v>
      </c>
      <c r="H52" s="80">
        <f t="shared" ref="H52:H104" si="26">IFERROR(G52/G$28,0)</f>
        <v>0</v>
      </c>
      <c r="I52" s="178">
        <v>0</v>
      </c>
      <c r="J52" s="80">
        <f t="shared" ref="J52:J104" si="27">IFERROR(I52/I$28,0)</f>
        <v>0</v>
      </c>
      <c r="K52" s="178">
        <v>0</v>
      </c>
      <c r="L52" s="80">
        <f t="shared" ref="L52:L104" si="28">IFERROR(K52/K$28,0)</f>
        <v>0</v>
      </c>
      <c r="M52" s="178">
        <v>0</v>
      </c>
      <c r="N52" s="80">
        <f t="shared" ref="N52:N104" si="29">IFERROR(M52/M$28,0)</f>
        <v>0</v>
      </c>
      <c r="O52" s="178">
        <v>0</v>
      </c>
      <c r="P52" s="80">
        <f t="shared" ref="P52:P104" si="30">IFERROR(O52/O$28,0)</f>
        <v>0</v>
      </c>
      <c r="Q52" s="178">
        <v>0</v>
      </c>
      <c r="R52" s="80">
        <f t="shared" ref="R52:R104" si="31">IFERROR(Q52/Q$28,0)</f>
        <v>0</v>
      </c>
      <c r="S52" s="178">
        <v>0</v>
      </c>
      <c r="T52" s="80">
        <f t="shared" ref="T52:T104" si="32">IFERROR(S52/S$28,0)</f>
        <v>0</v>
      </c>
      <c r="U52" s="178">
        <v>0</v>
      </c>
      <c r="V52" s="80">
        <f t="shared" ref="V52:V105" si="33">IFERROR(U52/U$28,0)</f>
        <v>0</v>
      </c>
      <c r="X52" s="192"/>
    </row>
    <row r="53" spans="1:24" ht="12.75" customHeight="1">
      <c r="A53" s="2" t="s">
        <v>397</v>
      </c>
      <c r="B53" s="35"/>
      <c r="C53" s="178">
        <v>0</v>
      </c>
      <c r="D53" s="80">
        <f t="shared" si="24"/>
        <v>0</v>
      </c>
      <c r="E53" s="178">
        <v>0</v>
      </c>
      <c r="F53" s="80">
        <f t="shared" si="25"/>
        <v>0</v>
      </c>
      <c r="G53" s="178">
        <v>0</v>
      </c>
      <c r="H53" s="80">
        <f t="shared" si="26"/>
        <v>0</v>
      </c>
      <c r="I53" s="178">
        <v>0</v>
      </c>
      <c r="J53" s="80">
        <f t="shared" si="27"/>
        <v>0</v>
      </c>
      <c r="K53" s="178">
        <v>0</v>
      </c>
      <c r="L53" s="80">
        <f t="shared" si="28"/>
        <v>0</v>
      </c>
      <c r="M53" s="178">
        <v>0</v>
      </c>
      <c r="N53" s="80">
        <f t="shared" si="29"/>
        <v>0</v>
      </c>
      <c r="O53" s="178">
        <v>0</v>
      </c>
      <c r="P53" s="80">
        <f t="shared" si="30"/>
        <v>0</v>
      </c>
      <c r="Q53" s="178">
        <v>0</v>
      </c>
      <c r="R53" s="80">
        <f t="shared" si="31"/>
        <v>0</v>
      </c>
      <c r="S53" s="178">
        <v>0</v>
      </c>
      <c r="T53" s="80">
        <f t="shared" si="32"/>
        <v>0</v>
      </c>
      <c r="U53" s="178">
        <v>0</v>
      </c>
      <c r="V53" s="80">
        <f t="shared" si="33"/>
        <v>0</v>
      </c>
      <c r="X53" s="192"/>
    </row>
    <row r="54" spans="1:24" ht="12.75" customHeight="1">
      <c r="A54" s="2" t="s">
        <v>398</v>
      </c>
      <c r="B54" s="35"/>
      <c r="C54" s="178">
        <v>408.09999999999997</v>
      </c>
      <c r="D54" s="80">
        <f t="shared" si="24"/>
        <v>6.9999999999999999E-4</v>
      </c>
      <c r="E54" s="178">
        <v>424.9</v>
      </c>
      <c r="F54" s="80">
        <f t="shared" si="25"/>
        <v>6.9999999999999999E-4</v>
      </c>
      <c r="G54" s="178">
        <v>454.64299999999997</v>
      </c>
      <c r="H54" s="80">
        <f t="shared" si="26"/>
        <v>6.9999999999999999E-4</v>
      </c>
      <c r="I54" s="178">
        <v>472.82871999999998</v>
      </c>
      <c r="J54" s="80">
        <f t="shared" si="27"/>
        <v>6.9999999999999999E-4</v>
      </c>
      <c r="K54" s="178">
        <v>484.64943799999992</v>
      </c>
      <c r="L54" s="80">
        <f t="shared" si="28"/>
        <v>6.9999999999999988E-4</v>
      </c>
      <c r="M54" s="178">
        <v>496.76567394999989</v>
      </c>
      <c r="N54" s="80">
        <f t="shared" si="29"/>
        <v>6.9999999999999999E-4</v>
      </c>
      <c r="O54" s="178">
        <v>511.66864416849995</v>
      </c>
      <c r="P54" s="80">
        <f t="shared" si="30"/>
        <v>6.9999999999999999E-4</v>
      </c>
      <c r="Q54" s="178">
        <v>527.01870349355488</v>
      </c>
      <c r="R54" s="80">
        <f t="shared" si="31"/>
        <v>6.9999999999999999E-4</v>
      </c>
      <c r="S54" s="178">
        <v>542.30224589486795</v>
      </c>
      <c r="T54" s="80">
        <f t="shared" si="32"/>
        <v>6.9999999999999999E-4</v>
      </c>
      <c r="U54" s="178">
        <v>558.57131327171396</v>
      </c>
      <c r="V54" s="80">
        <f t="shared" si="33"/>
        <v>6.9999999999999999E-4</v>
      </c>
      <c r="X54" s="192"/>
    </row>
    <row r="55" spans="1:24" ht="12.75" customHeight="1">
      <c r="A55" s="2" t="s">
        <v>399</v>
      </c>
      <c r="B55" s="35"/>
      <c r="C55" s="178">
        <v>40810.000000000007</v>
      </c>
      <c r="D55" s="80">
        <f t="shared" si="24"/>
        <v>7.0000000000000007E-2</v>
      </c>
      <c r="E55" s="178">
        <v>42490.000000000007</v>
      </c>
      <c r="F55" s="80">
        <f t="shared" si="25"/>
        <v>7.0000000000000007E-2</v>
      </c>
      <c r="G55" s="178">
        <v>45464.3</v>
      </c>
      <c r="H55" s="80">
        <f t="shared" si="26"/>
        <v>7.0000000000000007E-2</v>
      </c>
      <c r="I55" s="178">
        <v>47282.872000000003</v>
      </c>
      <c r="J55" s="80">
        <f t="shared" si="27"/>
        <v>7.0000000000000007E-2</v>
      </c>
      <c r="K55" s="178">
        <v>48464.943800000001</v>
      </c>
      <c r="L55" s="80">
        <f t="shared" si="28"/>
        <v>7.0000000000000007E-2</v>
      </c>
      <c r="M55" s="178">
        <v>49676.567394999998</v>
      </c>
      <c r="N55" s="80">
        <f t="shared" si="29"/>
        <v>7.0000000000000007E-2</v>
      </c>
      <c r="O55" s="178">
        <v>51166.864416849996</v>
      </c>
      <c r="P55" s="80">
        <f t="shared" si="30"/>
        <v>7.0000000000000007E-2</v>
      </c>
      <c r="Q55" s="178">
        <v>52701.870349355493</v>
      </c>
      <c r="R55" s="80">
        <f t="shared" si="31"/>
        <v>7.0000000000000007E-2</v>
      </c>
      <c r="S55" s="178">
        <v>54230.224589486803</v>
      </c>
      <c r="T55" s="80">
        <f t="shared" si="32"/>
        <v>7.0000000000000007E-2</v>
      </c>
      <c r="U55" s="178">
        <v>55857.131327171403</v>
      </c>
      <c r="V55" s="80">
        <f t="shared" si="33"/>
        <v>7.0000000000000007E-2</v>
      </c>
      <c r="X55" s="192"/>
    </row>
    <row r="56" spans="1:24" ht="12.75" customHeight="1">
      <c r="A56" s="2" t="s">
        <v>400</v>
      </c>
      <c r="B56" s="35"/>
      <c r="C56" s="178">
        <v>297.33</v>
      </c>
      <c r="D56" s="80">
        <f t="shared" si="24"/>
        <v>5.0999999999999993E-4</v>
      </c>
      <c r="E56" s="178">
        <v>309.57</v>
      </c>
      <c r="F56" s="80">
        <f t="shared" si="25"/>
        <v>5.1000000000000004E-4</v>
      </c>
      <c r="G56" s="178">
        <v>331.23989999999998</v>
      </c>
      <c r="H56" s="80">
        <f t="shared" si="26"/>
        <v>5.0999999999999993E-4</v>
      </c>
      <c r="I56" s="178">
        <v>344.48949600000003</v>
      </c>
      <c r="J56" s="80">
        <f t="shared" si="27"/>
        <v>5.1000000000000004E-4</v>
      </c>
      <c r="K56" s="178">
        <v>353.1017334</v>
      </c>
      <c r="L56" s="80">
        <f t="shared" si="28"/>
        <v>5.1000000000000004E-4</v>
      </c>
      <c r="M56" s="178">
        <v>361.92927673499992</v>
      </c>
      <c r="N56" s="80">
        <f t="shared" si="29"/>
        <v>5.0999999999999993E-4</v>
      </c>
      <c r="O56" s="178">
        <v>372.78715503705001</v>
      </c>
      <c r="P56" s="80">
        <f t="shared" si="30"/>
        <v>5.1000000000000004E-4</v>
      </c>
      <c r="Q56" s="178">
        <v>383.97076968816145</v>
      </c>
      <c r="R56" s="80">
        <f t="shared" si="31"/>
        <v>5.1000000000000004E-4</v>
      </c>
      <c r="S56" s="178">
        <v>395.1059220091181</v>
      </c>
      <c r="T56" s="80">
        <f t="shared" si="32"/>
        <v>5.1000000000000004E-4</v>
      </c>
      <c r="U56" s="178">
        <v>406.95909966939161</v>
      </c>
      <c r="V56" s="80">
        <f t="shared" si="33"/>
        <v>5.1000000000000004E-4</v>
      </c>
      <c r="X56" s="192"/>
    </row>
    <row r="57" spans="1:24" ht="12.75" customHeight="1">
      <c r="A57" s="2" t="s">
        <v>401</v>
      </c>
      <c r="B57" s="35"/>
      <c r="C57" s="178">
        <v>0</v>
      </c>
      <c r="D57" s="80">
        <f t="shared" si="24"/>
        <v>0</v>
      </c>
      <c r="E57" s="178">
        <v>0</v>
      </c>
      <c r="F57" s="80">
        <f t="shared" si="25"/>
        <v>0</v>
      </c>
      <c r="G57" s="178">
        <v>0</v>
      </c>
      <c r="H57" s="80">
        <f t="shared" si="26"/>
        <v>0</v>
      </c>
      <c r="I57" s="178">
        <v>0</v>
      </c>
      <c r="J57" s="80">
        <f t="shared" si="27"/>
        <v>0</v>
      </c>
      <c r="K57" s="178">
        <v>0</v>
      </c>
      <c r="L57" s="80">
        <f t="shared" si="28"/>
        <v>0</v>
      </c>
      <c r="M57" s="178">
        <v>0</v>
      </c>
      <c r="N57" s="80">
        <f t="shared" si="29"/>
        <v>0</v>
      </c>
      <c r="O57" s="178">
        <v>0</v>
      </c>
      <c r="P57" s="80">
        <f t="shared" si="30"/>
        <v>0</v>
      </c>
      <c r="Q57" s="178">
        <v>0</v>
      </c>
      <c r="R57" s="80">
        <f t="shared" si="31"/>
        <v>0</v>
      </c>
      <c r="S57" s="178">
        <v>0</v>
      </c>
      <c r="T57" s="80">
        <f t="shared" si="32"/>
        <v>0</v>
      </c>
      <c r="U57" s="178">
        <v>0</v>
      </c>
      <c r="V57" s="80">
        <f t="shared" si="33"/>
        <v>0</v>
      </c>
      <c r="X57" s="192"/>
    </row>
    <row r="58" spans="1:24" ht="12.75" customHeight="1">
      <c r="A58" s="2" t="s">
        <v>402</v>
      </c>
      <c r="B58" s="35"/>
      <c r="C58" s="178">
        <v>0</v>
      </c>
      <c r="D58" s="80">
        <f t="shared" si="24"/>
        <v>0</v>
      </c>
      <c r="E58" s="178">
        <v>0</v>
      </c>
      <c r="F58" s="80">
        <f t="shared" si="25"/>
        <v>0</v>
      </c>
      <c r="G58" s="178">
        <v>0</v>
      </c>
      <c r="H58" s="80">
        <f t="shared" si="26"/>
        <v>0</v>
      </c>
      <c r="I58" s="178">
        <v>0</v>
      </c>
      <c r="J58" s="80">
        <f t="shared" si="27"/>
        <v>0</v>
      </c>
      <c r="K58" s="178">
        <v>0</v>
      </c>
      <c r="L58" s="80">
        <f t="shared" si="28"/>
        <v>0</v>
      </c>
      <c r="M58" s="178">
        <v>0</v>
      </c>
      <c r="N58" s="80">
        <f t="shared" si="29"/>
        <v>0</v>
      </c>
      <c r="O58" s="178">
        <v>0</v>
      </c>
      <c r="P58" s="80">
        <f t="shared" si="30"/>
        <v>0</v>
      </c>
      <c r="Q58" s="178">
        <v>0</v>
      </c>
      <c r="R58" s="80">
        <f t="shared" si="31"/>
        <v>0</v>
      </c>
      <c r="S58" s="178">
        <v>0</v>
      </c>
      <c r="T58" s="80">
        <f t="shared" si="32"/>
        <v>0</v>
      </c>
      <c r="U58" s="178">
        <v>0</v>
      </c>
      <c r="V58" s="80">
        <f t="shared" si="33"/>
        <v>0</v>
      </c>
      <c r="X58" s="192"/>
    </row>
    <row r="59" spans="1:24" ht="12.75" customHeight="1">
      <c r="A59" s="2" t="s">
        <v>403</v>
      </c>
      <c r="B59" s="35"/>
      <c r="C59" s="178"/>
      <c r="D59" s="80">
        <f t="shared" si="24"/>
        <v>0</v>
      </c>
      <c r="E59" s="178"/>
      <c r="F59" s="80">
        <f t="shared" si="25"/>
        <v>0</v>
      </c>
      <c r="G59" s="178"/>
      <c r="H59" s="80">
        <f t="shared" si="26"/>
        <v>0</v>
      </c>
      <c r="I59" s="178"/>
      <c r="J59" s="80">
        <f t="shared" si="27"/>
        <v>0</v>
      </c>
      <c r="K59" s="178"/>
      <c r="L59" s="80">
        <f t="shared" si="28"/>
        <v>0</v>
      </c>
      <c r="M59" s="178"/>
      <c r="N59" s="80">
        <f t="shared" si="29"/>
        <v>0</v>
      </c>
      <c r="O59" s="178"/>
      <c r="P59" s="80">
        <f t="shared" si="30"/>
        <v>0</v>
      </c>
      <c r="Q59" s="178"/>
      <c r="R59" s="80">
        <f t="shared" si="31"/>
        <v>0</v>
      </c>
      <c r="S59" s="178"/>
      <c r="T59" s="80">
        <f t="shared" si="32"/>
        <v>0</v>
      </c>
      <c r="U59" s="178"/>
      <c r="V59" s="80">
        <f t="shared" si="33"/>
        <v>0</v>
      </c>
      <c r="X59" s="192"/>
    </row>
    <row r="60" spans="1:24" ht="12.75" customHeight="1">
      <c r="A60" s="2" t="s">
        <v>404</v>
      </c>
      <c r="B60" s="35"/>
      <c r="C60" s="178">
        <v>0</v>
      </c>
      <c r="D60" s="80">
        <f t="shared" si="24"/>
        <v>0</v>
      </c>
      <c r="E60" s="178">
        <v>0</v>
      </c>
      <c r="F60" s="80">
        <f t="shared" si="25"/>
        <v>0</v>
      </c>
      <c r="G60" s="178">
        <v>0</v>
      </c>
      <c r="H60" s="80">
        <f t="shared" si="26"/>
        <v>0</v>
      </c>
      <c r="I60" s="178">
        <v>0</v>
      </c>
      <c r="J60" s="80">
        <f t="shared" si="27"/>
        <v>0</v>
      </c>
      <c r="K60" s="178">
        <v>0</v>
      </c>
      <c r="L60" s="80">
        <f t="shared" si="28"/>
        <v>0</v>
      </c>
      <c r="M60" s="178">
        <v>0</v>
      </c>
      <c r="N60" s="80">
        <f t="shared" si="29"/>
        <v>0</v>
      </c>
      <c r="O60" s="178">
        <v>0</v>
      </c>
      <c r="P60" s="80">
        <f t="shared" si="30"/>
        <v>0</v>
      </c>
      <c r="Q60" s="178">
        <v>0</v>
      </c>
      <c r="R60" s="80">
        <f t="shared" si="31"/>
        <v>0</v>
      </c>
      <c r="S60" s="178">
        <v>0</v>
      </c>
      <c r="T60" s="80">
        <f t="shared" si="32"/>
        <v>0</v>
      </c>
      <c r="U60" s="178">
        <v>0</v>
      </c>
      <c r="V60" s="80">
        <f t="shared" si="33"/>
        <v>0</v>
      </c>
      <c r="X60" s="192"/>
    </row>
    <row r="61" spans="1:24" ht="12.75" customHeight="1">
      <c r="A61" s="2" t="s">
        <v>405</v>
      </c>
      <c r="B61" s="35"/>
      <c r="C61" s="178">
        <v>0</v>
      </c>
      <c r="D61" s="80">
        <f t="shared" si="24"/>
        <v>0</v>
      </c>
      <c r="E61" s="178">
        <v>0</v>
      </c>
      <c r="F61" s="80">
        <f t="shared" si="25"/>
        <v>0</v>
      </c>
      <c r="G61" s="178">
        <v>0</v>
      </c>
      <c r="H61" s="80">
        <f t="shared" si="26"/>
        <v>0</v>
      </c>
      <c r="I61" s="178">
        <v>0</v>
      </c>
      <c r="J61" s="80">
        <f t="shared" si="27"/>
        <v>0</v>
      </c>
      <c r="K61" s="178">
        <v>0</v>
      </c>
      <c r="L61" s="80">
        <f t="shared" si="28"/>
        <v>0</v>
      </c>
      <c r="M61" s="178">
        <v>0</v>
      </c>
      <c r="N61" s="80">
        <f t="shared" si="29"/>
        <v>0</v>
      </c>
      <c r="O61" s="178">
        <v>0</v>
      </c>
      <c r="P61" s="80">
        <f t="shared" si="30"/>
        <v>0</v>
      </c>
      <c r="Q61" s="178">
        <v>0</v>
      </c>
      <c r="R61" s="80">
        <f t="shared" si="31"/>
        <v>0</v>
      </c>
      <c r="S61" s="178">
        <v>0</v>
      </c>
      <c r="T61" s="80">
        <f t="shared" si="32"/>
        <v>0</v>
      </c>
      <c r="U61" s="178">
        <v>0</v>
      </c>
      <c r="V61" s="80">
        <f t="shared" si="33"/>
        <v>0</v>
      </c>
      <c r="X61" s="192"/>
    </row>
    <row r="62" spans="1:24" ht="12.75" customHeight="1">
      <c r="A62" s="2" t="s">
        <v>406</v>
      </c>
      <c r="B62" s="35"/>
      <c r="C62" s="178">
        <v>0</v>
      </c>
      <c r="D62" s="80">
        <f t="shared" si="24"/>
        <v>0</v>
      </c>
      <c r="E62" s="178">
        <v>0</v>
      </c>
      <c r="F62" s="80">
        <f t="shared" si="25"/>
        <v>0</v>
      </c>
      <c r="G62" s="178">
        <v>0</v>
      </c>
      <c r="H62" s="80">
        <f t="shared" si="26"/>
        <v>0</v>
      </c>
      <c r="I62" s="178">
        <v>0</v>
      </c>
      <c r="J62" s="80">
        <f t="shared" si="27"/>
        <v>0</v>
      </c>
      <c r="K62" s="178">
        <v>0</v>
      </c>
      <c r="L62" s="80">
        <f t="shared" si="28"/>
        <v>0</v>
      </c>
      <c r="M62" s="178">
        <v>0</v>
      </c>
      <c r="N62" s="80">
        <f t="shared" si="29"/>
        <v>0</v>
      </c>
      <c r="O62" s="178">
        <v>0</v>
      </c>
      <c r="P62" s="80">
        <f t="shared" si="30"/>
        <v>0</v>
      </c>
      <c r="Q62" s="178">
        <v>0</v>
      </c>
      <c r="R62" s="80">
        <f t="shared" si="31"/>
        <v>0</v>
      </c>
      <c r="S62" s="178">
        <v>0</v>
      </c>
      <c r="T62" s="80">
        <f t="shared" si="32"/>
        <v>0</v>
      </c>
      <c r="U62" s="178">
        <v>0</v>
      </c>
      <c r="V62" s="80">
        <f t="shared" si="33"/>
        <v>0</v>
      </c>
      <c r="X62" s="192"/>
    </row>
    <row r="63" spans="1:24" ht="12.75" customHeight="1">
      <c r="A63" s="2" t="s">
        <v>407</v>
      </c>
      <c r="B63" s="35"/>
      <c r="C63" s="178">
        <v>7092.5913488365713</v>
      </c>
      <c r="D63" s="80">
        <f t="shared" si="24"/>
        <v>1.2165679843630482E-2</v>
      </c>
      <c r="E63" s="178">
        <v>7493.5916543343319</v>
      </c>
      <c r="F63" s="80">
        <f t="shared" si="25"/>
        <v>1.2345291028557383E-2</v>
      </c>
      <c r="G63" s="178">
        <v>7933.2711153073296</v>
      </c>
      <c r="H63" s="80">
        <f t="shared" si="26"/>
        <v>1.2214616260923693E-2</v>
      </c>
      <c r="I63" s="178">
        <v>8271.7876445211878</v>
      </c>
      <c r="J63" s="80">
        <f t="shared" si="27"/>
        <v>1.2245980640018719E-2</v>
      </c>
      <c r="K63" s="178">
        <v>8452.451655504874</v>
      </c>
      <c r="L63" s="80">
        <f t="shared" si="28"/>
        <v>1.2208238976341105E-2</v>
      </c>
      <c r="M63" s="178">
        <v>8678.3691889624843</v>
      </c>
      <c r="N63" s="80">
        <f t="shared" si="29"/>
        <v>1.2228820852233806E-2</v>
      </c>
      <c r="O63" s="178">
        <v>8957.1484008802181</v>
      </c>
      <c r="P63" s="80">
        <f t="shared" si="30"/>
        <v>1.2254031885822086E-2</v>
      </c>
      <c r="Q63" s="178">
        <v>9252.9575890909055</v>
      </c>
      <c r="R63" s="80">
        <f t="shared" si="31"/>
        <v>1.2290019821740243E-2</v>
      </c>
      <c r="S63" s="178">
        <v>9548.4929209324837</v>
      </c>
      <c r="T63" s="80">
        <f t="shared" si="32"/>
        <v>1.2325128828525088E-2</v>
      </c>
      <c r="U63" s="178">
        <v>9864.8846836926805</v>
      </c>
      <c r="V63" s="80">
        <f t="shared" si="33"/>
        <v>1.236264576162681E-2</v>
      </c>
      <c r="X63" s="192"/>
    </row>
    <row r="64" spans="1:24" ht="12.75" customHeight="1">
      <c r="A64" s="2" t="s">
        <v>408</v>
      </c>
      <c r="B64" s="35"/>
      <c r="C64" s="178">
        <v>2798.3999999999996</v>
      </c>
      <c r="D64" s="80">
        <f t="shared" si="24"/>
        <v>4.7999999999999996E-3</v>
      </c>
      <c r="E64" s="178">
        <v>2913.5999999999995</v>
      </c>
      <c r="F64" s="80">
        <f t="shared" si="25"/>
        <v>4.7999999999999987E-3</v>
      </c>
      <c r="G64" s="178">
        <v>3117.5519999999997</v>
      </c>
      <c r="H64" s="80">
        <f t="shared" si="26"/>
        <v>4.7999999999999996E-3</v>
      </c>
      <c r="I64" s="178">
        <v>3242.2540799999992</v>
      </c>
      <c r="J64" s="80">
        <f t="shared" si="27"/>
        <v>4.7999999999999987E-3</v>
      </c>
      <c r="K64" s="178">
        <v>3323.3104319999998</v>
      </c>
      <c r="L64" s="80">
        <f t="shared" si="28"/>
        <v>4.7999999999999996E-3</v>
      </c>
      <c r="M64" s="178">
        <v>3406.3931927999988</v>
      </c>
      <c r="N64" s="80">
        <f t="shared" si="29"/>
        <v>4.7999999999999996E-3</v>
      </c>
      <c r="O64" s="178">
        <v>3508.5849885839993</v>
      </c>
      <c r="P64" s="80">
        <f t="shared" si="30"/>
        <v>4.7999999999999996E-3</v>
      </c>
      <c r="Q64" s="178">
        <v>3613.8425382415185</v>
      </c>
      <c r="R64" s="80">
        <f t="shared" si="31"/>
        <v>4.7999999999999987E-3</v>
      </c>
      <c r="S64" s="178">
        <v>3718.643971850523</v>
      </c>
      <c r="T64" s="80">
        <f t="shared" si="32"/>
        <v>4.7999999999999996E-3</v>
      </c>
      <c r="U64" s="178">
        <v>3830.2032910060384</v>
      </c>
      <c r="V64" s="80">
        <f t="shared" si="33"/>
        <v>4.7999999999999996E-3</v>
      </c>
      <c r="X64" s="192"/>
    </row>
    <row r="65" spans="1:24" ht="12.75" customHeight="1">
      <c r="A65" s="2" t="s">
        <v>409</v>
      </c>
      <c r="B65" s="35"/>
      <c r="C65" s="178">
        <v>291.5</v>
      </c>
      <c r="D65" s="80">
        <f t="shared" si="24"/>
        <v>5.0000000000000001E-4</v>
      </c>
      <c r="E65" s="178">
        <v>303.5</v>
      </c>
      <c r="F65" s="80">
        <f t="shared" si="25"/>
        <v>5.0000000000000001E-4</v>
      </c>
      <c r="G65" s="178">
        <v>324.745</v>
      </c>
      <c r="H65" s="80">
        <f t="shared" si="26"/>
        <v>5.0000000000000001E-4</v>
      </c>
      <c r="I65" s="178">
        <v>337.73480000000001</v>
      </c>
      <c r="J65" s="80">
        <f t="shared" si="27"/>
        <v>5.0000000000000001E-4</v>
      </c>
      <c r="K65" s="178">
        <v>346.17816999999997</v>
      </c>
      <c r="L65" s="80">
        <f t="shared" si="28"/>
        <v>5.0000000000000001E-4</v>
      </c>
      <c r="M65" s="178">
        <v>354.83262424999992</v>
      </c>
      <c r="N65" s="80">
        <f t="shared" si="29"/>
        <v>5.0000000000000001E-4</v>
      </c>
      <c r="O65" s="178">
        <v>365.4776029775</v>
      </c>
      <c r="P65" s="80">
        <f t="shared" si="30"/>
        <v>5.0000000000000012E-4</v>
      </c>
      <c r="Q65" s="178">
        <v>376.44193106682496</v>
      </c>
      <c r="R65" s="80">
        <f t="shared" si="31"/>
        <v>5.0000000000000001E-4</v>
      </c>
      <c r="S65" s="178">
        <v>387.35874706776281</v>
      </c>
      <c r="T65" s="80">
        <f t="shared" si="32"/>
        <v>5.0000000000000001E-4</v>
      </c>
      <c r="U65" s="178">
        <v>398.97950947979569</v>
      </c>
      <c r="V65" s="80">
        <f t="shared" si="33"/>
        <v>5.0000000000000001E-4</v>
      </c>
      <c r="X65" s="192"/>
    </row>
    <row r="66" spans="1:24" ht="12.75" customHeight="1">
      <c r="A66" s="2" t="s">
        <v>410</v>
      </c>
      <c r="B66" s="35"/>
      <c r="C66" s="178">
        <v>1632.3999999999999</v>
      </c>
      <c r="D66" s="80">
        <f t="shared" si="24"/>
        <v>2.8E-3</v>
      </c>
      <c r="E66" s="178">
        <v>1699.6</v>
      </c>
      <c r="F66" s="80">
        <f t="shared" si="25"/>
        <v>2.8E-3</v>
      </c>
      <c r="G66" s="178">
        <v>1818.5719999999999</v>
      </c>
      <c r="H66" s="80">
        <f t="shared" si="26"/>
        <v>2.8E-3</v>
      </c>
      <c r="I66" s="178">
        <v>1891.3148799999999</v>
      </c>
      <c r="J66" s="80">
        <f t="shared" si="27"/>
        <v>2.8E-3</v>
      </c>
      <c r="K66" s="178">
        <v>1938.5977519999997</v>
      </c>
      <c r="L66" s="80">
        <f t="shared" si="28"/>
        <v>2.7999999999999995E-3</v>
      </c>
      <c r="M66" s="178">
        <v>1987.0626957999996</v>
      </c>
      <c r="N66" s="80">
        <f t="shared" si="29"/>
        <v>2.8E-3</v>
      </c>
      <c r="O66" s="178">
        <v>2046.6745766739998</v>
      </c>
      <c r="P66" s="80">
        <f t="shared" si="30"/>
        <v>2.8E-3</v>
      </c>
      <c r="Q66" s="178">
        <v>2108.0748139742195</v>
      </c>
      <c r="R66" s="80">
        <f t="shared" si="31"/>
        <v>2.8E-3</v>
      </c>
      <c r="S66" s="178">
        <v>2169.2089835794718</v>
      </c>
      <c r="T66" s="80">
        <f t="shared" si="32"/>
        <v>2.8E-3</v>
      </c>
      <c r="U66" s="178">
        <v>2234.2852530868558</v>
      </c>
      <c r="V66" s="80">
        <f t="shared" si="33"/>
        <v>2.8E-3</v>
      </c>
      <c r="X66" s="192"/>
    </row>
    <row r="67" spans="1:24" ht="12.75" customHeight="1">
      <c r="A67" s="2" t="s">
        <v>411</v>
      </c>
      <c r="B67" s="35"/>
      <c r="C67" s="178">
        <v>8745</v>
      </c>
      <c r="D67" s="80">
        <f t="shared" si="24"/>
        <v>1.4999999999999999E-2</v>
      </c>
      <c r="E67" s="178">
        <v>9105</v>
      </c>
      <c r="F67" s="80">
        <f t="shared" si="25"/>
        <v>1.4999999999999999E-2</v>
      </c>
      <c r="G67" s="178">
        <v>9742.3499999999985</v>
      </c>
      <c r="H67" s="80">
        <f t="shared" si="26"/>
        <v>1.4999999999999998E-2</v>
      </c>
      <c r="I67" s="178">
        <v>10132.043999999998</v>
      </c>
      <c r="J67" s="80">
        <f t="shared" si="27"/>
        <v>1.4999999999999998E-2</v>
      </c>
      <c r="K67" s="178">
        <v>10385.345099999999</v>
      </c>
      <c r="L67" s="80">
        <f t="shared" si="28"/>
        <v>1.4999999999999999E-2</v>
      </c>
      <c r="M67" s="178">
        <v>10644.978727499996</v>
      </c>
      <c r="N67" s="80">
        <f t="shared" si="29"/>
        <v>1.4999999999999998E-2</v>
      </c>
      <c r="O67" s="178">
        <v>10964.328089324998</v>
      </c>
      <c r="P67" s="80">
        <f t="shared" si="30"/>
        <v>1.4999999999999999E-2</v>
      </c>
      <c r="Q67" s="178">
        <v>11293.257932004746</v>
      </c>
      <c r="R67" s="80">
        <f t="shared" si="31"/>
        <v>1.4999999999999998E-2</v>
      </c>
      <c r="S67" s="178">
        <v>11620.762412032886</v>
      </c>
      <c r="T67" s="80">
        <f t="shared" si="32"/>
        <v>1.5000000000000001E-2</v>
      </c>
      <c r="U67" s="178">
        <v>11969.385284393871</v>
      </c>
      <c r="V67" s="80">
        <f t="shared" si="33"/>
        <v>1.4999999999999999E-2</v>
      </c>
      <c r="X67" s="192"/>
    </row>
    <row r="68" spans="1:24" ht="12.75" customHeight="1">
      <c r="A68" s="2" t="s">
        <v>412</v>
      </c>
      <c r="B68" s="35"/>
      <c r="C68" s="178">
        <v>991.09999999999991</v>
      </c>
      <c r="D68" s="80">
        <f t="shared" si="24"/>
        <v>1.6999999999999999E-3</v>
      </c>
      <c r="E68" s="178">
        <v>1031.8999999999999</v>
      </c>
      <c r="F68" s="80">
        <f t="shared" si="25"/>
        <v>1.6999999999999997E-3</v>
      </c>
      <c r="G68" s="178">
        <v>1104.1329999999998</v>
      </c>
      <c r="H68" s="80">
        <f t="shared" si="26"/>
        <v>1.6999999999999997E-3</v>
      </c>
      <c r="I68" s="178">
        <v>1148.2983199999999</v>
      </c>
      <c r="J68" s="80">
        <f t="shared" si="27"/>
        <v>1.6999999999999999E-3</v>
      </c>
      <c r="K68" s="178">
        <v>1177.0057779999997</v>
      </c>
      <c r="L68" s="80">
        <f t="shared" si="28"/>
        <v>1.6999999999999997E-3</v>
      </c>
      <c r="M68" s="178">
        <v>1206.4309224499996</v>
      </c>
      <c r="N68" s="80">
        <f t="shared" si="29"/>
        <v>1.6999999999999997E-3</v>
      </c>
      <c r="O68" s="178">
        <v>1242.6238501234998</v>
      </c>
      <c r="P68" s="80">
        <f t="shared" si="30"/>
        <v>1.6999999999999999E-3</v>
      </c>
      <c r="Q68" s="178">
        <v>1279.9025656272047</v>
      </c>
      <c r="R68" s="80">
        <f t="shared" si="31"/>
        <v>1.6999999999999999E-3</v>
      </c>
      <c r="S68" s="178">
        <v>1317.0197400303935</v>
      </c>
      <c r="T68" s="80">
        <f t="shared" si="32"/>
        <v>1.6999999999999997E-3</v>
      </c>
      <c r="U68" s="178">
        <v>1356.5303322313052</v>
      </c>
      <c r="V68" s="80">
        <f t="shared" si="33"/>
        <v>1.6999999999999999E-3</v>
      </c>
      <c r="X68" s="192"/>
    </row>
    <row r="69" spans="1:24" ht="12.75" customHeight="1">
      <c r="A69" s="2" t="s">
        <v>413</v>
      </c>
      <c r="B69" s="35"/>
      <c r="C69" s="178">
        <v>0</v>
      </c>
      <c r="D69" s="80">
        <f t="shared" si="24"/>
        <v>0</v>
      </c>
      <c r="E69" s="178">
        <v>0</v>
      </c>
      <c r="F69" s="80">
        <f t="shared" si="25"/>
        <v>0</v>
      </c>
      <c r="G69" s="178">
        <v>0</v>
      </c>
      <c r="H69" s="80">
        <f t="shared" si="26"/>
        <v>0</v>
      </c>
      <c r="I69" s="178">
        <v>0</v>
      </c>
      <c r="J69" s="80">
        <f t="shared" si="27"/>
        <v>0</v>
      </c>
      <c r="K69" s="178">
        <v>0</v>
      </c>
      <c r="L69" s="80">
        <f t="shared" si="28"/>
        <v>0</v>
      </c>
      <c r="M69" s="178">
        <v>0</v>
      </c>
      <c r="N69" s="80">
        <f t="shared" si="29"/>
        <v>0</v>
      </c>
      <c r="O69" s="178">
        <v>0</v>
      </c>
      <c r="P69" s="80">
        <f t="shared" si="30"/>
        <v>0</v>
      </c>
      <c r="Q69" s="178">
        <v>0</v>
      </c>
      <c r="R69" s="80">
        <f t="shared" si="31"/>
        <v>0</v>
      </c>
      <c r="S69" s="178">
        <v>0</v>
      </c>
      <c r="T69" s="80">
        <f t="shared" si="32"/>
        <v>0</v>
      </c>
      <c r="U69" s="178">
        <v>0</v>
      </c>
      <c r="V69" s="80">
        <f t="shared" si="33"/>
        <v>0</v>
      </c>
      <c r="X69" s="192"/>
    </row>
    <row r="70" spans="1:24" ht="12.75" customHeight="1">
      <c r="A70" s="2" t="s">
        <v>414</v>
      </c>
      <c r="B70" s="35"/>
      <c r="C70" s="178">
        <v>58.300000000000004</v>
      </c>
      <c r="D70" s="80">
        <f t="shared" si="24"/>
        <v>1E-4</v>
      </c>
      <c r="E70" s="178">
        <v>60.7</v>
      </c>
      <c r="F70" s="80">
        <f t="shared" si="25"/>
        <v>1E-4</v>
      </c>
      <c r="G70" s="178">
        <v>64.948999999999998</v>
      </c>
      <c r="H70" s="80">
        <f t="shared" si="26"/>
        <v>9.9999999999999991E-5</v>
      </c>
      <c r="I70" s="178">
        <v>67.546959999999999</v>
      </c>
      <c r="J70" s="80">
        <f t="shared" si="27"/>
        <v>1E-4</v>
      </c>
      <c r="K70" s="178">
        <v>69.23563399999999</v>
      </c>
      <c r="L70" s="80">
        <f t="shared" si="28"/>
        <v>9.9999999999999991E-5</v>
      </c>
      <c r="M70" s="178">
        <v>70.966524849999985</v>
      </c>
      <c r="N70" s="80">
        <f t="shared" si="29"/>
        <v>9.9999999999999991E-5</v>
      </c>
      <c r="O70" s="178">
        <v>73.095520595499991</v>
      </c>
      <c r="P70" s="80">
        <f t="shared" si="30"/>
        <v>1E-4</v>
      </c>
      <c r="Q70" s="178">
        <v>75.288386213364987</v>
      </c>
      <c r="R70" s="80">
        <f t="shared" si="31"/>
        <v>1E-4</v>
      </c>
      <c r="S70" s="178">
        <v>77.471749413552573</v>
      </c>
      <c r="T70" s="80">
        <f t="shared" si="32"/>
        <v>1E-4</v>
      </c>
      <c r="U70" s="178">
        <v>79.795901895959148</v>
      </c>
      <c r="V70" s="80">
        <f t="shared" si="33"/>
        <v>1E-4</v>
      </c>
      <c r="X70" s="192"/>
    </row>
    <row r="71" spans="1:24" ht="12.75" customHeight="1">
      <c r="A71" s="2" t="s">
        <v>415</v>
      </c>
      <c r="B71" s="35"/>
      <c r="C71" s="178">
        <v>0</v>
      </c>
      <c r="D71" s="80">
        <f t="shared" si="24"/>
        <v>0</v>
      </c>
      <c r="E71" s="178">
        <v>0</v>
      </c>
      <c r="F71" s="80">
        <f t="shared" si="25"/>
        <v>0</v>
      </c>
      <c r="G71" s="178">
        <v>0</v>
      </c>
      <c r="H71" s="80">
        <f t="shared" si="26"/>
        <v>0</v>
      </c>
      <c r="I71" s="178">
        <v>0</v>
      </c>
      <c r="J71" s="80">
        <f t="shared" si="27"/>
        <v>0</v>
      </c>
      <c r="K71" s="178">
        <v>0</v>
      </c>
      <c r="L71" s="80">
        <f t="shared" si="28"/>
        <v>0</v>
      </c>
      <c r="M71" s="178">
        <v>0</v>
      </c>
      <c r="N71" s="80">
        <f t="shared" si="29"/>
        <v>0</v>
      </c>
      <c r="O71" s="178">
        <v>0</v>
      </c>
      <c r="P71" s="80">
        <f t="shared" si="30"/>
        <v>0</v>
      </c>
      <c r="Q71" s="178">
        <v>0</v>
      </c>
      <c r="R71" s="80">
        <f t="shared" si="31"/>
        <v>0</v>
      </c>
      <c r="S71" s="178">
        <v>0</v>
      </c>
      <c r="T71" s="80">
        <f t="shared" si="32"/>
        <v>0</v>
      </c>
      <c r="U71" s="178">
        <v>0</v>
      </c>
      <c r="V71" s="80">
        <f t="shared" si="33"/>
        <v>0</v>
      </c>
      <c r="X71" s="192"/>
    </row>
    <row r="72" spans="1:24" ht="12.75" customHeight="1">
      <c r="A72" s="2" t="s">
        <v>416</v>
      </c>
      <c r="B72" s="35"/>
      <c r="C72" s="178">
        <v>0</v>
      </c>
      <c r="D72" s="80">
        <f t="shared" si="24"/>
        <v>0</v>
      </c>
      <c r="E72" s="178">
        <v>0</v>
      </c>
      <c r="F72" s="80">
        <f t="shared" si="25"/>
        <v>0</v>
      </c>
      <c r="G72" s="178">
        <v>0</v>
      </c>
      <c r="H72" s="80">
        <f t="shared" si="26"/>
        <v>0</v>
      </c>
      <c r="I72" s="178">
        <v>0</v>
      </c>
      <c r="J72" s="80">
        <f t="shared" si="27"/>
        <v>0</v>
      </c>
      <c r="K72" s="178">
        <v>0</v>
      </c>
      <c r="L72" s="80">
        <f t="shared" si="28"/>
        <v>0</v>
      </c>
      <c r="M72" s="178">
        <v>0</v>
      </c>
      <c r="N72" s="80">
        <f t="shared" si="29"/>
        <v>0</v>
      </c>
      <c r="O72" s="178">
        <v>0</v>
      </c>
      <c r="P72" s="80">
        <f t="shared" si="30"/>
        <v>0</v>
      </c>
      <c r="Q72" s="178">
        <v>0</v>
      </c>
      <c r="R72" s="80">
        <f t="shared" si="31"/>
        <v>0</v>
      </c>
      <c r="S72" s="178">
        <v>0</v>
      </c>
      <c r="T72" s="80">
        <f t="shared" si="32"/>
        <v>0</v>
      </c>
      <c r="U72" s="178">
        <v>0</v>
      </c>
      <c r="V72" s="80">
        <f t="shared" si="33"/>
        <v>0</v>
      </c>
      <c r="X72" s="192"/>
    </row>
    <row r="73" spans="1:24" ht="12.75" customHeight="1">
      <c r="A73" s="2" t="s">
        <v>417</v>
      </c>
      <c r="B73" s="35"/>
      <c r="C73" s="178">
        <v>0</v>
      </c>
      <c r="D73" s="80">
        <f t="shared" si="24"/>
        <v>0</v>
      </c>
      <c r="E73" s="178">
        <v>0</v>
      </c>
      <c r="F73" s="80">
        <f t="shared" si="25"/>
        <v>0</v>
      </c>
      <c r="G73" s="178">
        <v>0</v>
      </c>
      <c r="H73" s="80">
        <f t="shared" si="26"/>
        <v>0</v>
      </c>
      <c r="I73" s="178">
        <v>0</v>
      </c>
      <c r="J73" s="80">
        <f t="shared" si="27"/>
        <v>0</v>
      </c>
      <c r="K73" s="178">
        <v>0</v>
      </c>
      <c r="L73" s="80">
        <f t="shared" si="28"/>
        <v>0</v>
      </c>
      <c r="M73" s="178">
        <v>0</v>
      </c>
      <c r="N73" s="80">
        <f t="shared" si="29"/>
        <v>0</v>
      </c>
      <c r="O73" s="178">
        <v>0</v>
      </c>
      <c r="P73" s="80">
        <f t="shared" si="30"/>
        <v>0</v>
      </c>
      <c r="Q73" s="178">
        <v>0</v>
      </c>
      <c r="R73" s="80">
        <f t="shared" si="31"/>
        <v>0</v>
      </c>
      <c r="S73" s="178">
        <v>0</v>
      </c>
      <c r="T73" s="80">
        <f t="shared" si="32"/>
        <v>0</v>
      </c>
      <c r="U73" s="178">
        <v>0</v>
      </c>
      <c r="V73" s="80">
        <f t="shared" si="33"/>
        <v>0</v>
      </c>
      <c r="X73" s="192"/>
    </row>
    <row r="74" spans="1:24" ht="12.75" customHeight="1">
      <c r="A74" s="2" t="s">
        <v>418</v>
      </c>
      <c r="B74" s="35"/>
      <c r="C74" s="178">
        <v>0</v>
      </c>
      <c r="D74" s="80">
        <f t="shared" si="24"/>
        <v>0</v>
      </c>
      <c r="E74" s="178">
        <v>0</v>
      </c>
      <c r="F74" s="80">
        <f t="shared" si="25"/>
        <v>0</v>
      </c>
      <c r="G74" s="178">
        <v>0</v>
      </c>
      <c r="H74" s="80">
        <f t="shared" si="26"/>
        <v>0</v>
      </c>
      <c r="I74" s="178">
        <v>0</v>
      </c>
      <c r="J74" s="80">
        <f t="shared" si="27"/>
        <v>0</v>
      </c>
      <c r="K74" s="178">
        <v>0</v>
      </c>
      <c r="L74" s="80">
        <f t="shared" si="28"/>
        <v>0</v>
      </c>
      <c r="M74" s="178">
        <v>0</v>
      </c>
      <c r="N74" s="80">
        <f t="shared" si="29"/>
        <v>0</v>
      </c>
      <c r="O74" s="178">
        <v>0</v>
      </c>
      <c r="P74" s="80">
        <f t="shared" si="30"/>
        <v>0</v>
      </c>
      <c r="Q74" s="178">
        <v>0</v>
      </c>
      <c r="R74" s="80">
        <f t="shared" si="31"/>
        <v>0</v>
      </c>
      <c r="S74" s="178">
        <v>0</v>
      </c>
      <c r="T74" s="80">
        <f t="shared" si="32"/>
        <v>0</v>
      </c>
      <c r="U74" s="178">
        <v>0</v>
      </c>
      <c r="V74" s="80">
        <f t="shared" si="33"/>
        <v>0</v>
      </c>
      <c r="X74" s="192"/>
    </row>
    <row r="75" spans="1:24" ht="12.75" customHeight="1">
      <c r="A75" s="2" t="s">
        <v>419</v>
      </c>
      <c r="B75" s="35"/>
      <c r="C75" s="178">
        <v>2623.5</v>
      </c>
      <c r="D75" s="80">
        <f t="shared" si="24"/>
        <v>4.4999999999999997E-3</v>
      </c>
      <c r="E75" s="178">
        <v>2731.4999999999995</v>
      </c>
      <c r="F75" s="80">
        <f t="shared" si="25"/>
        <v>4.4999999999999997E-3</v>
      </c>
      <c r="G75" s="178">
        <v>2922.7049999999995</v>
      </c>
      <c r="H75" s="80">
        <f t="shared" si="26"/>
        <v>4.4999999999999988E-3</v>
      </c>
      <c r="I75" s="178">
        <v>3039.6131999999998</v>
      </c>
      <c r="J75" s="80">
        <f t="shared" si="27"/>
        <v>4.4999999999999997E-3</v>
      </c>
      <c r="K75" s="178">
        <v>3115.6035299999994</v>
      </c>
      <c r="L75" s="80">
        <f t="shared" si="28"/>
        <v>4.4999999999999997E-3</v>
      </c>
      <c r="M75" s="178">
        <v>3193.4936182499991</v>
      </c>
      <c r="N75" s="80">
        <f t="shared" si="29"/>
        <v>4.4999999999999997E-3</v>
      </c>
      <c r="O75" s="178">
        <v>3289.2984267974994</v>
      </c>
      <c r="P75" s="80">
        <f t="shared" si="30"/>
        <v>4.4999999999999997E-3</v>
      </c>
      <c r="Q75" s="178">
        <v>3387.9773796014242</v>
      </c>
      <c r="R75" s="80">
        <f t="shared" si="31"/>
        <v>4.4999999999999997E-3</v>
      </c>
      <c r="S75" s="178">
        <v>3486.228723609865</v>
      </c>
      <c r="T75" s="80">
        <f t="shared" si="32"/>
        <v>4.4999999999999997E-3</v>
      </c>
      <c r="U75" s="178">
        <v>3590.8155853181611</v>
      </c>
      <c r="V75" s="80">
        <f t="shared" si="33"/>
        <v>4.4999999999999997E-3</v>
      </c>
      <c r="X75" s="192"/>
    </row>
    <row r="76" spans="1:24" ht="12.75" customHeight="1">
      <c r="A76" s="2" t="s">
        <v>420</v>
      </c>
      <c r="B76" s="35"/>
      <c r="C76" s="178">
        <v>233.20000000000002</v>
      </c>
      <c r="D76" s="80">
        <f t="shared" si="24"/>
        <v>4.0000000000000002E-4</v>
      </c>
      <c r="E76" s="178">
        <v>242.8</v>
      </c>
      <c r="F76" s="80">
        <f t="shared" si="25"/>
        <v>4.0000000000000002E-4</v>
      </c>
      <c r="G76" s="178">
        <v>259.79599999999999</v>
      </c>
      <c r="H76" s="80">
        <f t="shared" si="26"/>
        <v>3.9999999999999996E-4</v>
      </c>
      <c r="I76" s="178">
        <v>270.18783999999999</v>
      </c>
      <c r="J76" s="80">
        <f t="shared" si="27"/>
        <v>4.0000000000000002E-4</v>
      </c>
      <c r="K76" s="178">
        <v>276.94253599999996</v>
      </c>
      <c r="L76" s="80">
        <f t="shared" si="28"/>
        <v>3.9999999999999996E-4</v>
      </c>
      <c r="M76" s="178">
        <v>283.86609939999994</v>
      </c>
      <c r="N76" s="80">
        <f t="shared" si="29"/>
        <v>3.9999999999999996E-4</v>
      </c>
      <c r="O76" s="178">
        <v>292.38208238199996</v>
      </c>
      <c r="P76" s="80">
        <f t="shared" si="30"/>
        <v>4.0000000000000002E-4</v>
      </c>
      <c r="Q76" s="178">
        <v>301.15354485345995</v>
      </c>
      <c r="R76" s="80">
        <f t="shared" si="31"/>
        <v>4.0000000000000002E-4</v>
      </c>
      <c r="S76" s="178">
        <v>309.88699765421029</v>
      </c>
      <c r="T76" s="80">
        <f t="shared" si="32"/>
        <v>4.0000000000000002E-4</v>
      </c>
      <c r="U76" s="178">
        <v>319.18360758383659</v>
      </c>
      <c r="V76" s="80">
        <f t="shared" si="33"/>
        <v>4.0000000000000002E-4</v>
      </c>
      <c r="X76" s="192"/>
    </row>
    <row r="77" spans="1:24" ht="12.75" customHeight="1">
      <c r="A77" s="2" t="s">
        <v>421</v>
      </c>
      <c r="B77" s="35"/>
      <c r="C77" s="178">
        <v>757.9</v>
      </c>
      <c r="D77" s="80">
        <f t="shared" si="24"/>
        <v>1.2999999999999999E-3</v>
      </c>
      <c r="E77" s="178">
        <v>789.09999999999991</v>
      </c>
      <c r="F77" s="80">
        <f t="shared" si="25"/>
        <v>1.2999999999999999E-3</v>
      </c>
      <c r="G77" s="178">
        <v>844.33699999999988</v>
      </c>
      <c r="H77" s="80">
        <f t="shared" si="26"/>
        <v>1.2999999999999997E-3</v>
      </c>
      <c r="I77" s="178">
        <v>878.11047999999994</v>
      </c>
      <c r="J77" s="80">
        <f t="shared" si="27"/>
        <v>1.2999999999999999E-3</v>
      </c>
      <c r="K77" s="178">
        <v>900.06324199999983</v>
      </c>
      <c r="L77" s="80">
        <f t="shared" si="28"/>
        <v>1.2999999999999997E-3</v>
      </c>
      <c r="M77" s="178">
        <v>922.56482304999975</v>
      </c>
      <c r="N77" s="80">
        <f t="shared" si="29"/>
        <v>1.2999999999999999E-3</v>
      </c>
      <c r="O77" s="178">
        <v>950.24176774149976</v>
      </c>
      <c r="P77" s="80">
        <f t="shared" si="30"/>
        <v>1.2999999999999999E-3</v>
      </c>
      <c r="Q77" s="178">
        <v>978.74902077374463</v>
      </c>
      <c r="R77" s="80">
        <f t="shared" si="31"/>
        <v>1.2999999999999997E-3</v>
      </c>
      <c r="S77" s="178">
        <v>1007.1327423761834</v>
      </c>
      <c r="T77" s="80">
        <f t="shared" si="32"/>
        <v>1.2999999999999999E-3</v>
      </c>
      <c r="U77" s="178">
        <v>1037.3467246474688</v>
      </c>
      <c r="V77" s="80">
        <f t="shared" si="33"/>
        <v>1.2999999999999999E-3</v>
      </c>
      <c r="X77" s="192"/>
    </row>
    <row r="78" spans="1:24" ht="12.75" customHeight="1">
      <c r="A78" s="2" t="s">
        <v>422</v>
      </c>
      <c r="B78" s="35"/>
      <c r="C78" s="178">
        <v>12825.999999999998</v>
      </c>
      <c r="D78" s="80">
        <f t="shared" si="24"/>
        <v>2.1999999999999995E-2</v>
      </c>
      <c r="E78" s="178">
        <v>13353.999999999998</v>
      </c>
      <c r="F78" s="80">
        <f t="shared" si="25"/>
        <v>2.1999999999999999E-2</v>
      </c>
      <c r="G78" s="178">
        <v>14288.779999999999</v>
      </c>
      <c r="H78" s="80">
        <f t="shared" si="26"/>
        <v>2.1999999999999999E-2</v>
      </c>
      <c r="I78" s="178">
        <v>14860.331199999997</v>
      </c>
      <c r="J78" s="80">
        <f t="shared" si="27"/>
        <v>2.1999999999999995E-2</v>
      </c>
      <c r="K78" s="178">
        <v>15231.839479999997</v>
      </c>
      <c r="L78" s="80">
        <f t="shared" si="28"/>
        <v>2.1999999999999995E-2</v>
      </c>
      <c r="M78" s="178">
        <v>15612.635466999996</v>
      </c>
      <c r="N78" s="80">
        <f t="shared" si="29"/>
        <v>2.1999999999999999E-2</v>
      </c>
      <c r="O78" s="178">
        <v>16081.014531009998</v>
      </c>
      <c r="P78" s="80">
        <f t="shared" si="30"/>
        <v>2.1999999999999999E-2</v>
      </c>
      <c r="Q78" s="178">
        <v>16563.444966940297</v>
      </c>
      <c r="R78" s="80">
        <f t="shared" si="31"/>
        <v>2.1999999999999999E-2</v>
      </c>
      <c r="S78" s="178">
        <v>17043.784870981566</v>
      </c>
      <c r="T78" s="80">
        <f t="shared" si="32"/>
        <v>2.2000000000000002E-2</v>
      </c>
      <c r="U78" s="178">
        <v>17555.09841711101</v>
      </c>
      <c r="V78" s="80">
        <f t="shared" si="33"/>
        <v>2.1999999999999999E-2</v>
      </c>
      <c r="X78" s="192"/>
    </row>
    <row r="79" spans="1:24" ht="12.75" customHeight="1">
      <c r="A79" s="2" t="s">
        <v>423</v>
      </c>
      <c r="B79" s="35"/>
      <c r="C79" s="178">
        <v>0</v>
      </c>
      <c r="D79" s="80">
        <f t="shared" si="24"/>
        <v>0</v>
      </c>
      <c r="E79" s="178">
        <v>0</v>
      </c>
      <c r="F79" s="80">
        <f t="shared" si="25"/>
        <v>0</v>
      </c>
      <c r="G79" s="178">
        <v>0</v>
      </c>
      <c r="H79" s="80">
        <f t="shared" si="26"/>
        <v>0</v>
      </c>
      <c r="I79" s="178">
        <v>0</v>
      </c>
      <c r="J79" s="80">
        <f t="shared" si="27"/>
        <v>0</v>
      </c>
      <c r="K79" s="178">
        <v>0</v>
      </c>
      <c r="L79" s="80">
        <f t="shared" si="28"/>
        <v>0</v>
      </c>
      <c r="M79" s="178">
        <v>0</v>
      </c>
      <c r="N79" s="80">
        <f t="shared" si="29"/>
        <v>0</v>
      </c>
      <c r="O79" s="178">
        <v>0</v>
      </c>
      <c r="P79" s="80">
        <f t="shared" si="30"/>
        <v>0</v>
      </c>
      <c r="Q79" s="178">
        <v>0</v>
      </c>
      <c r="R79" s="80">
        <f t="shared" si="31"/>
        <v>0</v>
      </c>
      <c r="S79" s="178">
        <v>0</v>
      </c>
      <c r="T79" s="80">
        <f t="shared" si="32"/>
        <v>0</v>
      </c>
      <c r="U79" s="178">
        <v>0</v>
      </c>
      <c r="V79" s="80">
        <f t="shared" si="33"/>
        <v>0</v>
      </c>
      <c r="X79" s="192"/>
    </row>
    <row r="80" spans="1:24" ht="12.75" customHeight="1">
      <c r="A80" s="2" t="s">
        <v>424</v>
      </c>
      <c r="B80" s="35"/>
      <c r="C80" s="178">
        <v>0</v>
      </c>
      <c r="D80" s="80">
        <f t="shared" si="24"/>
        <v>0</v>
      </c>
      <c r="E80" s="178">
        <v>0</v>
      </c>
      <c r="F80" s="80">
        <f t="shared" si="25"/>
        <v>0</v>
      </c>
      <c r="G80" s="178">
        <v>0</v>
      </c>
      <c r="H80" s="80">
        <f t="shared" si="26"/>
        <v>0</v>
      </c>
      <c r="I80" s="178">
        <v>0</v>
      </c>
      <c r="J80" s="80">
        <f t="shared" si="27"/>
        <v>0</v>
      </c>
      <c r="K80" s="178">
        <v>0</v>
      </c>
      <c r="L80" s="80">
        <f t="shared" si="28"/>
        <v>0</v>
      </c>
      <c r="M80" s="178">
        <v>0</v>
      </c>
      <c r="N80" s="80">
        <f t="shared" si="29"/>
        <v>0</v>
      </c>
      <c r="O80" s="178">
        <v>0</v>
      </c>
      <c r="P80" s="80">
        <f t="shared" si="30"/>
        <v>0</v>
      </c>
      <c r="Q80" s="178">
        <v>0</v>
      </c>
      <c r="R80" s="80">
        <f t="shared" si="31"/>
        <v>0</v>
      </c>
      <c r="S80" s="178">
        <v>0</v>
      </c>
      <c r="T80" s="80">
        <f t="shared" si="32"/>
        <v>0</v>
      </c>
      <c r="U80" s="178">
        <v>0</v>
      </c>
      <c r="V80" s="80">
        <f t="shared" si="33"/>
        <v>0</v>
      </c>
      <c r="X80" s="192"/>
    </row>
    <row r="81" spans="1:24" ht="12.75" customHeight="1">
      <c r="A81" s="2" t="s">
        <v>425</v>
      </c>
      <c r="B81" s="35"/>
      <c r="C81" s="178">
        <v>0</v>
      </c>
      <c r="D81" s="80">
        <f t="shared" si="24"/>
        <v>0</v>
      </c>
      <c r="E81" s="178">
        <v>0</v>
      </c>
      <c r="F81" s="80">
        <f t="shared" si="25"/>
        <v>0</v>
      </c>
      <c r="G81" s="178">
        <v>0</v>
      </c>
      <c r="H81" s="80">
        <f t="shared" si="26"/>
        <v>0</v>
      </c>
      <c r="I81" s="178">
        <v>0</v>
      </c>
      <c r="J81" s="80">
        <f t="shared" si="27"/>
        <v>0</v>
      </c>
      <c r="K81" s="178">
        <v>0</v>
      </c>
      <c r="L81" s="80">
        <f t="shared" si="28"/>
        <v>0</v>
      </c>
      <c r="M81" s="178">
        <v>0</v>
      </c>
      <c r="N81" s="80">
        <f t="shared" si="29"/>
        <v>0</v>
      </c>
      <c r="O81" s="178">
        <v>0</v>
      </c>
      <c r="P81" s="80">
        <f t="shared" si="30"/>
        <v>0</v>
      </c>
      <c r="Q81" s="178">
        <v>0</v>
      </c>
      <c r="R81" s="80">
        <f t="shared" si="31"/>
        <v>0</v>
      </c>
      <c r="S81" s="178">
        <v>0</v>
      </c>
      <c r="T81" s="80">
        <f t="shared" si="32"/>
        <v>0</v>
      </c>
      <c r="U81" s="178">
        <v>0</v>
      </c>
      <c r="V81" s="80">
        <f t="shared" si="33"/>
        <v>0</v>
      </c>
      <c r="X81" s="192"/>
    </row>
    <row r="82" spans="1:24" ht="12.75" customHeight="1">
      <c r="A82" s="2" t="s">
        <v>426</v>
      </c>
      <c r="B82" s="35"/>
      <c r="C82" s="178">
        <v>0</v>
      </c>
      <c r="D82" s="80">
        <f t="shared" si="24"/>
        <v>0</v>
      </c>
      <c r="E82" s="178">
        <v>0</v>
      </c>
      <c r="F82" s="80">
        <f t="shared" si="25"/>
        <v>0</v>
      </c>
      <c r="G82" s="178">
        <v>0</v>
      </c>
      <c r="H82" s="80">
        <f t="shared" si="26"/>
        <v>0</v>
      </c>
      <c r="I82" s="178">
        <v>0</v>
      </c>
      <c r="J82" s="80">
        <f t="shared" si="27"/>
        <v>0</v>
      </c>
      <c r="K82" s="178">
        <v>0</v>
      </c>
      <c r="L82" s="80">
        <f t="shared" si="28"/>
        <v>0</v>
      </c>
      <c r="M82" s="178">
        <v>0</v>
      </c>
      <c r="N82" s="80">
        <f t="shared" si="29"/>
        <v>0</v>
      </c>
      <c r="O82" s="178">
        <v>0</v>
      </c>
      <c r="P82" s="80">
        <f t="shared" si="30"/>
        <v>0</v>
      </c>
      <c r="Q82" s="178">
        <v>0</v>
      </c>
      <c r="R82" s="80">
        <f t="shared" si="31"/>
        <v>0</v>
      </c>
      <c r="S82" s="178">
        <v>0</v>
      </c>
      <c r="T82" s="80">
        <f t="shared" si="32"/>
        <v>0</v>
      </c>
      <c r="U82" s="178">
        <v>0</v>
      </c>
      <c r="V82" s="80">
        <f t="shared" si="33"/>
        <v>0</v>
      </c>
      <c r="X82" s="192"/>
    </row>
    <row r="83" spans="1:24" ht="12.75" customHeight="1">
      <c r="A83" s="2" t="s">
        <v>427</v>
      </c>
      <c r="B83" s="35"/>
      <c r="C83" s="178">
        <v>0</v>
      </c>
      <c r="D83" s="80">
        <f t="shared" si="24"/>
        <v>0</v>
      </c>
      <c r="E83" s="178">
        <v>0</v>
      </c>
      <c r="F83" s="80">
        <f t="shared" si="25"/>
        <v>0</v>
      </c>
      <c r="G83" s="178">
        <v>0</v>
      </c>
      <c r="H83" s="80">
        <f t="shared" si="26"/>
        <v>0</v>
      </c>
      <c r="I83" s="178">
        <v>0</v>
      </c>
      <c r="J83" s="80">
        <f t="shared" si="27"/>
        <v>0</v>
      </c>
      <c r="K83" s="178">
        <v>0</v>
      </c>
      <c r="L83" s="80">
        <f t="shared" si="28"/>
        <v>0</v>
      </c>
      <c r="M83" s="178">
        <v>0</v>
      </c>
      <c r="N83" s="80">
        <f t="shared" si="29"/>
        <v>0</v>
      </c>
      <c r="O83" s="178">
        <v>0</v>
      </c>
      <c r="P83" s="80">
        <f t="shared" si="30"/>
        <v>0</v>
      </c>
      <c r="Q83" s="178">
        <v>0</v>
      </c>
      <c r="R83" s="80">
        <f t="shared" si="31"/>
        <v>0</v>
      </c>
      <c r="S83" s="178">
        <v>0</v>
      </c>
      <c r="T83" s="80">
        <f t="shared" si="32"/>
        <v>0</v>
      </c>
      <c r="U83" s="178">
        <v>0</v>
      </c>
      <c r="V83" s="80">
        <f t="shared" si="33"/>
        <v>0</v>
      </c>
      <c r="X83" s="192"/>
    </row>
    <row r="84" spans="1:24" ht="12.75" customHeight="1">
      <c r="A84" s="2" t="s">
        <v>428</v>
      </c>
      <c r="B84" s="35"/>
      <c r="C84" s="178">
        <v>0</v>
      </c>
      <c r="D84" s="80">
        <f t="shared" si="24"/>
        <v>0</v>
      </c>
      <c r="E84" s="178">
        <v>0</v>
      </c>
      <c r="F84" s="80">
        <f t="shared" si="25"/>
        <v>0</v>
      </c>
      <c r="G84" s="178">
        <v>0</v>
      </c>
      <c r="H84" s="80">
        <f t="shared" si="26"/>
        <v>0</v>
      </c>
      <c r="I84" s="178">
        <v>0</v>
      </c>
      <c r="J84" s="80">
        <f t="shared" si="27"/>
        <v>0</v>
      </c>
      <c r="K84" s="178">
        <v>0</v>
      </c>
      <c r="L84" s="80">
        <f t="shared" si="28"/>
        <v>0</v>
      </c>
      <c r="M84" s="178">
        <v>0</v>
      </c>
      <c r="N84" s="80">
        <f t="shared" si="29"/>
        <v>0</v>
      </c>
      <c r="O84" s="178">
        <v>0</v>
      </c>
      <c r="P84" s="80">
        <f t="shared" si="30"/>
        <v>0</v>
      </c>
      <c r="Q84" s="178">
        <v>0</v>
      </c>
      <c r="R84" s="80">
        <f t="shared" si="31"/>
        <v>0</v>
      </c>
      <c r="S84" s="178">
        <v>0</v>
      </c>
      <c r="T84" s="80">
        <f t="shared" si="32"/>
        <v>0</v>
      </c>
      <c r="U84" s="178">
        <v>0</v>
      </c>
      <c r="V84" s="80">
        <f t="shared" si="33"/>
        <v>0</v>
      </c>
      <c r="X84" s="192"/>
    </row>
    <row r="85" spans="1:24" ht="12.75" customHeight="1">
      <c r="A85" s="2" t="s">
        <v>429</v>
      </c>
      <c r="B85" s="35"/>
      <c r="C85" s="178">
        <v>0</v>
      </c>
      <c r="D85" s="80">
        <f t="shared" si="24"/>
        <v>0</v>
      </c>
      <c r="E85" s="178">
        <v>0</v>
      </c>
      <c r="F85" s="80">
        <f t="shared" si="25"/>
        <v>0</v>
      </c>
      <c r="G85" s="178">
        <v>0</v>
      </c>
      <c r="H85" s="80">
        <f t="shared" si="26"/>
        <v>0</v>
      </c>
      <c r="I85" s="178">
        <v>0</v>
      </c>
      <c r="J85" s="80">
        <f t="shared" si="27"/>
        <v>0</v>
      </c>
      <c r="K85" s="178">
        <v>0</v>
      </c>
      <c r="L85" s="80">
        <f t="shared" si="28"/>
        <v>0</v>
      </c>
      <c r="M85" s="178">
        <v>0</v>
      </c>
      <c r="N85" s="80">
        <f t="shared" si="29"/>
        <v>0</v>
      </c>
      <c r="O85" s="178">
        <v>0</v>
      </c>
      <c r="P85" s="80">
        <f t="shared" si="30"/>
        <v>0</v>
      </c>
      <c r="Q85" s="178">
        <v>0</v>
      </c>
      <c r="R85" s="80">
        <f t="shared" si="31"/>
        <v>0</v>
      </c>
      <c r="S85" s="178">
        <v>0</v>
      </c>
      <c r="T85" s="80">
        <f t="shared" si="32"/>
        <v>0</v>
      </c>
      <c r="U85" s="178">
        <v>0</v>
      </c>
      <c r="V85" s="80">
        <f t="shared" si="33"/>
        <v>0</v>
      </c>
      <c r="X85" s="192"/>
    </row>
    <row r="86" spans="1:24" ht="12.75" customHeight="1">
      <c r="A86" s="2" t="s">
        <v>430</v>
      </c>
      <c r="B86" s="35"/>
      <c r="C86" s="178">
        <v>2332</v>
      </c>
      <c r="D86" s="80">
        <f t="shared" si="24"/>
        <v>4.0000000000000001E-3</v>
      </c>
      <c r="E86" s="178">
        <v>2428</v>
      </c>
      <c r="F86" s="80">
        <f t="shared" si="25"/>
        <v>4.0000000000000001E-3</v>
      </c>
      <c r="G86" s="178">
        <v>2597.96</v>
      </c>
      <c r="H86" s="80">
        <f t="shared" si="26"/>
        <v>4.0000000000000001E-3</v>
      </c>
      <c r="I86" s="178">
        <v>2701.8784000000001</v>
      </c>
      <c r="J86" s="80">
        <f t="shared" si="27"/>
        <v>4.0000000000000001E-3</v>
      </c>
      <c r="K86" s="178">
        <v>2769.4253599999997</v>
      </c>
      <c r="L86" s="80">
        <f t="shared" si="28"/>
        <v>4.0000000000000001E-3</v>
      </c>
      <c r="M86" s="178">
        <v>2838.6609939999994</v>
      </c>
      <c r="N86" s="80">
        <f t="shared" si="29"/>
        <v>4.0000000000000001E-3</v>
      </c>
      <c r="O86" s="178">
        <v>2923.82082382</v>
      </c>
      <c r="P86" s="80">
        <f t="shared" si="30"/>
        <v>4.000000000000001E-3</v>
      </c>
      <c r="Q86" s="178">
        <v>3011.5354485345997</v>
      </c>
      <c r="R86" s="80">
        <f t="shared" si="31"/>
        <v>4.0000000000000001E-3</v>
      </c>
      <c r="S86" s="178">
        <v>3098.8699765421024</v>
      </c>
      <c r="T86" s="80">
        <f t="shared" si="32"/>
        <v>4.0000000000000001E-3</v>
      </c>
      <c r="U86" s="178">
        <v>3191.8360758383656</v>
      </c>
      <c r="V86" s="80">
        <f t="shared" si="33"/>
        <v>4.0000000000000001E-3</v>
      </c>
      <c r="X86" s="192"/>
    </row>
    <row r="87" spans="1:24" ht="12.75" customHeight="1">
      <c r="A87" s="2" t="s">
        <v>431</v>
      </c>
      <c r="B87" s="35"/>
      <c r="C87" s="178">
        <v>0</v>
      </c>
      <c r="D87" s="80">
        <f t="shared" si="24"/>
        <v>0</v>
      </c>
      <c r="E87" s="178">
        <v>0</v>
      </c>
      <c r="F87" s="80">
        <f t="shared" si="25"/>
        <v>0</v>
      </c>
      <c r="G87" s="178">
        <v>0</v>
      </c>
      <c r="H87" s="80">
        <f t="shared" si="26"/>
        <v>0</v>
      </c>
      <c r="I87" s="178">
        <v>0</v>
      </c>
      <c r="J87" s="80">
        <f t="shared" si="27"/>
        <v>0</v>
      </c>
      <c r="K87" s="178">
        <v>0</v>
      </c>
      <c r="L87" s="80">
        <f t="shared" si="28"/>
        <v>0</v>
      </c>
      <c r="M87" s="178">
        <v>0</v>
      </c>
      <c r="N87" s="80">
        <f t="shared" si="29"/>
        <v>0</v>
      </c>
      <c r="O87" s="178">
        <v>0</v>
      </c>
      <c r="P87" s="80">
        <f t="shared" si="30"/>
        <v>0</v>
      </c>
      <c r="Q87" s="178">
        <v>0</v>
      </c>
      <c r="R87" s="80">
        <f t="shared" si="31"/>
        <v>0</v>
      </c>
      <c r="S87" s="178">
        <v>0</v>
      </c>
      <c r="T87" s="80">
        <f t="shared" si="32"/>
        <v>0</v>
      </c>
      <c r="U87" s="178">
        <v>0</v>
      </c>
      <c r="V87" s="80">
        <f t="shared" si="33"/>
        <v>0</v>
      </c>
      <c r="X87" s="192"/>
    </row>
    <row r="88" spans="1:24" ht="12.75" customHeight="1">
      <c r="A88" s="2" t="s">
        <v>432</v>
      </c>
      <c r="B88" s="35"/>
      <c r="C88" s="178">
        <v>2973.3</v>
      </c>
      <c r="D88" s="80">
        <f t="shared" si="24"/>
        <v>5.1000000000000004E-3</v>
      </c>
      <c r="E88" s="178">
        <v>3095.7</v>
      </c>
      <c r="F88" s="80">
        <f t="shared" si="25"/>
        <v>5.0999999999999995E-3</v>
      </c>
      <c r="G88" s="178">
        <v>3312.3990000000003</v>
      </c>
      <c r="H88" s="80">
        <f t="shared" si="26"/>
        <v>5.1000000000000004E-3</v>
      </c>
      <c r="I88" s="178">
        <v>3444.8949600000001</v>
      </c>
      <c r="J88" s="80">
        <f t="shared" si="27"/>
        <v>5.1000000000000004E-3</v>
      </c>
      <c r="K88" s="178">
        <v>3531.0173339999997</v>
      </c>
      <c r="L88" s="80">
        <f t="shared" si="28"/>
        <v>5.0999999999999995E-3</v>
      </c>
      <c r="M88" s="178">
        <v>3619.2927673499994</v>
      </c>
      <c r="N88" s="80">
        <f t="shared" si="29"/>
        <v>5.1000000000000004E-3</v>
      </c>
      <c r="O88" s="178">
        <v>3727.8715503704998</v>
      </c>
      <c r="P88" s="80">
        <f t="shared" si="30"/>
        <v>5.1000000000000004E-3</v>
      </c>
      <c r="Q88" s="178">
        <v>3839.7076968816145</v>
      </c>
      <c r="R88" s="80">
        <f t="shared" si="31"/>
        <v>5.1000000000000004E-3</v>
      </c>
      <c r="S88" s="178">
        <v>3951.059220091181</v>
      </c>
      <c r="T88" s="80">
        <f t="shared" si="32"/>
        <v>5.1000000000000004E-3</v>
      </c>
      <c r="U88" s="178">
        <v>4069.5909966939162</v>
      </c>
      <c r="V88" s="80">
        <f t="shared" si="33"/>
        <v>5.1000000000000004E-3</v>
      </c>
      <c r="X88" s="192"/>
    </row>
    <row r="89" spans="1:24" ht="12.75" customHeight="1">
      <c r="A89" s="2" t="s">
        <v>433</v>
      </c>
      <c r="B89" s="35"/>
      <c r="C89" s="178">
        <v>0</v>
      </c>
      <c r="D89" s="80">
        <f t="shared" si="24"/>
        <v>0</v>
      </c>
      <c r="E89" s="178">
        <v>0</v>
      </c>
      <c r="F89" s="80">
        <f t="shared" si="25"/>
        <v>0</v>
      </c>
      <c r="G89" s="178">
        <v>0</v>
      </c>
      <c r="H89" s="80">
        <f t="shared" si="26"/>
        <v>0</v>
      </c>
      <c r="I89" s="178">
        <v>0</v>
      </c>
      <c r="J89" s="80">
        <f t="shared" si="27"/>
        <v>0</v>
      </c>
      <c r="K89" s="178">
        <v>0</v>
      </c>
      <c r="L89" s="80">
        <f t="shared" si="28"/>
        <v>0</v>
      </c>
      <c r="M89" s="178">
        <v>0</v>
      </c>
      <c r="N89" s="80">
        <f t="shared" si="29"/>
        <v>0</v>
      </c>
      <c r="O89" s="178">
        <v>0</v>
      </c>
      <c r="P89" s="80">
        <f t="shared" si="30"/>
        <v>0</v>
      </c>
      <c r="Q89" s="178">
        <v>0</v>
      </c>
      <c r="R89" s="80">
        <f t="shared" si="31"/>
        <v>0</v>
      </c>
      <c r="S89" s="178">
        <v>0</v>
      </c>
      <c r="T89" s="80">
        <f t="shared" si="32"/>
        <v>0</v>
      </c>
      <c r="U89" s="178">
        <v>0</v>
      </c>
      <c r="V89" s="80">
        <f t="shared" si="33"/>
        <v>0</v>
      </c>
      <c r="X89" s="192"/>
    </row>
    <row r="90" spans="1:24" ht="12.75" customHeight="1">
      <c r="A90" s="2" t="s">
        <v>434</v>
      </c>
      <c r="B90" s="35"/>
      <c r="C90" s="178">
        <v>116.60000000000001</v>
      </c>
      <c r="D90" s="80">
        <f t="shared" si="24"/>
        <v>2.0000000000000001E-4</v>
      </c>
      <c r="E90" s="178">
        <v>121.4</v>
      </c>
      <c r="F90" s="80">
        <f t="shared" si="25"/>
        <v>2.0000000000000001E-4</v>
      </c>
      <c r="G90" s="178">
        <v>129.898</v>
      </c>
      <c r="H90" s="80">
        <f t="shared" si="26"/>
        <v>1.9999999999999998E-4</v>
      </c>
      <c r="I90" s="178">
        <v>135.09392</v>
      </c>
      <c r="J90" s="80">
        <f t="shared" si="27"/>
        <v>2.0000000000000001E-4</v>
      </c>
      <c r="K90" s="178">
        <v>138.47126799999998</v>
      </c>
      <c r="L90" s="80">
        <f t="shared" si="28"/>
        <v>1.9999999999999998E-4</v>
      </c>
      <c r="M90" s="178">
        <v>141.93304969999997</v>
      </c>
      <c r="N90" s="80">
        <f t="shared" si="29"/>
        <v>1.9999999999999998E-4</v>
      </c>
      <c r="O90" s="178">
        <v>146.19104119099998</v>
      </c>
      <c r="P90" s="80">
        <f t="shared" si="30"/>
        <v>2.0000000000000001E-4</v>
      </c>
      <c r="Q90" s="178">
        <v>150.57677242672997</v>
      </c>
      <c r="R90" s="80">
        <f t="shared" si="31"/>
        <v>2.0000000000000001E-4</v>
      </c>
      <c r="S90" s="178">
        <v>154.94349882710515</v>
      </c>
      <c r="T90" s="80">
        <f t="shared" si="32"/>
        <v>2.0000000000000001E-4</v>
      </c>
      <c r="U90" s="178">
        <v>159.5918037919183</v>
      </c>
      <c r="V90" s="80">
        <f t="shared" si="33"/>
        <v>2.0000000000000001E-4</v>
      </c>
      <c r="X90" s="192"/>
    </row>
    <row r="91" spans="1:24" ht="12.75" customHeight="1">
      <c r="A91" s="2" t="s">
        <v>435</v>
      </c>
      <c r="C91" s="178">
        <v>0</v>
      </c>
      <c r="D91" s="80">
        <f t="shared" si="24"/>
        <v>0</v>
      </c>
      <c r="E91" s="178">
        <v>0</v>
      </c>
      <c r="F91" s="80">
        <f t="shared" si="25"/>
        <v>0</v>
      </c>
      <c r="G91" s="178">
        <v>0</v>
      </c>
      <c r="H91" s="80">
        <f t="shared" si="26"/>
        <v>0</v>
      </c>
      <c r="I91" s="178">
        <v>0</v>
      </c>
      <c r="J91" s="80">
        <f t="shared" si="27"/>
        <v>0</v>
      </c>
      <c r="K91" s="178">
        <v>0</v>
      </c>
      <c r="L91" s="80">
        <f t="shared" si="28"/>
        <v>0</v>
      </c>
      <c r="M91" s="178">
        <v>0</v>
      </c>
      <c r="N91" s="80">
        <f t="shared" si="29"/>
        <v>0</v>
      </c>
      <c r="O91" s="178">
        <v>0</v>
      </c>
      <c r="P91" s="80">
        <f t="shared" si="30"/>
        <v>0</v>
      </c>
      <c r="Q91" s="178">
        <v>0</v>
      </c>
      <c r="R91" s="80">
        <f t="shared" si="31"/>
        <v>0</v>
      </c>
      <c r="S91" s="178">
        <v>0</v>
      </c>
      <c r="T91" s="80">
        <f t="shared" si="32"/>
        <v>0</v>
      </c>
      <c r="U91" s="178">
        <v>0</v>
      </c>
      <c r="V91" s="80">
        <f t="shared" si="33"/>
        <v>0</v>
      </c>
      <c r="X91" s="192"/>
    </row>
    <row r="92" spans="1:24" ht="12.75" customHeight="1">
      <c r="A92" s="2" t="s">
        <v>436</v>
      </c>
      <c r="B92" s="35"/>
      <c r="C92" s="178">
        <v>3031.6</v>
      </c>
      <c r="D92" s="80">
        <f t="shared" si="24"/>
        <v>5.1999999999999998E-3</v>
      </c>
      <c r="E92" s="178">
        <v>3156.3999999999996</v>
      </c>
      <c r="F92" s="80">
        <f t="shared" si="25"/>
        <v>5.1999999999999998E-3</v>
      </c>
      <c r="G92" s="178">
        <v>3377.3479999999995</v>
      </c>
      <c r="H92" s="80">
        <f t="shared" si="26"/>
        <v>5.1999999999999989E-3</v>
      </c>
      <c r="I92" s="178">
        <v>3512.4419199999998</v>
      </c>
      <c r="J92" s="80">
        <f t="shared" si="27"/>
        <v>5.1999999999999998E-3</v>
      </c>
      <c r="K92" s="178">
        <v>3600.2529679999993</v>
      </c>
      <c r="L92" s="80">
        <f t="shared" si="28"/>
        <v>5.1999999999999989E-3</v>
      </c>
      <c r="M92" s="178">
        <v>3690.259292199999</v>
      </c>
      <c r="N92" s="80">
        <f t="shared" si="29"/>
        <v>5.1999999999999998E-3</v>
      </c>
      <c r="O92" s="178">
        <v>3800.967070965999</v>
      </c>
      <c r="P92" s="80">
        <f t="shared" si="30"/>
        <v>5.1999999999999998E-3</v>
      </c>
      <c r="Q92" s="178">
        <v>3914.9960830949785</v>
      </c>
      <c r="R92" s="80">
        <f t="shared" si="31"/>
        <v>5.1999999999999989E-3</v>
      </c>
      <c r="S92" s="178">
        <v>4028.5309695047335</v>
      </c>
      <c r="T92" s="80">
        <f t="shared" si="32"/>
        <v>5.1999999999999998E-3</v>
      </c>
      <c r="U92" s="178">
        <v>4149.3868985898753</v>
      </c>
      <c r="V92" s="80">
        <f t="shared" si="33"/>
        <v>5.1999999999999998E-3</v>
      </c>
      <c r="X92" s="192"/>
    </row>
    <row r="93" spans="1:24" ht="12.75" customHeight="1">
      <c r="A93" s="2" t="s">
        <v>437</v>
      </c>
      <c r="B93" s="35"/>
      <c r="C93" s="178">
        <v>0</v>
      </c>
      <c r="D93" s="80">
        <f t="shared" si="24"/>
        <v>0</v>
      </c>
      <c r="E93" s="178">
        <v>0</v>
      </c>
      <c r="F93" s="80">
        <f t="shared" si="25"/>
        <v>0</v>
      </c>
      <c r="G93" s="178">
        <v>0</v>
      </c>
      <c r="H93" s="80">
        <f t="shared" si="26"/>
        <v>0</v>
      </c>
      <c r="I93" s="178">
        <v>0</v>
      </c>
      <c r="J93" s="80">
        <f t="shared" si="27"/>
        <v>0</v>
      </c>
      <c r="K93" s="178">
        <v>0</v>
      </c>
      <c r="L93" s="80">
        <f t="shared" si="28"/>
        <v>0</v>
      </c>
      <c r="M93" s="178">
        <v>0</v>
      </c>
      <c r="N93" s="80">
        <f t="shared" si="29"/>
        <v>0</v>
      </c>
      <c r="O93" s="178">
        <v>0</v>
      </c>
      <c r="P93" s="80">
        <f t="shared" si="30"/>
        <v>0</v>
      </c>
      <c r="Q93" s="178">
        <v>0</v>
      </c>
      <c r="R93" s="80">
        <f t="shared" si="31"/>
        <v>0</v>
      </c>
      <c r="S93" s="178">
        <v>0</v>
      </c>
      <c r="T93" s="80">
        <f t="shared" si="32"/>
        <v>0</v>
      </c>
      <c r="U93" s="178">
        <v>0</v>
      </c>
      <c r="V93" s="80">
        <f t="shared" si="33"/>
        <v>0</v>
      </c>
      <c r="X93" s="192"/>
    </row>
    <row r="94" spans="1:24" ht="12.75" customHeight="1">
      <c r="A94" s="2" t="s">
        <v>438</v>
      </c>
      <c r="B94" s="35"/>
      <c r="C94" s="178">
        <v>0</v>
      </c>
      <c r="D94" s="80">
        <f t="shared" si="24"/>
        <v>0</v>
      </c>
      <c r="E94" s="178">
        <v>0</v>
      </c>
      <c r="F94" s="80">
        <f t="shared" si="25"/>
        <v>0</v>
      </c>
      <c r="G94" s="178">
        <v>0</v>
      </c>
      <c r="H94" s="80">
        <f t="shared" si="26"/>
        <v>0</v>
      </c>
      <c r="I94" s="178">
        <v>0</v>
      </c>
      <c r="J94" s="80">
        <f t="shared" si="27"/>
        <v>0</v>
      </c>
      <c r="K94" s="178">
        <v>0</v>
      </c>
      <c r="L94" s="80">
        <f t="shared" si="28"/>
        <v>0</v>
      </c>
      <c r="M94" s="178">
        <v>0</v>
      </c>
      <c r="N94" s="80">
        <f t="shared" si="29"/>
        <v>0</v>
      </c>
      <c r="O94" s="178">
        <v>0</v>
      </c>
      <c r="P94" s="80">
        <f t="shared" si="30"/>
        <v>0</v>
      </c>
      <c r="Q94" s="178">
        <v>0</v>
      </c>
      <c r="R94" s="80">
        <f t="shared" si="31"/>
        <v>0</v>
      </c>
      <c r="S94" s="178">
        <v>0</v>
      </c>
      <c r="T94" s="80">
        <f t="shared" si="32"/>
        <v>0</v>
      </c>
      <c r="U94" s="178">
        <v>0</v>
      </c>
      <c r="V94" s="80">
        <f t="shared" si="33"/>
        <v>0</v>
      </c>
      <c r="X94" s="192"/>
    </row>
    <row r="95" spans="1:24" ht="12.75" customHeight="1">
      <c r="A95" s="2" t="s">
        <v>439</v>
      </c>
      <c r="B95" s="35"/>
      <c r="C95" s="178">
        <v>0</v>
      </c>
      <c r="D95" s="80">
        <f t="shared" si="24"/>
        <v>0</v>
      </c>
      <c r="E95" s="178">
        <v>0</v>
      </c>
      <c r="F95" s="80">
        <f t="shared" si="25"/>
        <v>0</v>
      </c>
      <c r="G95" s="178">
        <v>0</v>
      </c>
      <c r="H95" s="80">
        <f t="shared" si="26"/>
        <v>0</v>
      </c>
      <c r="I95" s="178">
        <v>0</v>
      </c>
      <c r="J95" s="80">
        <f t="shared" si="27"/>
        <v>0</v>
      </c>
      <c r="K95" s="178">
        <v>0</v>
      </c>
      <c r="L95" s="80">
        <f t="shared" si="28"/>
        <v>0</v>
      </c>
      <c r="M95" s="178">
        <v>0</v>
      </c>
      <c r="N95" s="80">
        <f t="shared" si="29"/>
        <v>0</v>
      </c>
      <c r="O95" s="178">
        <v>0</v>
      </c>
      <c r="P95" s="80">
        <f t="shared" si="30"/>
        <v>0</v>
      </c>
      <c r="Q95" s="178">
        <v>0</v>
      </c>
      <c r="R95" s="80">
        <f t="shared" si="31"/>
        <v>0</v>
      </c>
      <c r="S95" s="178">
        <v>0</v>
      </c>
      <c r="T95" s="80">
        <f t="shared" si="32"/>
        <v>0</v>
      </c>
      <c r="U95" s="178">
        <v>0</v>
      </c>
      <c r="V95" s="80">
        <f t="shared" si="33"/>
        <v>0</v>
      </c>
      <c r="X95" s="192"/>
    </row>
    <row r="96" spans="1:24" ht="12.75" customHeight="1">
      <c r="A96" s="2" t="s">
        <v>440</v>
      </c>
      <c r="B96" s="35"/>
      <c r="C96" s="178">
        <v>0</v>
      </c>
      <c r="D96" s="80">
        <f t="shared" si="24"/>
        <v>0</v>
      </c>
      <c r="E96" s="178">
        <v>0</v>
      </c>
      <c r="F96" s="80">
        <f t="shared" si="25"/>
        <v>0</v>
      </c>
      <c r="G96" s="178">
        <v>0</v>
      </c>
      <c r="H96" s="80">
        <f t="shared" si="26"/>
        <v>0</v>
      </c>
      <c r="I96" s="178">
        <v>0</v>
      </c>
      <c r="J96" s="80">
        <f t="shared" si="27"/>
        <v>0</v>
      </c>
      <c r="K96" s="178">
        <v>0</v>
      </c>
      <c r="L96" s="80">
        <f t="shared" si="28"/>
        <v>0</v>
      </c>
      <c r="M96" s="178">
        <v>0</v>
      </c>
      <c r="N96" s="80">
        <f t="shared" si="29"/>
        <v>0</v>
      </c>
      <c r="O96" s="178">
        <v>0</v>
      </c>
      <c r="P96" s="80">
        <f t="shared" si="30"/>
        <v>0</v>
      </c>
      <c r="Q96" s="178">
        <v>0</v>
      </c>
      <c r="R96" s="80">
        <f t="shared" si="31"/>
        <v>0</v>
      </c>
      <c r="S96" s="178">
        <v>0</v>
      </c>
      <c r="T96" s="80">
        <f t="shared" si="32"/>
        <v>0</v>
      </c>
      <c r="U96" s="178">
        <v>0</v>
      </c>
      <c r="V96" s="80">
        <f t="shared" si="33"/>
        <v>0</v>
      </c>
      <c r="X96" s="192"/>
    </row>
    <row r="97" spans="1:24" ht="12.75" customHeight="1">
      <c r="A97" s="2" t="s">
        <v>441</v>
      </c>
      <c r="B97" s="35"/>
      <c r="C97" s="178">
        <v>13393.263300000001</v>
      </c>
      <c r="D97" s="80">
        <f t="shared" si="24"/>
        <v>2.2973007375643225E-2</v>
      </c>
      <c r="E97" s="178">
        <v>14647.690850700001</v>
      </c>
      <c r="F97" s="80">
        <f t="shared" si="25"/>
        <v>2.4131286409719937E-2</v>
      </c>
      <c r="G97" s="178">
        <v>10922.922284799499</v>
      </c>
      <c r="H97" s="80">
        <f t="shared" si="26"/>
        <v>1.6817691242050684E-2</v>
      </c>
      <c r="I97" s="178">
        <v>11251.69296539127</v>
      </c>
      <c r="J97" s="80">
        <f t="shared" si="27"/>
        <v>1.6657586019254263E-2</v>
      </c>
      <c r="K97" s="178">
        <v>11532.98528952605</v>
      </c>
      <c r="L97" s="80">
        <f t="shared" si="28"/>
        <v>1.6657586019254263E-2</v>
      </c>
      <c r="M97" s="178">
        <v>11821.309921764203</v>
      </c>
      <c r="N97" s="80">
        <f t="shared" si="29"/>
        <v>1.6657586019254267E-2</v>
      </c>
      <c r="O97" s="178">
        <v>12116.842669808306</v>
      </c>
      <c r="P97" s="80">
        <f t="shared" si="30"/>
        <v>1.6576723951199631E-2</v>
      </c>
      <c r="Q97" s="178">
        <v>12419.763736553512</v>
      </c>
      <c r="R97" s="80">
        <f t="shared" si="31"/>
        <v>1.6496254417455943E-2</v>
      </c>
      <c r="S97" s="178">
        <v>12691.120160832021</v>
      </c>
      <c r="T97" s="80">
        <f t="shared" si="32"/>
        <v>1.6381610402374486E-2</v>
      </c>
      <c r="U97" s="178">
        <v>13008.398164852821</v>
      </c>
      <c r="V97" s="80">
        <f t="shared" si="33"/>
        <v>1.6302088021780434E-2</v>
      </c>
      <c r="X97" s="192"/>
    </row>
    <row r="98" spans="1:24" ht="12.75" customHeight="1">
      <c r="A98" s="117" t="s">
        <v>444</v>
      </c>
      <c r="B98" s="35"/>
      <c r="C98" s="178">
        <v>699.59999999999991</v>
      </c>
      <c r="D98" s="80">
        <f t="shared" si="24"/>
        <v>1.1999999999999999E-3</v>
      </c>
      <c r="E98" s="178">
        <v>728.39999999999986</v>
      </c>
      <c r="F98" s="80">
        <f t="shared" si="25"/>
        <v>1.1999999999999997E-3</v>
      </c>
      <c r="G98" s="178">
        <v>779.38799999999992</v>
      </c>
      <c r="H98" s="80">
        <f t="shared" si="26"/>
        <v>1.1999999999999999E-3</v>
      </c>
      <c r="I98" s="178">
        <v>810.56351999999981</v>
      </c>
      <c r="J98" s="80">
        <f t="shared" si="27"/>
        <v>1.1999999999999997E-3</v>
      </c>
      <c r="K98" s="178">
        <v>830.82760799999994</v>
      </c>
      <c r="L98" s="80">
        <f t="shared" si="28"/>
        <v>1.1999999999999999E-3</v>
      </c>
      <c r="M98" s="178">
        <v>851.5982981999997</v>
      </c>
      <c r="N98" s="80">
        <f t="shared" si="29"/>
        <v>1.1999999999999999E-3</v>
      </c>
      <c r="O98" s="178">
        <v>877.14624714599984</v>
      </c>
      <c r="P98" s="80">
        <f t="shared" si="30"/>
        <v>1.1999999999999999E-3</v>
      </c>
      <c r="Q98" s="178">
        <v>903.46063456037962</v>
      </c>
      <c r="R98" s="80">
        <f t="shared" si="31"/>
        <v>1.1999999999999997E-3</v>
      </c>
      <c r="S98" s="178">
        <v>929.66099296263076</v>
      </c>
      <c r="T98" s="80">
        <f t="shared" si="32"/>
        <v>1.1999999999999999E-3</v>
      </c>
      <c r="U98" s="178">
        <v>957.5508227515096</v>
      </c>
      <c r="V98" s="80">
        <f t="shared" si="33"/>
        <v>1.1999999999999999E-3</v>
      </c>
      <c r="X98" s="192"/>
    </row>
    <row r="99" spans="1:24" ht="12.75" customHeight="1">
      <c r="A99" s="117" t="s">
        <v>444</v>
      </c>
      <c r="B99" s="35"/>
      <c r="C99" s="178">
        <v>0</v>
      </c>
      <c r="D99" s="80">
        <f t="shared" si="24"/>
        <v>0</v>
      </c>
      <c r="E99" s="178">
        <v>0</v>
      </c>
      <c r="F99" s="80">
        <f t="shared" si="25"/>
        <v>0</v>
      </c>
      <c r="G99" s="178">
        <v>0</v>
      </c>
      <c r="H99" s="80">
        <f t="shared" si="26"/>
        <v>0</v>
      </c>
      <c r="I99" s="178">
        <v>0</v>
      </c>
      <c r="J99" s="80">
        <f t="shared" si="27"/>
        <v>0</v>
      </c>
      <c r="K99" s="178">
        <v>0</v>
      </c>
      <c r="L99" s="80">
        <f t="shared" si="28"/>
        <v>0</v>
      </c>
      <c r="M99" s="178">
        <v>0</v>
      </c>
      <c r="N99" s="80">
        <f t="shared" si="29"/>
        <v>0</v>
      </c>
      <c r="O99" s="178">
        <v>0</v>
      </c>
      <c r="P99" s="80">
        <f t="shared" si="30"/>
        <v>0</v>
      </c>
      <c r="Q99" s="178">
        <v>0</v>
      </c>
      <c r="R99" s="80">
        <f t="shared" si="31"/>
        <v>0</v>
      </c>
      <c r="S99" s="178">
        <v>0</v>
      </c>
      <c r="T99" s="80">
        <f t="shared" si="32"/>
        <v>0</v>
      </c>
      <c r="U99" s="178">
        <v>0</v>
      </c>
      <c r="V99" s="80">
        <f t="shared" si="33"/>
        <v>0</v>
      </c>
      <c r="X99" s="192"/>
    </row>
    <row r="100" spans="1:24" ht="12.75" customHeight="1">
      <c r="A100" s="117" t="s">
        <v>444</v>
      </c>
      <c r="B100" s="35"/>
      <c r="C100" s="178">
        <v>0</v>
      </c>
      <c r="D100" s="80">
        <f t="shared" si="24"/>
        <v>0</v>
      </c>
      <c r="E100" s="178">
        <v>0</v>
      </c>
      <c r="F100" s="80">
        <f t="shared" si="25"/>
        <v>0</v>
      </c>
      <c r="G100" s="178">
        <v>0</v>
      </c>
      <c r="H100" s="80">
        <f t="shared" si="26"/>
        <v>0</v>
      </c>
      <c r="I100" s="178">
        <v>0</v>
      </c>
      <c r="J100" s="80">
        <f t="shared" si="27"/>
        <v>0</v>
      </c>
      <c r="K100" s="178">
        <v>0</v>
      </c>
      <c r="L100" s="80">
        <f t="shared" si="28"/>
        <v>0</v>
      </c>
      <c r="M100" s="178">
        <v>0</v>
      </c>
      <c r="N100" s="80">
        <f t="shared" si="29"/>
        <v>0</v>
      </c>
      <c r="O100" s="178">
        <v>0</v>
      </c>
      <c r="P100" s="80">
        <f t="shared" si="30"/>
        <v>0</v>
      </c>
      <c r="Q100" s="178">
        <v>0</v>
      </c>
      <c r="R100" s="80">
        <f t="shared" si="31"/>
        <v>0</v>
      </c>
      <c r="S100" s="178">
        <v>0</v>
      </c>
      <c r="T100" s="80">
        <f t="shared" si="32"/>
        <v>0</v>
      </c>
      <c r="U100" s="178">
        <v>0</v>
      </c>
      <c r="V100" s="80">
        <f t="shared" si="33"/>
        <v>0</v>
      </c>
      <c r="X100" s="192"/>
    </row>
    <row r="101" spans="1:24" ht="12.75" customHeight="1">
      <c r="A101" s="2" t="s">
        <v>445</v>
      </c>
      <c r="B101" s="35"/>
      <c r="C101" s="178"/>
      <c r="D101" s="80">
        <f t="shared" si="24"/>
        <v>0</v>
      </c>
      <c r="E101" s="178"/>
      <c r="F101" s="80">
        <f t="shared" si="25"/>
        <v>0</v>
      </c>
      <c r="G101" s="178"/>
      <c r="H101" s="80">
        <f t="shared" si="26"/>
        <v>0</v>
      </c>
      <c r="I101" s="178">
        <v>0</v>
      </c>
      <c r="J101" s="80">
        <f t="shared" si="27"/>
        <v>0</v>
      </c>
      <c r="K101" s="178">
        <v>0</v>
      </c>
      <c r="L101" s="80">
        <f t="shared" si="28"/>
        <v>0</v>
      </c>
      <c r="M101" s="178">
        <v>0</v>
      </c>
      <c r="N101" s="80">
        <f t="shared" si="29"/>
        <v>0</v>
      </c>
      <c r="O101" s="178">
        <v>0</v>
      </c>
      <c r="P101" s="80">
        <f t="shared" si="30"/>
        <v>0</v>
      </c>
      <c r="Q101" s="178">
        <v>0</v>
      </c>
      <c r="R101" s="80">
        <f t="shared" si="31"/>
        <v>0</v>
      </c>
      <c r="S101" s="178">
        <v>0</v>
      </c>
      <c r="T101" s="80">
        <f t="shared" si="32"/>
        <v>0</v>
      </c>
      <c r="U101" s="178">
        <v>0</v>
      </c>
      <c r="V101" s="80">
        <f t="shared" si="33"/>
        <v>0</v>
      </c>
      <c r="X101" s="192"/>
    </row>
    <row r="102" spans="1:24" ht="12.75" customHeight="1">
      <c r="A102" s="117" t="s">
        <v>446</v>
      </c>
      <c r="B102" s="35"/>
      <c r="C102" s="178">
        <v>5830</v>
      </c>
      <c r="D102" s="80">
        <f t="shared" si="24"/>
        <v>0.01</v>
      </c>
      <c r="E102" s="178">
        <v>6070</v>
      </c>
      <c r="F102" s="80">
        <f t="shared" si="25"/>
        <v>0.01</v>
      </c>
      <c r="G102" s="178">
        <v>6494.9</v>
      </c>
      <c r="H102" s="80">
        <f t="shared" si="26"/>
        <v>0.01</v>
      </c>
      <c r="I102" s="178">
        <v>6754.6960000000008</v>
      </c>
      <c r="J102" s="80">
        <f t="shared" si="27"/>
        <v>1.0000000000000002E-2</v>
      </c>
      <c r="K102" s="178">
        <v>6923.5633999999991</v>
      </c>
      <c r="L102" s="80">
        <f t="shared" si="28"/>
        <v>9.9999999999999985E-3</v>
      </c>
      <c r="M102" s="178">
        <v>7096.6524849999978</v>
      </c>
      <c r="N102" s="80">
        <f t="shared" si="29"/>
        <v>9.9999999999999985E-3</v>
      </c>
      <c r="O102" s="178">
        <v>7309.5520595500002</v>
      </c>
      <c r="P102" s="80">
        <f t="shared" si="30"/>
        <v>1.0000000000000002E-2</v>
      </c>
      <c r="Q102" s="178">
        <v>7528.8386213364984</v>
      </c>
      <c r="R102" s="80">
        <f t="shared" si="31"/>
        <v>0.01</v>
      </c>
      <c r="S102" s="178">
        <v>7747.174941355257</v>
      </c>
      <c r="T102" s="80">
        <f t="shared" si="32"/>
        <v>0.01</v>
      </c>
      <c r="U102" s="178">
        <v>7979.5901895959132</v>
      </c>
      <c r="V102" s="80">
        <f t="shared" si="33"/>
        <v>9.9999999999999985E-3</v>
      </c>
      <c r="X102" s="192"/>
    </row>
    <row r="103" spans="1:24" ht="12.75" customHeight="1">
      <c r="A103" s="117" t="s">
        <v>446</v>
      </c>
      <c r="B103" s="35"/>
      <c r="C103" s="178">
        <v>0</v>
      </c>
      <c r="D103" s="80">
        <f t="shared" si="24"/>
        <v>0</v>
      </c>
      <c r="E103" s="178">
        <v>0</v>
      </c>
      <c r="F103" s="80">
        <f t="shared" si="25"/>
        <v>0</v>
      </c>
      <c r="G103" s="178">
        <v>0</v>
      </c>
      <c r="H103" s="80">
        <f t="shared" si="26"/>
        <v>0</v>
      </c>
      <c r="I103" s="178">
        <v>0</v>
      </c>
      <c r="J103" s="80">
        <f t="shared" si="27"/>
        <v>0</v>
      </c>
      <c r="K103" s="178">
        <v>0</v>
      </c>
      <c r="L103" s="80">
        <f t="shared" si="28"/>
        <v>0</v>
      </c>
      <c r="M103" s="178">
        <v>0</v>
      </c>
      <c r="N103" s="80">
        <f t="shared" si="29"/>
        <v>0</v>
      </c>
      <c r="O103" s="178">
        <v>0</v>
      </c>
      <c r="P103" s="80">
        <f t="shared" si="30"/>
        <v>0</v>
      </c>
      <c r="Q103" s="178">
        <v>0</v>
      </c>
      <c r="R103" s="80">
        <f t="shared" si="31"/>
        <v>0</v>
      </c>
      <c r="S103" s="178">
        <v>0</v>
      </c>
      <c r="T103" s="80">
        <f t="shared" si="32"/>
        <v>0</v>
      </c>
      <c r="U103" s="178">
        <v>0</v>
      </c>
      <c r="V103" s="80">
        <f t="shared" si="33"/>
        <v>0</v>
      </c>
      <c r="X103" s="192"/>
    </row>
    <row r="104" spans="1:24" ht="12.75" customHeight="1">
      <c r="A104" s="117" t="s">
        <v>446</v>
      </c>
      <c r="B104" s="1"/>
      <c r="C104" s="178">
        <v>0</v>
      </c>
      <c r="D104" s="80">
        <f t="shared" si="24"/>
        <v>0</v>
      </c>
      <c r="E104" s="178">
        <v>0</v>
      </c>
      <c r="F104" s="80">
        <f t="shared" si="25"/>
        <v>0</v>
      </c>
      <c r="G104" s="178">
        <v>0</v>
      </c>
      <c r="H104" s="80">
        <f t="shared" si="26"/>
        <v>0</v>
      </c>
      <c r="I104" s="178">
        <v>0</v>
      </c>
      <c r="J104" s="80">
        <f t="shared" si="27"/>
        <v>0</v>
      </c>
      <c r="K104" s="178">
        <v>0</v>
      </c>
      <c r="L104" s="80">
        <f t="shared" si="28"/>
        <v>0</v>
      </c>
      <c r="M104" s="178">
        <v>0</v>
      </c>
      <c r="N104" s="80">
        <f t="shared" si="29"/>
        <v>0</v>
      </c>
      <c r="O104" s="178">
        <v>0</v>
      </c>
      <c r="P104" s="80">
        <f t="shared" si="30"/>
        <v>0</v>
      </c>
      <c r="Q104" s="178">
        <v>0</v>
      </c>
      <c r="R104" s="80">
        <f t="shared" si="31"/>
        <v>0</v>
      </c>
      <c r="S104" s="178">
        <v>0</v>
      </c>
      <c r="T104" s="80">
        <f t="shared" si="32"/>
        <v>0</v>
      </c>
      <c r="U104" s="178">
        <v>0</v>
      </c>
      <c r="V104" s="80">
        <f t="shared" si="33"/>
        <v>0</v>
      </c>
      <c r="X104" s="192"/>
    </row>
    <row r="105" spans="1:24" ht="12.75" customHeight="1">
      <c r="A105" s="1" t="s">
        <v>447</v>
      </c>
      <c r="B105" s="53"/>
      <c r="C105" s="82">
        <f>SUM(C52:C104)</f>
        <v>107941.6846488366</v>
      </c>
      <c r="D105" s="83">
        <f t="shared" ref="D105" si="34">IFERROR(C105/C$28,0)</f>
        <v>0.18514868721927374</v>
      </c>
      <c r="E105" s="82">
        <f>SUM(E52:E104)</f>
        <v>113197.35250503433</v>
      </c>
      <c r="F105" s="83">
        <f t="shared" ref="F105" si="35">IFERROR(E105/E$28,0)</f>
        <v>0.18648657743827732</v>
      </c>
      <c r="G105" s="82">
        <f>SUM(G52:G104)</f>
        <v>116286.18830010683</v>
      </c>
      <c r="H105" s="83">
        <f t="shared" ref="H105" si="36">IFERROR(G105/G$28,0)</f>
        <v>0.1790423075029744</v>
      </c>
      <c r="I105" s="82">
        <f>SUM(I52:I104)</f>
        <v>120850.67530591245</v>
      </c>
      <c r="J105" s="83">
        <f t="shared" ref="J105" si="37">IFERROR(I105/I$28,0)</f>
        <v>0.17891356665927297</v>
      </c>
      <c r="K105" s="82">
        <f>SUM(K52:K104)</f>
        <v>123845.81150843092</v>
      </c>
      <c r="L105" s="83">
        <f t="shared" ref="L105" si="38">IFERROR(K105/K$28,0)</f>
        <v>0.17887582499559537</v>
      </c>
      <c r="M105" s="82">
        <f>SUM(M52:M104)</f>
        <v>126956.56303821167</v>
      </c>
      <c r="N105" s="83">
        <f t="shared" ref="N105" si="39">IFERROR(M105/M$28,0)</f>
        <v>0.17889640687148806</v>
      </c>
      <c r="O105" s="82">
        <f>SUM(O52:O104)</f>
        <v>130724.58151599808</v>
      </c>
      <c r="P105" s="83">
        <f t="shared" ref="P105" si="40">IFERROR(O105/O$28,0)</f>
        <v>0.17884075583702175</v>
      </c>
      <c r="Q105" s="82">
        <f>SUM(Q52:Q104)</f>
        <v>134612.82948431323</v>
      </c>
      <c r="R105" s="83">
        <f t="shared" ref="R105" si="41">IFERROR(Q105/Q$28,0)</f>
        <v>0.17879627423919617</v>
      </c>
      <c r="S105" s="82">
        <f>SUM(S52:S104)</f>
        <v>138454.98437703471</v>
      </c>
      <c r="T105" s="83">
        <f t="shared" ref="T105" si="42">IFERROR(S105/S$28,0)</f>
        <v>0.17871673923089956</v>
      </c>
      <c r="U105" s="82">
        <f>SUM(U52:U104)</f>
        <v>142575.11528267383</v>
      </c>
      <c r="V105" s="83">
        <f t="shared" si="33"/>
        <v>0.17867473378340726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448</v>
      </c>
      <c r="B107" s="53"/>
      <c r="C107" s="82">
        <f>C28-C33-C46-C105</f>
        <v>-51608.922648836611</v>
      </c>
      <c r="D107" s="83">
        <f>IFERROR(C107/C$28,0)</f>
        <v>-8.8523023411383558E-2</v>
      </c>
      <c r="E107" s="82">
        <f>E28-E33-E46-E105</f>
        <v>-72915.893947034347</v>
      </c>
      <c r="F107" s="83">
        <f>IFERROR(E107/E$28,0)</f>
        <v>-0.12012503121422462</v>
      </c>
      <c r="G107" s="82">
        <f>G28-G33-G46-G105</f>
        <v>51308.471007923203</v>
      </c>
      <c r="H107" s="83">
        <f>IFERROR(G107/G$28,0)</f>
        <v>7.8998092361580938E-2</v>
      </c>
      <c r="I107" s="82">
        <f>I28-I33-I46-I105</f>
        <v>56340.997422583285</v>
      </c>
      <c r="J107" s="83">
        <f>IFERROR(I107/I$28,0)</f>
        <v>8.3410115603401377E-2</v>
      </c>
      <c r="K107" s="82">
        <f>K28-K33-K46-K105</f>
        <v>57775.653038277233</v>
      </c>
      <c r="L107" s="83">
        <f>IFERROR(K107/K$28,0)</f>
        <v>8.3447857267079026E-2</v>
      </c>
      <c r="M107" s="82">
        <f>M28-M33-M46-M105</f>
        <v>59205.438122164167</v>
      </c>
      <c r="N107" s="83">
        <f>IFERROR(M107/M$28,0)</f>
        <v>8.3427275391186329E-2</v>
      </c>
      <c r="O107" s="82">
        <f>O28-O33-O46-O105</f>
        <v>62593.039674349682</v>
      </c>
      <c r="P107" s="83">
        <f>IFERROR(O107/O$28,0)</f>
        <v>8.5631840589426106E-2</v>
      </c>
      <c r="Q107" s="82">
        <f>Q28-Q33-Q46-Q105</f>
        <v>66114.349336784595</v>
      </c>
      <c r="R107" s="83">
        <f>IFERROR(Q107/Q$28,0)</f>
        <v>8.7814804728870863E-2</v>
      </c>
      <c r="S107" s="82">
        <f>S28-S33-S46-S105</f>
        <v>70449.787249354529</v>
      </c>
      <c r="T107" s="83">
        <f>IFERROR(S107/S$28,0)</f>
        <v>9.093609965264364E-2</v>
      </c>
      <c r="U107" s="82">
        <f>U28-U33-U46-U105</f>
        <v>74283.154801202909</v>
      </c>
      <c r="V107" s="83">
        <f>IFERROR(U107/U$28,0)</f>
        <v>9.3091440833711042E-2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449</v>
      </c>
      <c r="B110" s="40"/>
      <c r="C110" s="86" t="str">
        <f>C50</f>
        <v>FY 2018-19</v>
      </c>
      <c r="D110" s="86" t="s">
        <v>366</v>
      </c>
      <c r="E110" s="86" t="str">
        <f>E50</f>
        <v>FY 2019-20</v>
      </c>
      <c r="F110" s="86" t="s">
        <v>366</v>
      </c>
      <c r="G110" s="86" t="str">
        <f>G50</f>
        <v>FY 2020-21</v>
      </c>
      <c r="H110" s="86" t="s">
        <v>366</v>
      </c>
      <c r="I110" s="86" t="str">
        <f>I50</f>
        <v>FY 2021-22</v>
      </c>
      <c r="J110" s="86" t="s">
        <v>366</v>
      </c>
      <c r="K110" s="86" t="str">
        <f>K50</f>
        <v>FY 2022-23</v>
      </c>
      <c r="L110" s="86" t="s">
        <v>366</v>
      </c>
      <c r="M110" s="86" t="str">
        <f>M50</f>
        <v>FY 2023-24</v>
      </c>
      <c r="N110" s="86" t="s">
        <v>366</v>
      </c>
      <c r="O110" s="86" t="str">
        <f>O50</f>
        <v>FY 2024-25</v>
      </c>
      <c r="P110" s="86" t="s">
        <v>366</v>
      </c>
      <c r="Q110" s="86" t="str">
        <f>Q50</f>
        <v>FY 2025-26</v>
      </c>
      <c r="R110" s="86" t="s">
        <v>366</v>
      </c>
      <c r="S110" s="86" t="str">
        <f>S50</f>
        <v>FY 2026-27</v>
      </c>
      <c r="T110" s="86" t="s">
        <v>366</v>
      </c>
      <c r="U110" s="86" t="str">
        <f>U50</f>
        <v>FY 2027-28</v>
      </c>
      <c r="V110" s="86" t="s">
        <v>366</v>
      </c>
    </row>
    <row r="111" spans="1:24" ht="12.75" customHeight="1">
      <c r="A111" s="2" t="s">
        <v>403</v>
      </c>
      <c r="B111" s="35"/>
      <c r="C111" s="79">
        <f>C59</f>
        <v>0</v>
      </c>
      <c r="D111" s="80">
        <f t="shared" ref="D111:D116" si="43">IFERROR(C111/C$28,0)</f>
        <v>0</v>
      </c>
      <c r="E111" s="79">
        <f>E59</f>
        <v>0</v>
      </c>
      <c r="F111" s="80">
        <f t="shared" ref="F111:F116" si="44">IFERROR(E111/E$28,0)</f>
        <v>0</v>
      </c>
      <c r="G111" s="79">
        <f>G59</f>
        <v>0</v>
      </c>
      <c r="H111" s="80">
        <f t="shared" ref="H111:H116" si="45">IFERROR(G111/G$28,0)</f>
        <v>0</v>
      </c>
      <c r="I111" s="79">
        <f>I59</f>
        <v>0</v>
      </c>
      <c r="J111" s="80">
        <f t="shared" ref="J111:J116" si="46">IFERROR(I111/I$28,0)</f>
        <v>0</v>
      </c>
      <c r="K111" s="79">
        <f>K59</f>
        <v>0</v>
      </c>
      <c r="L111" s="80">
        <f t="shared" ref="L111:L116" si="47">IFERROR(K111/K$28,0)</f>
        <v>0</v>
      </c>
      <c r="M111" s="79">
        <f>M59</f>
        <v>0</v>
      </c>
      <c r="N111" s="80">
        <f t="shared" ref="N111:N116" si="48">IFERROR(M111/M$28,0)</f>
        <v>0</v>
      </c>
      <c r="O111" s="79">
        <f>O59</f>
        <v>0</v>
      </c>
      <c r="P111" s="80">
        <f t="shared" ref="P111:P116" si="49">IFERROR(O111/O$28,0)</f>
        <v>0</v>
      </c>
      <c r="Q111" s="79">
        <f>Q59</f>
        <v>0</v>
      </c>
      <c r="R111" s="80">
        <f t="shared" ref="R111:R116" si="50">IFERROR(Q111/Q$28,0)</f>
        <v>0</v>
      </c>
      <c r="S111" s="79">
        <f>S59</f>
        <v>0</v>
      </c>
      <c r="T111" s="80">
        <f t="shared" ref="T111:T116" si="51">IFERROR(S111/S$28,0)</f>
        <v>0</v>
      </c>
      <c r="U111" s="79">
        <f>U59</f>
        <v>0</v>
      </c>
      <c r="V111" s="80">
        <f t="shared" ref="V111:V116" si="52">IFERROR(U111/U$28,0)</f>
        <v>0</v>
      </c>
    </row>
    <row r="112" spans="1:24" ht="12.75" customHeight="1">
      <c r="A112" s="2" t="s">
        <v>450</v>
      </c>
      <c r="B112" s="35"/>
      <c r="C112" s="79">
        <f>C62</f>
        <v>0</v>
      </c>
      <c r="D112" s="80">
        <f t="shared" si="43"/>
        <v>0</v>
      </c>
      <c r="E112" s="79">
        <f>E62</f>
        <v>0</v>
      </c>
      <c r="F112" s="80">
        <f t="shared" si="44"/>
        <v>0</v>
      </c>
      <c r="G112" s="79">
        <f>G62</f>
        <v>0</v>
      </c>
      <c r="H112" s="80">
        <f t="shared" si="45"/>
        <v>0</v>
      </c>
      <c r="I112" s="79">
        <f>I62</f>
        <v>0</v>
      </c>
      <c r="J112" s="80">
        <f t="shared" si="46"/>
        <v>0</v>
      </c>
      <c r="K112" s="79">
        <f>K62</f>
        <v>0</v>
      </c>
      <c r="L112" s="80">
        <f t="shared" si="47"/>
        <v>0</v>
      </c>
      <c r="M112" s="79">
        <f>M62</f>
        <v>0</v>
      </c>
      <c r="N112" s="80">
        <f t="shared" si="48"/>
        <v>0</v>
      </c>
      <c r="O112" s="79">
        <f>O62</f>
        <v>0</v>
      </c>
      <c r="P112" s="80">
        <f t="shared" si="49"/>
        <v>0</v>
      </c>
      <c r="Q112" s="79">
        <f>Q62</f>
        <v>0</v>
      </c>
      <c r="R112" s="80">
        <f t="shared" si="50"/>
        <v>0</v>
      </c>
      <c r="S112" s="79">
        <f>S62</f>
        <v>0</v>
      </c>
      <c r="T112" s="80">
        <f t="shared" si="51"/>
        <v>0</v>
      </c>
      <c r="U112" s="79">
        <f>U62</f>
        <v>0</v>
      </c>
      <c r="V112" s="80">
        <f t="shared" si="52"/>
        <v>0</v>
      </c>
    </row>
    <row r="113" spans="1:22" ht="12.75" customHeight="1">
      <c r="A113" s="117" t="s">
        <v>446</v>
      </c>
      <c r="B113" s="41"/>
      <c r="C113" s="111">
        <v>0</v>
      </c>
      <c r="D113" s="80">
        <f t="shared" si="43"/>
        <v>0</v>
      </c>
      <c r="E113" s="111">
        <v>0</v>
      </c>
      <c r="F113" s="80">
        <f t="shared" si="44"/>
        <v>0</v>
      </c>
      <c r="G113" s="111">
        <v>0</v>
      </c>
      <c r="H113" s="80">
        <f t="shared" si="45"/>
        <v>0</v>
      </c>
      <c r="I113" s="111">
        <v>0</v>
      </c>
      <c r="J113" s="80">
        <f t="shared" si="46"/>
        <v>0</v>
      </c>
      <c r="K113" s="111">
        <v>0</v>
      </c>
      <c r="L113" s="80">
        <f t="shared" si="47"/>
        <v>0</v>
      </c>
      <c r="M113" s="111">
        <v>0</v>
      </c>
      <c r="N113" s="80">
        <f t="shared" si="48"/>
        <v>0</v>
      </c>
      <c r="O113" s="111">
        <v>0</v>
      </c>
      <c r="P113" s="80">
        <f t="shared" si="49"/>
        <v>0</v>
      </c>
      <c r="Q113" s="111">
        <v>0</v>
      </c>
      <c r="R113" s="80">
        <f t="shared" si="50"/>
        <v>0</v>
      </c>
      <c r="S113" s="111">
        <v>0</v>
      </c>
      <c r="T113" s="80">
        <f t="shared" si="51"/>
        <v>0</v>
      </c>
      <c r="U113" s="111">
        <v>0</v>
      </c>
      <c r="V113" s="80">
        <f t="shared" si="52"/>
        <v>0</v>
      </c>
    </row>
    <row r="114" spans="1:22" ht="12.75" customHeight="1">
      <c r="A114" s="117" t="s">
        <v>446</v>
      </c>
      <c r="B114" s="41"/>
      <c r="C114" s="111">
        <v>0</v>
      </c>
      <c r="D114" s="80">
        <f t="shared" si="43"/>
        <v>0</v>
      </c>
      <c r="E114" s="111">
        <v>0</v>
      </c>
      <c r="F114" s="80">
        <f t="shared" si="44"/>
        <v>0</v>
      </c>
      <c r="G114" s="111">
        <v>0</v>
      </c>
      <c r="H114" s="80">
        <f t="shared" si="45"/>
        <v>0</v>
      </c>
      <c r="I114" s="111">
        <v>0</v>
      </c>
      <c r="J114" s="80">
        <f t="shared" si="46"/>
        <v>0</v>
      </c>
      <c r="K114" s="111">
        <v>0</v>
      </c>
      <c r="L114" s="80">
        <f t="shared" si="47"/>
        <v>0</v>
      </c>
      <c r="M114" s="111">
        <v>0</v>
      </c>
      <c r="N114" s="80">
        <f t="shared" si="48"/>
        <v>0</v>
      </c>
      <c r="O114" s="111">
        <v>0</v>
      </c>
      <c r="P114" s="80">
        <f t="shared" si="49"/>
        <v>0</v>
      </c>
      <c r="Q114" s="111">
        <v>0</v>
      </c>
      <c r="R114" s="80">
        <f t="shared" si="50"/>
        <v>0</v>
      </c>
      <c r="S114" s="111">
        <v>0</v>
      </c>
      <c r="T114" s="80">
        <f t="shared" si="51"/>
        <v>0</v>
      </c>
      <c r="U114" s="111">
        <v>0</v>
      </c>
      <c r="V114" s="80">
        <f t="shared" si="52"/>
        <v>0</v>
      </c>
    </row>
    <row r="115" spans="1:22" ht="12.75" customHeight="1">
      <c r="A115" s="117" t="s">
        <v>446</v>
      </c>
      <c r="B115" s="41"/>
      <c r="C115" s="112">
        <v>0</v>
      </c>
      <c r="D115" s="80">
        <f t="shared" si="43"/>
        <v>0</v>
      </c>
      <c r="E115" s="112">
        <v>0</v>
      </c>
      <c r="F115" s="80">
        <f t="shared" si="44"/>
        <v>0</v>
      </c>
      <c r="G115" s="112">
        <v>0</v>
      </c>
      <c r="H115" s="80">
        <f t="shared" si="45"/>
        <v>0</v>
      </c>
      <c r="I115" s="112">
        <v>0</v>
      </c>
      <c r="J115" s="80">
        <f t="shared" si="46"/>
        <v>0</v>
      </c>
      <c r="K115" s="112">
        <v>0</v>
      </c>
      <c r="L115" s="80">
        <f t="shared" si="47"/>
        <v>0</v>
      </c>
      <c r="M115" s="112">
        <v>0</v>
      </c>
      <c r="N115" s="80">
        <f t="shared" si="48"/>
        <v>0</v>
      </c>
      <c r="O115" s="112">
        <v>0</v>
      </c>
      <c r="P115" s="80">
        <f t="shared" si="49"/>
        <v>0</v>
      </c>
      <c r="Q115" s="112">
        <v>0</v>
      </c>
      <c r="R115" s="80">
        <f t="shared" si="50"/>
        <v>0</v>
      </c>
      <c r="S115" s="112">
        <v>0</v>
      </c>
      <c r="T115" s="80">
        <f t="shared" si="51"/>
        <v>0</v>
      </c>
      <c r="U115" s="112">
        <v>0</v>
      </c>
      <c r="V115" s="80">
        <f t="shared" si="52"/>
        <v>0</v>
      </c>
    </row>
    <row r="116" spans="1:22" ht="12.75" customHeight="1">
      <c r="A116" s="40" t="s">
        <v>451</v>
      </c>
      <c r="B116" s="42"/>
      <c r="C116" s="85">
        <f>SUM(C111:C115)</f>
        <v>0</v>
      </c>
      <c r="D116" s="83">
        <f t="shared" si="43"/>
        <v>0</v>
      </c>
      <c r="E116" s="85">
        <f>SUM(E111:E115)</f>
        <v>0</v>
      </c>
      <c r="F116" s="83">
        <f t="shared" si="44"/>
        <v>0</v>
      </c>
      <c r="G116" s="85">
        <f>SUM(G111:G115)</f>
        <v>0</v>
      </c>
      <c r="H116" s="83">
        <f t="shared" si="45"/>
        <v>0</v>
      </c>
      <c r="I116" s="85">
        <f>SUM(I111:I115)</f>
        <v>0</v>
      </c>
      <c r="J116" s="83">
        <f t="shared" si="46"/>
        <v>0</v>
      </c>
      <c r="K116" s="85">
        <f>SUM(K111:K115)</f>
        <v>0</v>
      </c>
      <c r="L116" s="83">
        <f t="shared" si="47"/>
        <v>0</v>
      </c>
      <c r="M116" s="85">
        <f>SUM(M111:M115)</f>
        <v>0</v>
      </c>
      <c r="N116" s="83">
        <f t="shared" si="48"/>
        <v>0</v>
      </c>
      <c r="O116" s="85">
        <f>SUM(O111:O115)</f>
        <v>0</v>
      </c>
      <c r="P116" s="83">
        <f t="shared" si="49"/>
        <v>0</v>
      </c>
      <c r="Q116" s="85">
        <f>SUM(Q111:Q115)</f>
        <v>0</v>
      </c>
      <c r="R116" s="83">
        <f t="shared" si="50"/>
        <v>0</v>
      </c>
      <c r="S116" s="85">
        <f>SUM(S111:S115)</f>
        <v>0</v>
      </c>
      <c r="T116" s="83">
        <f t="shared" si="51"/>
        <v>0</v>
      </c>
      <c r="U116" s="85">
        <f>SUM(U111:U115)</f>
        <v>0</v>
      </c>
      <c r="V116" s="83">
        <f t="shared" si="52"/>
        <v>0</v>
      </c>
    </row>
    <row r="118" spans="1:22" ht="12.75" customHeight="1">
      <c r="A118" s="43" t="s">
        <v>452</v>
      </c>
      <c r="B118" s="43"/>
    </row>
    <row r="119" spans="1:22" ht="12.75" customHeight="1">
      <c r="A119" s="47" t="s">
        <v>476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7" tint="0.59999389629810485"/>
  </sheetPr>
  <dimension ref="A1:X119"/>
  <sheetViews>
    <sheetView topLeftCell="A9" zoomScale="70" zoomScaleNormal="70" workbookViewId="0" xr3:uid="{62E455AB-44C1-5DAA-A80F-CFF2989D01C0}">
      <selection activeCell="W59" sqref="W59"/>
    </sheetView>
  </sheetViews>
  <sheetFormatPr defaultColWidth="9.140625" defaultRowHeight="12.75" customHeight="1"/>
  <cols>
    <col min="1" max="1" width="9.5703125" style="2" customWidth="1"/>
    <col min="2" max="2" width="39.85546875" style="2" customWidth="1"/>
    <col min="3" max="3" width="12.7109375" style="2" customWidth="1"/>
    <col min="4" max="4" width="8.7109375" style="2" customWidth="1"/>
    <col min="5" max="5" width="12.7109375" style="2" customWidth="1"/>
    <col min="6" max="6" width="8.7109375" style="2" customWidth="1"/>
    <col min="7" max="7" width="12.710937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355</v>
      </c>
      <c r="G2" s="33" t="s">
        <v>55</v>
      </c>
      <c r="H2" s="34"/>
      <c r="I2" s="34"/>
      <c r="V2" s="32"/>
    </row>
    <row r="3" spans="1:22" ht="12.75" customHeight="1">
      <c r="A3" s="1" t="s">
        <v>357</v>
      </c>
      <c r="D3" s="118" t="s">
        <v>358</v>
      </c>
      <c r="G3" s="115" t="str">
        <f>+G2</f>
        <v>Papa John's Pizza (Parking Garage 5)</v>
      </c>
      <c r="H3" s="116"/>
      <c r="I3" s="116"/>
      <c r="V3" s="32"/>
    </row>
    <row r="4" spans="1:22" ht="12.75" customHeight="1">
      <c r="A4" s="1" t="s">
        <v>359</v>
      </c>
      <c r="B4" s="109" t="s">
        <v>221</v>
      </c>
      <c r="D4" s="118" t="s">
        <v>360</v>
      </c>
      <c r="G4" s="115" t="s">
        <v>65</v>
      </c>
      <c r="H4" s="116"/>
      <c r="I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361</v>
      </c>
      <c r="B7" s="1"/>
    </row>
    <row r="8" spans="1:22" ht="12.75" customHeight="1">
      <c r="A8" s="2" t="s">
        <v>362</v>
      </c>
      <c r="C8" s="109">
        <v>228</v>
      </c>
      <c r="E8" s="109">
        <f>+C8</f>
        <v>228</v>
      </c>
      <c r="G8" s="109">
        <f>+E8</f>
        <v>228</v>
      </c>
      <c r="I8" s="109">
        <f>+G8</f>
        <v>228</v>
      </c>
      <c r="K8" s="109">
        <f>+I8</f>
        <v>228</v>
      </c>
      <c r="M8" s="109">
        <f>+K8</f>
        <v>228</v>
      </c>
      <c r="O8" s="109">
        <f>+M8</f>
        <v>228</v>
      </c>
      <c r="Q8" s="109">
        <f>+O8</f>
        <v>228</v>
      </c>
      <c r="S8" s="109">
        <f>+Q8</f>
        <v>228</v>
      </c>
      <c r="U8" s="109">
        <f>+S8</f>
        <v>228</v>
      </c>
    </row>
    <row r="10" spans="1:22" ht="12.75" customHeight="1">
      <c r="A10" s="2" t="s">
        <v>462</v>
      </c>
      <c r="C10" s="201">
        <f>+C14/C8/C12</f>
        <v>71.666093337919975</v>
      </c>
      <c r="E10" s="109"/>
      <c r="G10" s="109"/>
      <c r="I10" s="109"/>
      <c r="K10" s="109"/>
      <c r="M10" s="109"/>
      <c r="O10" s="109"/>
      <c r="Q10" s="109"/>
      <c r="S10" s="109"/>
      <c r="U10" s="109">
        <v>0</v>
      </c>
    </row>
    <row r="12" spans="1:22" ht="12.75" customHeight="1">
      <c r="A12" s="2" t="s">
        <v>463</v>
      </c>
      <c r="C12" s="110">
        <v>4.59</v>
      </c>
      <c r="E12" s="110"/>
      <c r="G12" s="110"/>
      <c r="I12" s="110"/>
      <c r="K12" s="110"/>
      <c r="M12" s="110"/>
      <c r="O12" s="110"/>
      <c r="Q12" s="110"/>
      <c r="S12" s="110"/>
      <c r="U12" s="110"/>
    </row>
    <row r="14" spans="1:22" ht="12.75" customHeight="1">
      <c r="A14" s="2" t="s">
        <v>464</v>
      </c>
      <c r="C14" s="121">
        <v>75000</v>
      </c>
      <c r="E14" s="121"/>
      <c r="G14" s="121"/>
      <c r="I14" s="121"/>
      <c r="K14" s="121"/>
      <c r="M14" s="121"/>
      <c r="O14" s="121"/>
      <c r="Q14" s="121"/>
      <c r="S14" s="121"/>
      <c r="U14" s="121">
        <f>U12*U10*U8</f>
        <v>0</v>
      </c>
    </row>
    <row r="15" spans="1:22" ht="12.75" customHeight="1">
      <c r="A15" s="39">
        <v>0.05</v>
      </c>
    </row>
    <row r="16" spans="1:22" ht="12.75" customHeight="1">
      <c r="B16" s="35"/>
      <c r="C16" s="86" t="str">
        <f>C6</f>
        <v>FY 2018-19</v>
      </c>
      <c r="D16" s="86" t="s">
        <v>366</v>
      </c>
      <c r="E16" s="86" t="str">
        <f>E6</f>
        <v>FY 2019-20</v>
      </c>
      <c r="F16" s="86" t="s">
        <v>366</v>
      </c>
      <c r="G16" s="86" t="str">
        <f>G6</f>
        <v>FY 2020-21</v>
      </c>
      <c r="H16" s="86" t="s">
        <v>366</v>
      </c>
      <c r="I16" s="86" t="str">
        <f>I6</f>
        <v>FY 2021-22</v>
      </c>
      <c r="J16" s="86" t="s">
        <v>366</v>
      </c>
      <c r="K16" s="86" t="str">
        <f>K6</f>
        <v>FY 2022-23</v>
      </c>
      <c r="L16" s="86" t="s">
        <v>366</v>
      </c>
      <c r="M16" s="86" t="str">
        <f>M6</f>
        <v>FY 2023-24</v>
      </c>
      <c r="N16" s="86" t="s">
        <v>366</v>
      </c>
      <c r="O16" s="86" t="str">
        <f>O6</f>
        <v>FY 2024-25</v>
      </c>
      <c r="P16" s="86" t="s">
        <v>366</v>
      </c>
      <c r="Q16" s="86" t="str">
        <f>Q6</f>
        <v>FY 2025-26</v>
      </c>
      <c r="R16" s="86" t="s">
        <v>366</v>
      </c>
      <c r="S16" s="86" t="str">
        <f>S6</f>
        <v>FY 2026-27</v>
      </c>
      <c r="T16" s="86" t="s">
        <v>366</v>
      </c>
      <c r="U16" s="86" t="str">
        <f>U6</f>
        <v>FY 2027-28</v>
      </c>
      <c r="V16" s="86" t="s">
        <v>366</v>
      </c>
    </row>
    <row r="17" spans="1:24" ht="12.75" customHeight="1">
      <c r="A17" s="1" t="s">
        <v>367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368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369</v>
      </c>
      <c r="B19" s="35"/>
      <c r="C19" s="200">
        <f>+C14-C20-C21</f>
        <v>64740</v>
      </c>
      <c r="D19" s="80">
        <f>IFERROR(C19/C$28,0)</f>
        <v>0.86319999999999997</v>
      </c>
      <c r="E19" s="200">
        <f>+E14-E20</f>
        <v>0</v>
      </c>
      <c r="F19" s="80">
        <f>IFERROR(E19/E$28,0)</f>
        <v>0</v>
      </c>
      <c r="G19" s="200">
        <f>+G14-G20</f>
        <v>0</v>
      </c>
      <c r="H19" s="80">
        <f>IFERROR(G19/G$28,0)</f>
        <v>0</v>
      </c>
      <c r="I19" s="200">
        <f>+I14-I20</f>
        <v>0</v>
      </c>
      <c r="J19" s="80">
        <f>IFERROR(I19/I$28,0)</f>
        <v>0</v>
      </c>
      <c r="K19" s="200">
        <f>+K14-K20</f>
        <v>0</v>
      </c>
      <c r="L19" s="80">
        <f>IFERROR(K19/K$28,0)</f>
        <v>0</v>
      </c>
      <c r="M19" s="200">
        <f>+M14-M20</f>
        <v>0</v>
      </c>
      <c r="N19" s="80">
        <f>IFERROR(M19/M$28,0)</f>
        <v>0</v>
      </c>
      <c r="O19" s="200">
        <f>+O14-O20</f>
        <v>0</v>
      </c>
      <c r="P19" s="80">
        <f>IFERROR(O19/O$28,0)</f>
        <v>0</v>
      </c>
      <c r="Q19" s="200">
        <f>+Q14-Q20</f>
        <v>0</v>
      </c>
      <c r="R19" s="80">
        <f>IFERROR(Q19/Q$28,0)</f>
        <v>0</v>
      </c>
      <c r="S19" s="200">
        <f>+S14-S20</f>
        <v>0</v>
      </c>
      <c r="T19" s="80">
        <f>IFERROR(S19/S$28,0)</f>
        <v>0</v>
      </c>
      <c r="U19" s="200">
        <f>+U14-U20</f>
        <v>0</v>
      </c>
      <c r="V19" s="80">
        <f>IFERROR(U19/U$28,0)</f>
        <v>0</v>
      </c>
    </row>
    <row r="20" spans="1:24" ht="12.75" customHeight="1">
      <c r="A20" s="2" t="s">
        <v>370</v>
      </c>
      <c r="B20" s="35"/>
      <c r="C20" s="111">
        <f>+C14*12.38%</f>
        <v>9285</v>
      </c>
      <c r="D20" s="80">
        <f>IFERROR(C20/C$28,0)</f>
        <v>0.12379999999999999</v>
      </c>
      <c r="E20" s="111">
        <f>+E14*53.27%</f>
        <v>0</v>
      </c>
      <c r="F20" s="80">
        <f>IFERROR(E20/E$28,0)</f>
        <v>0</v>
      </c>
      <c r="G20" s="111">
        <f t="shared" ref="G20:U21" si="0">E20*1.02</f>
        <v>0</v>
      </c>
      <c r="H20" s="80">
        <f>IFERROR(G20/G$28,0)</f>
        <v>0</v>
      </c>
      <c r="I20" s="111">
        <f t="shared" si="0"/>
        <v>0</v>
      </c>
      <c r="J20" s="80">
        <f>IFERROR(I20/I$28,0)</f>
        <v>0</v>
      </c>
      <c r="K20" s="111">
        <f t="shared" si="0"/>
        <v>0</v>
      </c>
      <c r="L20" s="80">
        <f>IFERROR(K20/K$28,0)</f>
        <v>0</v>
      </c>
      <c r="M20" s="111">
        <f t="shared" si="0"/>
        <v>0</v>
      </c>
      <c r="N20" s="80">
        <f>IFERROR(M20/M$28,0)</f>
        <v>0</v>
      </c>
      <c r="O20" s="111">
        <f t="shared" si="0"/>
        <v>0</v>
      </c>
      <c r="P20" s="80">
        <f>IFERROR(O20/O$28,0)</f>
        <v>0</v>
      </c>
      <c r="Q20" s="111">
        <f t="shared" si="0"/>
        <v>0</v>
      </c>
      <c r="R20" s="80">
        <f>IFERROR(Q20/Q$28,0)</f>
        <v>0</v>
      </c>
      <c r="S20" s="111">
        <f t="shared" si="0"/>
        <v>0</v>
      </c>
      <c r="T20" s="80">
        <f>IFERROR(S20/S$28,0)</f>
        <v>0</v>
      </c>
      <c r="U20" s="111">
        <f t="shared" si="0"/>
        <v>0</v>
      </c>
      <c r="V20" s="80">
        <f>IFERROR(U20/U$28,0)</f>
        <v>0</v>
      </c>
    </row>
    <row r="21" spans="1:24" ht="12.75" customHeight="1">
      <c r="A21" s="186" t="s">
        <v>371</v>
      </c>
      <c r="B21" s="195"/>
      <c r="C21" s="111">
        <f>+C14*0.013</f>
        <v>975</v>
      </c>
      <c r="D21" s="80">
        <f>IFERROR(C21/C$28,0)</f>
        <v>1.2999999999999999E-2</v>
      </c>
      <c r="E21" s="111">
        <v>0</v>
      </c>
      <c r="F21" s="80">
        <f>IFERROR(E21/E$28,0)</f>
        <v>0</v>
      </c>
      <c r="G21" s="111">
        <f t="shared" si="0"/>
        <v>0</v>
      </c>
      <c r="H21" s="80">
        <f>IFERROR(G21/G$28,0)</f>
        <v>0</v>
      </c>
      <c r="I21" s="111">
        <f t="shared" si="0"/>
        <v>0</v>
      </c>
      <c r="J21" s="80">
        <f>IFERROR(I21/I$28,0)</f>
        <v>0</v>
      </c>
      <c r="K21" s="111">
        <f t="shared" si="0"/>
        <v>0</v>
      </c>
      <c r="L21" s="80">
        <f>IFERROR(K21/K$28,0)</f>
        <v>0</v>
      </c>
      <c r="M21" s="111">
        <f t="shared" si="0"/>
        <v>0</v>
      </c>
      <c r="N21" s="80">
        <f>IFERROR(M21/M$28,0)</f>
        <v>0</v>
      </c>
      <c r="O21" s="111">
        <f t="shared" si="0"/>
        <v>0</v>
      </c>
      <c r="P21" s="80">
        <f>IFERROR(O21/O$28,0)</f>
        <v>0</v>
      </c>
      <c r="Q21" s="111">
        <f t="shared" si="0"/>
        <v>0</v>
      </c>
      <c r="R21" s="80">
        <f>IFERROR(Q21/Q$28,0)</f>
        <v>0</v>
      </c>
      <c r="S21" s="111">
        <f t="shared" si="0"/>
        <v>0</v>
      </c>
      <c r="T21" s="80">
        <f>IFERROR(S21/S$28,0)</f>
        <v>0</v>
      </c>
      <c r="U21" s="111">
        <f t="shared" si="0"/>
        <v>0</v>
      </c>
      <c r="V21" s="80">
        <f>IFERROR(U21/U$28,0)</f>
        <v>0</v>
      </c>
    </row>
    <row r="22" spans="1:24" ht="12.75" customHeight="1">
      <c r="A22" s="2" t="s">
        <v>372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373</v>
      </c>
      <c r="B23" s="123"/>
      <c r="C23" s="79"/>
      <c r="D23" s="80">
        <f t="shared" ref="D23:D28" si="1">IFERROR(C23/C$28,0)</f>
        <v>0</v>
      </c>
      <c r="E23" s="79"/>
      <c r="F23" s="80">
        <f t="shared" ref="F23:F28" si="2">IFERROR(E23/E$28,0)</f>
        <v>0</v>
      </c>
      <c r="G23" s="79"/>
      <c r="H23" s="80">
        <f t="shared" ref="H23:H28" si="3">IFERROR(G23/G$28,0)</f>
        <v>0</v>
      </c>
      <c r="I23" s="79"/>
      <c r="J23" s="80">
        <f t="shared" ref="J23:J28" si="4">IFERROR(I23/I$28,0)</f>
        <v>0</v>
      </c>
      <c r="K23" s="79"/>
      <c r="L23" s="80">
        <f t="shared" ref="L23:L28" si="5">IFERROR(K23/K$28,0)</f>
        <v>0</v>
      </c>
      <c r="M23" s="79"/>
      <c r="N23" s="80">
        <f t="shared" ref="N23:N28" si="6">IFERROR(M23/M$28,0)</f>
        <v>0</v>
      </c>
      <c r="O23" s="79"/>
      <c r="P23" s="80">
        <f t="shared" ref="P23:P28" si="7">IFERROR(O23/O$28,0)</f>
        <v>0</v>
      </c>
      <c r="Q23" s="79"/>
      <c r="R23" s="80">
        <f t="shared" ref="R23:R28" si="8">IFERROR(Q23/Q$28,0)</f>
        <v>0</v>
      </c>
      <c r="S23" s="79"/>
      <c r="T23" s="80">
        <f t="shared" ref="T23:T28" si="9">IFERROR(S23/S$28,0)</f>
        <v>0</v>
      </c>
      <c r="U23" s="79"/>
      <c r="V23" s="80">
        <f t="shared" ref="V23:V28" si="10">IFERROR(U23/U$28,0)</f>
        <v>0</v>
      </c>
    </row>
    <row r="24" spans="1:24" ht="12.75" customHeight="1">
      <c r="A24" s="122" t="s">
        <v>374</v>
      </c>
      <c r="B24" s="123"/>
      <c r="C24" s="79"/>
      <c r="D24" s="80">
        <f t="shared" si="1"/>
        <v>0</v>
      </c>
      <c r="E24" s="79"/>
      <c r="F24" s="80">
        <f t="shared" si="2"/>
        <v>0</v>
      </c>
      <c r="G24" s="79"/>
      <c r="H24" s="80">
        <f t="shared" si="3"/>
        <v>0</v>
      </c>
      <c r="I24" s="79"/>
      <c r="J24" s="80">
        <f t="shared" si="4"/>
        <v>0</v>
      </c>
      <c r="K24" s="79"/>
      <c r="L24" s="80">
        <f t="shared" si="5"/>
        <v>0</v>
      </c>
      <c r="M24" s="79"/>
      <c r="N24" s="80">
        <f t="shared" si="6"/>
        <v>0</v>
      </c>
      <c r="O24" s="79"/>
      <c r="P24" s="80">
        <f t="shared" si="7"/>
        <v>0</v>
      </c>
      <c r="Q24" s="79"/>
      <c r="R24" s="80">
        <f t="shared" si="8"/>
        <v>0</v>
      </c>
      <c r="S24" s="79"/>
      <c r="T24" s="80">
        <f t="shared" si="9"/>
        <v>0</v>
      </c>
      <c r="U24" s="79"/>
      <c r="V24" s="80">
        <f t="shared" si="10"/>
        <v>0</v>
      </c>
      <c r="X24" s="79"/>
    </row>
    <row r="25" spans="1:24" ht="12.75" customHeight="1">
      <c r="A25" s="2" t="s">
        <v>375</v>
      </c>
      <c r="B25" s="35"/>
      <c r="C25" s="111"/>
      <c r="D25" s="80">
        <f t="shared" si="1"/>
        <v>0</v>
      </c>
      <c r="E25" s="111"/>
      <c r="F25" s="80">
        <f t="shared" si="2"/>
        <v>0</v>
      </c>
      <c r="G25" s="111"/>
      <c r="H25" s="80">
        <f t="shared" si="3"/>
        <v>0</v>
      </c>
      <c r="I25" s="111"/>
      <c r="J25" s="80">
        <f t="shared" si="4"/>
        <v>0</v>
      </c>
      <c r="K25" s="111"/>
      <c r="L25" s="80">
        <f t="shared" si="5"/>
        <v>0</v>
      </c>
      <c r="M25" s="111"/>
      <c r="N25" s="80">
        <f t="shared" si="6"/>
        <v>0</v>
      </c>
      <c r="O25" s="111"/>
      <c r="P25" s="80">
        <f t="shared" si="7"/>
        <v>0</v>
      </c>
      <c r="Q25" s="111"/>
      <c r="R25" s="80">
        <f t="shared" si="8"/>
        <v>0</v>
      </c>
      <c r="S25" s="111"/>
      <c r="T25" s="80">
        <f t="shared" si="9"/>
        <v>0</v>
      </c>
      <c r="U25" s="111"/>
      <c r="V25" s="80">
        <f t="shared" si="10"/>
        <v>0</v>
      </c>
      <c r="X25" s="79"/>
    </row>
    <row r="26" spans="1:24" ht="12.75" customHeight="1">
      <c r="A26" s="122" t="s">
        <v>376</v>
      </c>
      <c r="B26" s="35"/>
      <c r="C26" s="79"/>
      <c r="D26" s="80">
        <f t="shared" si="1"/>
        <v>0</v>
      </c>
      <c r="E26" s="79"/>
      <c r="F26" s="80">
        <f t="shared" si="2"/>
        <v>0</v>
      </c>
      <c r="G26" s="79"/>
      <c r="H26" s="80">
        <f t="shared" si="3"/>
        <v>0</v>
      </c>
      <c r="I26" s="79"/>
      <c r="J26" s="80">
        <f t="shared" si="4"/>
        <v>0</v>
      </c>
      <c r="K26" s="79"/>
      <c r="L26" s="80">
        <f t="shared" si="5"/>
        <v>0</v>
      </c>
      <c r="M26" s="79"/>
      <c r="N26" s="80">
        <f t="shared" si="6"/>
        <v>0</v>
      </c>
      <c r="O26" s="79"/>
      <c r="P26" s="80">
        <f t="shared" si="7"/>
        <v>0</v>
      </c>
      <c r="Q26" s="79"/>
      <c r="R26" s="80">
        <f t="shared" si="8"/>
        <v>0</v>
      </c>
      <c r="S26" s="79"/>
      <c r="T26" s="80">
        <f t="shared" si="9"/>
        <v>0</v>
      </c>
      <c r="U26" s="79"/>
      <c r="V26" s="80">
        <f t="shared" si="10"/>
        <v>0</v>
      </c>
    </row>
    <row r="27" spans="1:24" ht="12.75" customHeight="1">
      <c r="A27" s="2" t="s">
        <v>377</v>
      </c>
      <c r="B27" s="35"/>
      <c r="C27" s="112"/>
      <c r="D27" s="80">
        <f t="shared" si="1"/>
        <v>0</v>
      </c>
      <c r="E27" s="112"/>
      <c r="F27" s="80">
        <f t="shared" si="2"/>
        <v>0</v>
      </c>
      <c r="G27" s="112"/>
      <c r="H27" s="80">
        <f t="shared" si="3"/>
        <v>0</v>
      </c>
      <c r="I27" s="112"/>
      <c r="J27" s="80">
        <f t="shared" si="4"/>
        <v>0</v>
      </c>
      <c r="K27" s="112"/>
      <c r="L27" s="80">
        <f t="shared" si="5"/>
        <v>0</v>
      </c>
      <c r="M27" s="112"/>
      <c r="N27" s="80">
        <f t="shared" si="6"/>
        <v>0</v>
      </c>
      <c r="O27" s="112"/>
      <c r="P27" s="80">
        <f t="shared" si="7"/>
        <v>0</v>
      </c>
      <c r="Q27" s="112"/>
      <c r="R27" s="80">
        <f t="shared" si="8"/>
        <v>0</v>
      </c>
      <c r="S27" s="112"/>
      <c r="T27" s="80">
        <f t="shared" si="9"/>
        <v>0</v>
      </c>
      <c r="U27" s="112"/>
      <c r="V27" s="80">
        <f t="shared" si="10"/>
        <v>0</v>
      </c>
    </row>
    <row r="28" spans="1:24" ht="12.75" customHeight="1">
      <c r="A28" s="1" t="s">
        <v>378</v>
      </c>
      <c r="B28" s="53"/>
      <c r="C28" s="82">
        <f>SUM(C19:C27)</f>
        <v>75000</v>
      </c>
      <c r="D28" s="83">
        <f t="shared" si="1"/>
        <v>1</v>
      </c>
      <c r="E28" s="82">
        <f>SUM(E19:E27)</f>
        <v>0</v>
      </c>
      <c r="F28" s="83">
        <f t="shared" si="2"/>
        <v>0</v>
      </c>
      <c r="G28" s="82">
        <f>SUM(G19:G27)</f>
        <v>0</v>
      </c>
      <c r="H28" s="83">
        <f t="shared" si="3"/>
        <v>0</v>
      </c>
      <c r="I28" s="82">
        <f>SUM(I19:I27)</f>
        <v>0</v>
      </c>
      <c r="J28" s="83">
        <f t="shared" si="4"/>
        <v>0</v>
      </c>
      <c r="K28" s="82">
        <f>SUM(K19:K27)</f>
        <v>0</v>
      </c>
      <c r="L28" s="83">
        <f t="shared" si="5"/>
        <v>0</v>
      </c>
      <c r="M28" s="82">
        <f>SUM(M19:M27)</f>
        <v>0</v>
      </c>
      <c r="N28" s="83">
        <f t="shared" si="6"/>
        <v>0</v>
      </c>
      <c r="O28" s="82">
        <f>SUM(O19:O27)</f>
        <v>0</v>
      </c>
      <c r="P28" s="83">
        <f t="shared" si="7"/>
        <v>0</v>
      </c>
      <c r="Q28" s="82">
        <f>SUM(Q19:Q27)</f>
        <v>0</v>
      </c>
      <c r="R28" s="83">
        <f t="shared" si="8"/>
        <v>0</v>
      </c>
      <c r="S28" s="82">
        <f>SUM(S19:S27)</f>
        <v>0</v>
      </c>
      <c r="T28" s="83">
        <f t="shared" si="9"/>
        <v>0</v>
      </c>
      <c r="U28" s="82">
        <f>SUM(U19:U27)</f>
        <v>0</v>
      </c>
      <c r="V28" s="83">
        <f t="shared" si="10"/>
        <v>0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379</v>
      </c>
      <c r="B30" s="53"/>
      <c r="C30" s="203">
        <v>0.32</v>
      </c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380</v>
      </c>
      <c r="B31" s="35"/>
      <c r="C31" s="178">
        <f>$C$30*C14</f>
        <v>24000</v>
      </c>
      <c r="D31" s="80">
        <f>IFERROR(C31/C$28,0)</f>
        <v>0.32</v>
      </c>
      <c r="E31" s="178">
        <f>$C$30*E14</f>
        <v>0</v>
      </c>
      <c r="F31" s="80">
        <f>IFERROR(E31/E$28,0)</f>
        <v>0</v>
      </c>
      <c r="G31" s="178">
        <f>$C$30*G14</f>
        <v>0</v>
      </c>
      <c r="H31" s="80">
        <f>IFERROR(G31/G$28,0)</f>
        <v>0</v>
      </c>
      <c r="I31" s="178">
        <f>$C$30*I14</f>
        <v>0</v>
      </c>
      <c r="J31" s="80">
        <f>IFERROR(I31/I$28,0)</f>
        <v>0</v>
      </c>
      <c r="K31" s="178">
        <f>$C$30*K14</f>
        <v>0</v>
      </c>
      <c r="L31" s="80">
        <f>IFERROR(K31/K$28,0)</f>
        <v>0</v>
      </c>
      <c r="M31" s="178">
        <f>$C$30*M14</f>
        <v>0</v>
      </c>
      <c r="N31" s="80">
        <f>IFERROR(M31/M$28,0)</f>
        <v>0</v>
      </c>
      <c r="O31" s="178">
        <f>$C$30*O14</f>
        <v>0</v>
      </c>
      <c r="P31" s="80">
        <f>IFERROR(O31/O$28,0)</f>
        <v>0</v>
      </c>
      <c r="Q31" s="178">
        <f>$C$30*Q14</f>
        <v>0</v>
      </c>
      <c r="R31" s="80">
        <f>IFERROR(Q31/Q$28,0)</f>
        <v>0</v>
      </c>
      <c r="S31" s="178">
        <f>$C$30*S14</f>
        <v>0</v>
      </c>
      <c r="T31" s="80">
        <f>IFERROR(S31/S$28,0)</f>
        <v>0</v>
      </c>
      <c r="U31" s="178">
        <f>$C$30*U14</f>
        <v>0</v>
      </c>
      <c r="V31" s="80">
        <f>IFERROR(U31/U$28,0)</f>
        <v>0</v>
      </c>
    </row>
    <row r="32" spans="1:24" ht="12.75" customHeight="1">
      <c r="A32" s="8" t="s">
        <v>381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382</v>
      </c>
      <c r="B33" s="53"/>
      <c r="C33" s="82">
        <f>SUM(C31:C32)</f>
        <v>24000</v>
      </c>
      <c r="D33" s="83">
        <f>IFERROR(C33/C$28,0)</f>
        <v>0.32</v>
      </c>
      <c r="E33" s="82">
        <f>SUM(E31:E32)</f>
        <v>0</v>
      </c>
      <c r="F33" s="83">
        <f>IFERROR(E33/E$28,0)</f>
        <v>0</v>
      </c>
      <c r="G33" s="82">
        <f>SUM(G31:G32)</f>
        <v>0</v>
      </c>
      <c r="H33" s="83">
        <f>IFERROR(G33/G$28,0)</f>
        <v>0</v>
      </c>
      <c r="I33" s="82">
        <f>SUM(I31:I32)</f>
        <v>0</v>
      </c>
      <c r="J33" s="83">
        <f>IFERROR(I33/I$28,0)</f>
        <v>0</v>
      </c>
      <c r="K33" s="82">
        <f>SUM(K31:K32)</f>
        <v>0</v>
      </c>
      <c r="L33" s="83">
        <f>IFERROR(K33/K$28,0)</f>
        <v>0</v>
      </c>
      <c r="M33" s="82">
        <f>SUM(M31:M32)</f>
        <v>0</v>
      </c>
      <c r="N33" s="83">
        <f>IFERROR(M33/M$28,0)</f>
        <v>0</v>
      </c>
      <c r="O33" s="82">
        <f>SUM(O31:O32)</f>
        <v>0</v>
      </c>
      <c r="P33" s="83">
        <f>IFERROR(O33/O$28,0)</f>
        <v>0</v>
      </c>
      <c r="Q33" s="82">
        <f>SUM(Q31:Q32)</f>
        <v>0</v>
      </c>
      <c r="R33" s="83">
        <f>IFERROR(Q33/Q$28,0)</f>
        <v>0</v>
      </c>
      <c r="S33" s="82">
        <f>SUM(S31:S32)</f>
        <v>0</v>
      </c>
      <c r="T33" s="83">
        <f>IFERROR(S33/S$28,0)</f>
        <v>0</v>
      </c>
      <c r="U33" s="82">
        <f>SUM(U31:U32)</f>
        <v>0</v>
      </c>
      <c r="V33" s="83">
        <f>IFERROR(U33/U$28,0)</f>
        <v>0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383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384</v>
      </c>
      <c r="B36" s="35"/>
      <c r="C36" s="178">
        <v>0</v>
      </c>
      <c r="D36" s="80">
        <f t="shared" ref="D36:D46" si="11">IFERROR(C36/C$28,0)</f>
        <v>0</v>
      </c>
      <c r="E36" s="178"/>
      <c r="F36" s="80">
        <f t="shared" ref="F36:F46" si="12">IFERROR(E36/E$28,0)</f>
        <v>0</v>
      </c>
      <c r="G36" s="178"/>
      <c r="H36" s="80">
        <f t="shared" ref="H36:H46" si="13">IFERROR(G36/G$28,0)</f>
        <v>0</v>
      </c>
      <c r="I36" s="178"/>
      <c r="J36" s="80">
        <f t="shared" ref="J36:J46" si="14">IFERROR(I36/I$28,0)</f>
        <v>0</v>
      </c>
      <c r="K36" s="178"/>
      <c r="L36" s="80">
        <f t="shared" ref="L36:L46" si="15">IFERROR(K36/K$28,0)</f>
        <v>0</v>
      </c>
      <c r="M36" s="178"/>
      <c r="N36" s="80">
        <f t="shared" ref="N36:N46" si="16">IFERROR(M36/M$28,0)</f>
        <v>0</v>
      </c>
      <c r="O36" s="178"/>
      <c r="P36" s="80">
        <f t="shared" ref="P36:P46" si="17">IFERROR(O36/O$28,0)</f>
        <v>0</v>
      </c>
      <c r="Q36" s="178"/>
      <c r="R36" s="80">
        <f t="shared" ref="R36:R46" si="18">IFERROR(Q36/Q$28,0)</f>
        <v>0</v>
      </c>
      <c r="S36" s="178"/>
      <c r="T36" s="80">
        <f t="shared" ref="T36:T46" si="19">IFERROR(S36/S$28,0)</f>
        <v>0</v>
      </c>
      <c r="U36" s="178"/>
      <c r="V36" s="80">
        <f t="shared" ref="V36:V46" si="20">IFERROR(U36/U$28,0)</f>
        <v>0</v>
      </c>
    </row>
    <row r="37" spans="1:22" ht="12.75" customHeight="1">
      <c r="A37" s="2" t="s">
        <v>385</v>
      </c>
      <c r="B37" s="35"/>
      <c r="C37" s="178">
        <v>12870</v>
      </c>
      <c r="D37" s="80">
        <f t="shared" si="11"/>
        <v>0.1716</v>
      </c>
      <c r="E37" s="178"/>
      <c r="F37" s="80">
        <f t="shared" si="12"/>
        <v>0</v>
      </c>
      <c r="G37" s="178">
        <f>+E37*1.035</f>
        <v>0</v>
      </c>
      <c r="H37" s="80">
        <f t="shared" si="13"/>
        <v>0</v>
      </c>
      <c r="I37" s="178">
        <f>+G37*1.032</f>
        <v>0</v>
      </c>
      <c r="J37" s="80">
        <f t="shared" si="14"/>
        <v>0</v>
      </c>
      <c r="K37" s="178">
        <f>+I37*1.025</f>
        <v>0</v>
      </c>
      <c r="L37" s="80">
        <f t="shared" si="15"/>
        <v>0</v>
      </c>
      <c r="M37" s="178">
        <f>+K37*1.025</f>
        <v>0</v>
      </c>
      <c r="N37" s="80">
        <f t="shared" si="16"/>
        <v>0</v>
      </c>
      <c r="O37" s="178">
        <f>+M37*1.025</f>
        <v>0</v>
      </c>
      <c r="P37" s="80">
        <f t="shared" si="17"/>
        <v>0</v>
      </c>
      <c r="Q37" s="178">
        <f>+O37*1.025</f>
        <v>0</v>
      </c>
      <c r="R37" s="80">
        <f t="shared" si="18"/>
        <v>0</v>
      </c>
      <c r="S37" s="178">
        <f>+Q37*1.025</f>
        <v>0</v>
      </c>
      <c r="T37" s="80">
        <f t="shared" si="19"/>
        <v>0</v>
      </c>
      <c r="U37" s="178">
        <f>+S37*1.025</f>
        <v>0</v>
      </c>
      <c r="V37" s="80">
        <f t="shared" si="20"/>
        <v>0</v>
      </c>
    </row>
    <row r="38" spans="1:22" ht="12.75" customHeight="1">
      <c r="A38" s="2" t="s">
        <v>386</v>
      </c>
      <c r="B38" s="35"/>
      <c r="C38" s="178"/>
      <c r="D38" s="80">
        <f t="shared" si="11"/>
        <v>0</v>
      </c>
      <c r="E38" s="178"/>
      <c r="F38" s="80">
        <f t="shared" si="12"/>
        <v>0</v>
      </c>
      <c r="G38" s="178">
        <f>+E38*1.035</f>
        <v>0</v>
      </c>
      <c r="H38" s="80">
        <f t="shared" si="13"/>
        <v>0</v>
      </c>
      <c r="I38" s="178">
        <f>+G38*1.032</f>
        <v>0</v>
      </c>
      <c r="J38" s="80">
        <f t="shared" si="14"/>
        <v>0</v>
      </c>
      <c r="K38" s="178">
        <f>+I38*1.025</f>
        <v>0</v>
      </c>
      <c r="L38" s="80">
        <f t="shared" si="15"/>
        <v>0</v>
      </c>
      <c r="M38" s="178">
        <f>+K38*1.025</f>
        <v>0</v>
      </c>
      <c r="N38" s="80">
        <f t="shared" si="16"/>
        <v>0</v>
      </c>
      <c r="O38" s="178">
        <f>+M38*1.025</f>
        <v>0</v>
      </c>
      <c r="P38" s="80">
        <f t="shared" si="17"/>
        <v>0</v>
      </c>
      <c r="Q38" s="178">
        <f>+O38*1.025</f>
        <v>0</v>
      </c>
      <c r="R38" s="80">
        <f t="shared" si="18"/>
        <v>0</v>
      </c>
      <c r="S38" s="178">
        <f>+Q38*1.025</f>
        <v>0</v>
      </c>
      <c r="T38" s="80">
        <f t="shared" si="19"/>
        <v>0</v>
      </c>
      <c r="U38" s="178">
        <f>+S38*1.025</f>
        <v>0</v>
      </c>
      <c r="V38" s="80">
        <f t="shared" si="20"/>
        <v>0</v>
      </c>
    </row>
    <row r="39" spans="1:22" ht="12.75" customHeight="1">
      <c r="A39" s="2" t="s">
        <v>387</v>
      </c>
      <c r="B39" s="35"/>
      <c r="C39" s="178"/>
      <c r="D39" s="80">
        <f t="shared" si="11"/>
        <v>0</v>
      </c>
      <c r="E39" s="178"/>
      <c r="F39" s="80">
        <f t="shared" si="12"/>
        <v>0</v>
      </c>
      <c r="G39" s="178">
        <f>+E39*1.035</f>
        <v>0</v>
      </c>
      <c r="H39" s="80">
        <f t="shared" si="13"/>
        <v>0</v>
      </c>
      <c r="I39" s="178">
        <f>+G39*1.032</f>
        <v>0</v>
      </c>
      <c r="J39" s="80">
        <f t="shared" si="14"/>
        <v>0</v>
      </c>
      <c r="K39" s="178">
        <f>+I39*1.025</f>
        <v>0</v>
      </c>
      <c r="L39" s="80">
        <f t="shared" si="15"/>
        <v>0</v>
      </c>
      <c r="M39" s="178">
        <f>+K39*1.025</f>
        <v>0</v>
      </c>
      <c r="N39" s="80">
        <f t="shared" si="16"/>
        <v>0</v>
      </c>
      <c r="O39" s="178">
        <f>+M39*1.025</f>
        <v>0</v>
      </c>
      <c r="P39" s="80">
        <f t="shared" si="17"/>
        <v>0</v>
      </c>
      <c r="Q39" s="178">
        <f>+O39*1.025</f>
        <v>0</v>
      </c>
      <c r="R39" s="80">
        <f t="shared" si="18"/>
        <v>0</v>
      </c>
      <c r="S39" s="178">
        <f>+Q39*1.025</f>
        <v>0</v>
      </c>
      <c r="T39" s="80">
        <f t="shared" si="19"/>
        <v>0</v>
      </c>
      <c r="U39" s="178">
        <f>+S39*1.025</f>
        <v>0</v>
      </c>
      <c r="V39" s="80">
        <f t="shared" si="20"/>
        <v>0</v>
      </c>
    </row>
    <row r="40" spans="1:22" ht="12.75" customHeight="1">
      <c r="A40" s="2" t="s">
        <v>388</v>
      </c>
      <c r="B40" s="35"/>
      <c r="C40" s="178">
        <f>C36*0.124</f>
        <v>0</v>
      </c>
      <c r="D40" s="80">
        <f t="shared" si="11"/>
        <v>0</v>
      </c>
      <c r="E40" s="113"/>
      <c r="F40" s="80">
        <f t="shared" si="12"/>
        <v>0</v>
      </c>
      <c r="G40" s="113">
        <f>G36*0.124</f>
        <v>0</v>
      </c>
      <c r="H40" s="80">
        <f t="shared" si="13"/>
        <v>0</v>
      </c>
      <c r="I40" s="113">
        <f>I36*0.124</f>
        <v>0</v>
      </c>
      <c r="J40" s="80">
        <f t="shared" si="14"/>
        <v>0</v>
      </c>
      <c r="K40" s="113">
        <f>K36*0.124</f>
        <v>0</v>
      </c>
      <c r="L40" s="80">
        <f t="shared" si="15"/>
        <v>0</v>
      </c>
      <c r="M40" s="113">
        <f>M36*0.124</f>
        <v>0</v>
      </c>
      <c r="N40" s="80">
        <f t="shared" si="16"/>
        <v>0</v>
      </c>
      <c r="O40" s="113">
        <f>O36*0.124</f>
        <v>0</v>
      </c>
      <c r="P40" s="80">
        <f t="shared" si="17"/>
        <v>0</v>
      </c>
      <c r="Q40" s="113">
        <f>Q36*0.124</f>
        <v>0</v>
      </c>
      <c r="R40" s="80">
        <f t="shared" si="18"/>
        <v>0</v>
      </c>
      <c r="S40" s="113">
        <f>S36*0.124</f>
        <v>0</v>
      </c>
      <c r="T40" s="80">
        <f t="shared" si="19"/>
        <v>0</v>
      </c>
      <c r="U40" s="113">
        <f>U36*0.124</f>
        <v>0</v>
      </c>
      <c r="V40" s="80">
        <f t="shared" si="20"/>
        <v>0</v>
      </c>
    </row>
    <row r="41" spans="1:22" ht="12.75" customHeight="1">
      <c r="A41" s="2" t="s">
        <v>389</v>
      </c>
      <c r="B41" s="35"/>
      <c r="C41" s="178">
        <f>C37*0.124</f>
        <v>1595.8799999999999</v>
      </c>
      <c r="D41" s="80">
        <f t="shared" si="11"/>
        <v>2.1278399999999999E-2</v>
      </c>
      <c r="E41" s="113"/>
      <c r="F41" s="80">
        <f t="shared" si="12"/>
        <v>0</v>
      </c>
      <c r="G41" s="113">
        <f>G37*0.124</f>
        <v>0</v>
      </c>
      <c r="H41" s="80">
        <f t="shared" si="13"/>
        <v>0</v>
      </c>
      <c r="I41" s="113">
        <f>I37*0.124</f>
        <v>0</v>
      </c>
      <c r="J41" s="80">
        <f t="shared" si="14"/>
        <v>0</v>
      </c>
      <c r="K41" s="113">
        <f>K37*0.124</f>
        <v>0</v>
      </c>
      <c r="L41" s="80">
        <f t="shared" si="15"/>
        <v>0</v>
      </c>
      <c r="M41" s="113">
        <f>M37*0.124</f>
        <v>0</v>
      </c>
      <c r="N41" s="80">
        <f t="shared" si="16"/>
        <v>0</v>
      </c>
      <c r="O41" s="113">
        <f>O37*0.124</f>
        <v>0</v>
      </c>
      <c r="P41" s="80">
        <f t="shared" si="17"/>
        <v>0</v>
      </c>
      <c r="Q41" s="113">
        <f>Q37*0.124</f>
        <v>0</v>
      </c>
      <c r="R41" s="80">
        <f t="shared" si="18"/>
        <v>0</v>
      </c>
      <c r="S41" s="113">
        <f>S37*0.124</f>
        <v>0</v>
      </c>
      <c r="T41" s="80">
        <f t="shared" si="19"/>
        <v>0</v>
      </c>
      <c r="U41" s="113">
        <f>U37*0.124</f>
        <v>0</v>
      </c>
      <c r="V41" s="80">
        <f t="shared" si="20"/>
        <v>0</v>
      </c>
    </row>
    <row r="42" spans="1:22" ht="12.75" customHeight="1">
      <c r="A42" s="2" t="s">
        <v>390</v>
      </c>
      <c r="B42" s="35"/>
      <c r="C42" s="178"/>
      <c r="D42" s="80">
        <f t="shared" si="11"/>
        <v>0</v>
      </c>
      <c r="E42" s="178"/>
      <c r="F42" s="80">
        <f t="shared" si="12"/>
        <v>0</v>
      </c>
      <c r="G42" s="178"/>
      <c r="H42" s="80">
        <f t="shared" si="13"/>
        <v>0</v>
      </c>
      <c r="I42" s="178"/>
      <c r="J42" s="80">
        <f t="shared" si="14"/>
        <v>0</v>
      </c>
      <c r="K42" s="178"/>
      <c r="L42" s="80">
        <f t="shared" si="15"/>
        <v>0</v>
      </c>
      <c r="M42" s="178"/>
      <c r="N42" s="80">
        <f t="shared" si="16"/>
        <v>0</v>
      </c>
      <c r="O42" s="178"/>
      <c r="P42" s="80">
        <f t="shared" si="17"/>
        <v>0</v>
      </c>
      <c r="Q42" s="178"/>
      <c r="R42" s="80">
        <f t="shared" si="18"/>
        <v>0</v>
      </c>
      <c r="S42" s="178"/>
      <c r="T42" s="80">
        <f t="shared" si="19"/>
        <v>0</v>
      </c>
      <c r="U42" s="178"/>
      <c r="V42" s="80">
        <f t="shared" si="20"/>
        <v>0</v>
      </c>
    </row>
    <row r="43" spans="1:22" ht="12.75" customHeight="1">
      <c r="A43" s="2" t="s">
        <v>391</v>
      </c>
      <c r="B43" s="35"/>
      <c r="C43" s="178"/>
      <c r="D43" s="80">
        <f t="shared" si="11"/>
        <v>0</v>
      </c>
      <c r="E43" s="178"/>
      <c r="F43" s="80">
        <f t="shared" si="12"/>
        <v>0</v>
      </c>
      <c r="G43" s="178"/>
      <c r="H43" s="80">
        <f t="shared" si="13"/>
        <v>0</v>
      </c>
      <c r="I43" s="178"/>
      <c r="J43" s="80">
        <f t="shared" si="14"/>
        <v>0</v>
      </c>
      <c r="K43" s="178"/>
      <c r="L43" s="80">
        <f t="shared" si="15"/>
        <v>0</v>
      </c>
      <c r="M43" s="178"/>
      <c r="N43" s="80">
        <f t="shared" si="16"/>
        <v>0</v>
      </c>
      <c r="O43" s="178"/>
      <c r="P43" s="80">
        <f t="shared" si="17"/>
        <v>0</v>
      </c>
      <c r="Q43" s="178"/>
      <c r="R43" s="80">
        <f t="shared" si="18"/>
        <v>0</v>
      </c>
      <c r="S43" s="178"/>
      <c r="T43" s="80">
        <f t="shared" si="19"/>
        <v>0</v>
      </c>
      <c r="U43" s="178"/>
      <c r="V43" s="80">
        <f t="shared" si="20"/>
        <v>0</v>
      </c>
    </row>
    <row r="44" spans="1:22" ht="12.75" customHeight="1">
      <c r="A44" s="2" t="s">
        <v>392</v>
      </c>
      <c r="B44" s="35"/>
      <c r="C44" s="178"/>
      <c r="D44" s="80">
        <f t="shared" si="11"/>
        <v>0</v>
      </c>
      <c r="E44" s="178"/>
      <c r="F44" s="80">
        <f t="shared" si="12"/>
        <v>0</v>
      </c>
      <c r="G44" s="178"/>
      <c r="H44" s="80">
        <f t="shared" si="13"/>
        <v>0</v>
      </c>
      <c r="I44" s="178"/>
      <c r="J44" s="80">
        <f t="shared" si="14"/>
        <v>0</v>
      </c>
      <c r="K44" s="178"/>
      <c r="L44" s="80">
        <f t="shared" si="15"/>
        <v>0</v>
      </c>
      <c r="M44" s="178"/>
      <c r="N44" s="80">
        <f t="shared" si="16"/>
        <v>0</v>
      </c>
      <c r="O44" s="178"/>
      <c r="P44" s="80">
        <f t="shared" si="17"/>
        <v>0</v>
      </c>
      <c r="Q44" s="178"/>
      <c r="R44" s="80">
        <f t="shared" si="18"/>
        <v>0</v>
      </c>
      <c r="S44" s="178"/>
      <c r="T44" s="80">
        <f t="shared" si="19"/>
        <v>0</v>
      </c>
      <c r="U44" s="178"/>
      <c r="V44" s="80">
        <f t="shared" si="20"/>
        <v>0</v>
      </c>
    </row>
    <row r="45" spans="1:22" ht="12.75" customHeight="1">
      <c r="A45" s="2" t="s">
        <v>393</v>
      </c>
      <c r="B45" s="35"/>
      <c r="C45" s="181">
        <f>SUM(C36:C39)*0.094</f>
        <v>1209.78</v>
      </c>
      <c r="D45" s="80">
        <f t="shared" si="11"/>
        <v>1.61304E-2</v>
      </c>
      <c r="E45" s="114"/>
      <c r="F45" s="80">
        <f t="shared" si="12"/>
        <v>0</v>
      </c>
      <c r="G45" s="114">
        <f>SUM(G36:G39)*0.094</f>
        <v>0</v>
      </c>
      <c r="H45" s="80">
        <f t="shared" si="13"/>
        <v>0</v>
      </c>
      <c r="I45" s="114">
        <f>SUM(I36:I39)*0.094</f>
        <v>0</v>
      </c>
      <c r="J45" s="80">
        <f t="shared" si="14"/>
        <v>0</v>
      </c>
      <c r="K45" s="114">
        <f>SUM(K36:K39)*0.094</f>
        <v>0</v>
      </c>
      <c r="L45" s="80">
        <f t="shared" si="15"/>
        <v>0</v>
      </c>
      <c r="M45" s="114">
        <f>SUM(M36:M39)*0.094</f>
        <v>0</v>
      </c>
      <c r="N45" s="80">
        <f t="shared" si="16"/>
        <v>0</v>
      </c>
      <c r="O45" s="114">
        <f>SUM(O36:O39)*0.094</f>
        <v>0</v>
      </c>
      <c r="P45" s="80">
        <f t="shared" si="17"/>
        <v>0</v>
      </c>
      <c r="Q45" s="114">
        <f>SUM(Q36:Q39)*0.094</f>
        <v>0</v>
      </c>
      <c r="R45" s="80">
        <f t="shared" si="18"/>
        <v>0</v>
      </c>
      <c r="S45" s="114">
        <f>SUM(S36:S39)*0.094</f>
        <v>0</v>
      </c>
      <c r="T45" s="80">
        <f t="shared" si="19"/>
        <v>0</v>
      </c>
      <c r="U45" s="114">
        <f>SUM(U36:U39)*0.094</f>
        <v>0</v>
      </c>
      <c r="V45" s="80">
        <f t="shared" si="20"/>
        <v>0</v>
      </c>
    </row>
    <row r="46" spans="1:22" ht="12.75" customHeight="1">
      <c r="A46" s="1" t="s">
        <v>394</v>
      </c>
      <c r="B46" s="53"/>
      <c r="C46" s="82">
        <f>SUM(C36:C45)</f>
        <v>15675.66</v>
      </c>
      <c r="D46" s="83">
        <f t="shared" si="11"/>
        <v>0.20900879999999999</v>
      </c>
      <c r="E46" s="82">
        <f>SUM(E36:E45)</f>
        <v>0</v>
      </c>
      <c r="F46" s="83">
        <f t="shared" si="12"/>
        <v>0</v>
      </c>
      <c r="G46" s="82">
        <f>SUM(G36:G45)</f>
        <v>0</v>
      </c>
      <c r="H46" s="83">
        <f t="shared" si="13"/>
        <v>0</v>
      </c>
      <c r="I46" s="82">
        <f>SUM(I36:I45)</f>
        <v>0</v>
      </c>
      <c r="J46" s="83">
        <f t="shared" si="14"/>
        <v>0</v>
      </c>
      <c r="K46" s="82">
        <f>SUM(K36:K45)</f>
        <v>0</v>
      </c>
      <c r="L46" s="83">
        <f t="shared" si="15"/>
        <v>0</v>
      </c>
      <c r="M46" s="82">
        <f>SUM(M36:M45)</f>
        <v>0</v>
      </c>
      <c r="N46" s="83">
        <f t="shared" si="16"/>
        <v>0</v>
      </c>
      <c r="O46" s="82">
        <f>SUM(O36:O45)</f>
        <v>0</v>
      </c>
      <c r="P46" s="83">
        <f t="shared" si="17"/>
        <v>0</v>
      </c>
      <c r="Q46" s="82">
        <f>SUM(Q36:Q45)</f>
        <v>0</v>
      </c>
      <c r="R46" s="83">
        <f t="shared" si="18"/>
        <v>0</v>
      </c>
      <c r="S46" s="82">
        <f>SUM(S36:S45)</f>
        <v>0</v>
      </c>
      <c r="T46" s="83">
        <f t="shared" si="19"/>
        <v>0</v>
      </c>
      <c r="U46" s="82">
        <f>SUM(U36:U45)</f>
        <v>0</v>
      </c>
      <c r="V46" s="83">
        <f t="shared" si="20"/>
        <v>0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366</v>
      </c>
      <c r="E50" s="86" t="str">
        <f>E6</f>
        <v>FY 2019-20</v>
      </c>
      <c r="F50" s="86" t="s">
        <v>366</v>
      </c>
      <c r="G50" s="86" t="str">
        <f>G6</f>
        <v>FY 2020-21</v>
      </c>
      <c r="H50" s="86" t="s">
        <v>366</v>
      </c>
      <c r="I50" s="86" t="str">
        <f>I6</f>
        <v>FY 2021-22</v>
      </c>
      <c r="J50" s="86" t="s">
        <v>366</v>
      </c>
      <c r="K50" s="86" t="str">
        <f>K6</f>
        <v>FY 2022-23</v>
      </c>
      <c r="L50" s="86" t="s">
        <v>366</v>
      </c>
      <c r="M50" s="86" t="str">
        <f>M6</f>
        <v>FY 2023-24</v>
      </c>
      <c r="N50" s="86" t="s">
        <v>366</v>
      </c>
      <c r="O50" s="86" t="str">
        <f>O6</f>
        <v>FY 2024-25</v>
      </c>
      <c r="P50" s="86" t="s">
        <v>366</v>
      </c>
      <c r="Q50" s="86" t="str">
        <f>Q6</f>
        <v>FY 2025-26</v>
      </c>
      <c r="R50" s="86" t="s">
        <v>366</v>
      </c>
      <c r="S50" s="86" t="str">
        <f>S6</f>
        <v>FY 2026-27</v>
      </c>
      <c r="T50" s="86" t="s">
        <v>366</v>
      </c>
      <c r="U50" s="86" t="str">
        <f>U6</f>
        <v>FY 2027-28</v>
      </c>
      <c r="V50" s="86" t="s">
        <v>366</v>
      </c>
    </row>
    <row r="51" spans="1:24" ht="12.75" customHeight="1">
      <c r="A51" s="1" t="s">
        <v>395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396</v>
      </c>
      <c r="B52" s="35"/>
      <c r="C52" s="178">
        <v>0</v>
      </c>
      <c r="D52" s="80">
        <f t="shared" ref="D52:D104" si="21">IFERROR(C52/C$28,0)</f>
        <v>0</v>
      </c>
      <c r="E52" s="178">
        <v>0</v>
      </c>
      <c r="F52" s="80">
        <f t="shared" ref="F52:F104" si="22">IFERROR(E52/E$28,0)</f>
        <v>0</v>
      </c>
      <c r="G52" s="178">
        <v>0</v>
      </c>
      <c r="H52" s="80">
        <f t="shared" ref="H52:H104" si="23">IFERROR(G52/G$28,0)</f>
        <v>0</v>
      </c>
      <c r="I52" s="178">
        <v>0</v>
      </c>
      <c r="J52" s="80">
        <f t="shared" ref="J52:J104" si="24">IFERROR(I52/I$28,0)</f>
        <v>0</v>
      </c>
      <c r="K52" s="178">
        <v>0</v>
      </c>
      <c r="L52" s="80">
        <f t="shared" ref="L52:L104" si="25">IFERROR(K52/K$28,0)</f>
        <v>0</v>
      </c>
      <c r="M52" s="178">
        <v>0</v>
      </c>
      <c r="N52" s="80">
        <f t="shared" ref="N52:N104" si="26">IFERROR(M52/M$28,0)</f>
        <v>0</v>
      </c>
      <c r="O52" s="178">
        <v>0</v>
      </c>
      <c r="P52" s="80">
        <f t="shared" ref="P52:P104" si="27">IFERROR(O52/O$28,0)</f>
        <v>0</v>
      </c>
      <c r="Q52" s="178">
        <v>0</v>
      </c>
      <c r="R52" s="80">
        <f t="shared" ref="R52:R104" si="28">IFERROR(Q52/Q$28,0)</f>
        <v>0</v>
      </c>
      <c r="S52" s="178">
        <v>0</v>
      </c>
      <c r="T52" s="80">
        <f t="shared" ref="T52:T104" si="29">IFERROR(S52/S$28,0)</f>
        <v>0</v>
      </c>
      <c r="U52" s="178">
        <v>0</v>
      </c>
      <c r="V52" s="80">
        <f t="shared" ref="V52:V105" si="30">IFERROR(U52/U$28,0)</f>
        <v>0</v>
      </c>
      <c r="X52" s="192"/>
    </row>
    <row r="53" spans="1:24" ht="12.75" customHeight="1">
      <c r="A53" s="2" t="s">
        <v>397</v>
      </c>
      <c r="B53" s="35"/>
      <c r="C53" s="178">
        <v>0</v>
      </c>
      <c r="D53" s="80">
        <f t="shared" si="21"/>
        <v>0</v>
      </c>
      <c r="E53" s="178">
        <v>0</v>
      </c>
      <c r="F53" s="80">
        <f t="shared" si="22"/>
        <v>0</v>
      </c>
      <c r="G53" s="178">
        <v>0</v>
      </c>
      <c r="H53" s="80">
        <f t="shared" si="23"/>
        <v>0</v>
      </c>
      <c r="I53" s="178">
        <v>0</v>
      </c>
      <c r="J53" s="80">
        <f t="shared" si="24"/>
        <v>0</v>
      </c>
      <c r="K53" s="178">
        <v>0</v>
      </c>
      <c r="L53" s="80">
        <f t="shared" si="25"/>
        <v>0</v>
      </c>
      <c r="M53" s="178">
        <v>0</v>
      </c>
      <c r="N53" s="80">
        <f t="shared" si="26"/>
        <v>0</v>
      </c>
      <c r="O53" s="178">
        <v>0</v>
      </c>
      <c r="P53" s="80">
        <f t="shared" si="27"/>
        <v>0</v>
      </c>
      <c r="Q53" s="178">
        <v>0</v>
      </c>
      <c r="R53" s="80">
        <f t="shared" si="28"/>
        <v>0</v>
      </c>
      <c r="S53" s="178">
        <v>0</v>
      </c>
      <c r="T53" s="80">
        <f t="shared" si="29"/>
        <v>0</v>
      </c>
      <c r="U53" s="178">
        <v>0</v>
      </c>
      <c r="V53" s="80">
        <f t="shared" si="30"/>
        <v>0</v>
      </c>
      <c r="X53" s="192"/>
    </row>
    <row r="54" spans="1:24" ht="12.75" customHeight="1">
      <c r="A54" s="2" t="s">
        <v>398</v>
      </c>
      <c r="B54" s="35"/>
      <c r="C54" s="178">
        <v>52.5</v>
      </c>
      <c r="D54" s="80">
        <f t="shared" si="21"/>
        <v>6.9999999999999999E-4</v>
      </c>
      <c r="E54" s="178">
        <v>0</v>
      </c>
      <c r="F54" s="80">
        <f t="shared" si="22"/>
        <v>0</v>
      </c>
      <c r="G54" s="178">
        <v>0</v>
      </c>
      <c r="H54" s="80">
        <f t="shared" si="23"/>
        <v>0</v>
      </c>
      <c r="I54" s="178">
        <v>0</v>
      </c>
      <c r="J54" s="80">
        <f t="shared" si="24"/>
        <v>0</v>
      </c>
      <c r="K54" s="178">
        <v>0</v>
      </c>
      <c r="L54" s="80">
        <f t="shared" si="25"/>
        <v>0</v>
      </c>
      <c r="M54" s="178">
        <v>0</v>
      </c>
      <c r="N54" s="80">
        <f t="shared" si="26"/>
        <v>0</v>
      </c>
      <c r="O54" s="178">
        <v>0</v>
      </c>
      <c r="P54" s="80">
        <f t="shared" si="27"/>
        <v>0</v>
      </c>
      <c r="Q54" s="178">
        <v>0</v>
      </c>
      <c r="R54" s="80">
        <f t="shared" si="28"/>
        <v>0</v>
      </c>
      <c r="S54" s="178">
        <v>0</v>
      </c>
      <c r="T54" s="80">
        <f t="shared" si="29"/>
        <v>0</v>
      </c>
      <c r="U54" s="178">
        <v>0</v>
      </c>
      <c r="V54" s="80">
        <f t="shared" si="30"/>
        <v>0</v>
      </c>
      <c r="X54" s="192"/>
    </row>
    <row r="55" spans="1:24" ht="12.75" customHeight="1">
      <c r="A55" s="2" t="s">
        <v>399</v>
      </c>
      <c r="B55" s="35"/>
      <c r="C55" s="178">
        <v>1500</v>
      </c>
      <c r="D55" s="80">
        <f t="shared" si="21"/>
        <v>0.02</v>
      </c>
      <c r="E55" s="178">
        <v>0</v>
      </c>
      <c r="F55" s="80">
        <f t="shared" si="22"/>
        <v>0</v>
      </c>
      <c r="G55" s="178">
        <v>0</v>
      </c>
      <c r="H55" s="80">
        <f t="shared" si="23"/>
        <v>0</v>
      </c>
      <c r="I55" s="178">
        <v>0</v>
      </c>
      <c r="J55" s="80">
        <f t="shared" si="24"/>
        <v>0</v>
      </c>
      <c r="K55" s="178">
        <v>0</v>
      </c>
      <c r="L55" s="80">
        <f t="shared" si="25"/>
        <v>0</v>
      </c>
      <c r="M55" s="178">
        <v>0</v>
      </c>
      <c r="N55" s="80">
        <f t="shared" si="26"/>
        <v>0</v>
      </c>
      <c r="O55" s="178">
        <v>0</v>
      </c>
      <c r="P55" s="80">
        <f t="shared" si="27"/>
        <v>0</v>
      </c>
      <c r="Q55" s="178">
        <v>0</v>
      </c>
      <c r="R55" s="80">
        <f t="shared" si="28"/>
        <v>0</v>
      </c>
      <c r="S55" s="178">
        <v>0</v>
      </c>
      <c r="T55" s="80">
        <f t="shared" si="29"/>
        <v>0</v>
      </c>
      <c r="U55" s="178">
        <v>0</v>
      </c>
      <c r="V55" s="80">
        <f t="shared" si="30"/>
        <v>0</v>
      </c>
      <c r="X55" s="192"/>
    </row>
    <row r="56" spans="1:24" ht="12.75" customHeight="1">
      <c r="A56" s="2" t="s">
        <v>400</v>
      </c>
      <c r="B56" s="35"/>
      <c r="C56" s="178">
        <v>38.25</v>
      </c>
      <c r="D56" s="80">
        <f t="shared" si="21"/>
        <v>5.1000000000000004E-4</v>
      </c>
      <c r="E56" s="178">
        <v>0</v>
      </c>
      <c r="F56" s="80">
        <f t="shared" si="22"/>
        <v>0</v>
      </c>
      <c r="G56" s="178">
        <v>0</v>
      </c>
      <c r="H56" s="80">
        <f t="shared" si="23"/>
        <v>0</v>
      </c>
      <c r="I56" s="178">
        <v>0</v>
      </c>
      <c r="J56" s="80">
        <f t="shared" si="24"/>
        <v>0</v>
      </c>
      <c r="K56" s="178">
        <v>0</v>
      </c>
      <c r="L56" s="80">
        <f t="shared" si="25"/>
        <v>0</v>
      </c>
      <c r="M56" s="178">
        <v>0</v>
      </c>
      <c r="N56" s="80">
        <f t="shared" si="26"/>
        <v>0</v>
      </c>
      <c r="O56" s="178">
        <v>0</v>
      </c>
      <c r="P56" s="80">
        <f t="shared" si="27"/>
        <v>0</v>
      </c>
      <c r="Q56" s="178">
        <v>0</v>
      </c>
      <c r="R56" s="80">
        <f t="shared" si="28"/>
        <v>0</v>
      </c>
      <c r="S56" s="178">
        <v>0</v>
      </c>
      <c r="T56" s="80">
        <f t="shared" si="29"/>
        <v>0</v>
      </c>
      <c r="U56" s="178">
        <v>0</v>
      </c>
      <c r="V56" s="80">
        <f t="shared" si="30"/>
        <v>0</v>
      </c>
      <c r="X56" s="192"/>
    </row>
    <row r="57" spans="1:24" ht="12.75" customHeight="1">
      <c r="A57" s="2" t="s">
        <v>401</v>
      </c>
      <c r="B57" s="35"/>
      <c r="C57" s="178">
        <v>0</v>
      </c>
      <c r="D57" s="80">
        <f t="shared" si="21"/>
        <v>0</v>
      </c>
      <c r="E57" s="178">
        <v>0</v>
      </c>
      <c r="F57" s="80">
        <f t="shared" si="22"/>
        <v>0</v>
      </c>
      <c r="G57" s="178">
        <v>0</v>
      </c>
      <c r="H57" s="80">
        <f t="shared" si="23"/>
        <v>0</v>
      </c>
      <c r="I57" s="178">
        <v>0</v>
      </c>
      <c r="J57" s="80">
        <f t="shared" si="24"/>
        <v>0</v>
      </c>
      <c r="K57" s="178">
        <v>0</v>
      </c>
      <c r="L57" s="80">
        <f t="shared" si="25"/>
        <v>0</v>
      </c>
      <c r="M57" s="178">
        <v>0</v>
      </c>
      <c r="N57" s="80">
        <f t="shared" si="26"/>
        <v>0</v>
      </c>
      <c r="O57" s="178">
        <v>0</v>
      </c>
      <c r="P57" s="80">
        <f t="shared" si="27"/>
        <v>0</v>
      </c>
      <c r="Q57" s="178">
        <v>0</v>
      </c>
      <c r="R57" s="80">
        <f t="shared" si="28"/>
        <v>0</v>
      </c>
      <c r="S57" s="178">
        <v>0</v>
      </c>
      <c r="T57" s="80">
        <f t="shared" si="29"/>
        <v>0</v>
      </c>
      <c r="U57" s="178">
        <v>0</v>
      </c>
      <c r="V57" s="80">
        <f t="shared" si="30"/>
        <v>0</v>
      </c>
      <c r="X57" s="192"/>
    </row>
    <row r="58" spans="1:24" ht="12.75" customHeight="1">
      <c r="A58" s="2" t="s">
        <v>402</v>
      </c>
      <c r="B58" s="35"/>
      <c r="C58" s="178">
        <v>0</v>
      </c>
      <c r="D58" s="80">
        <f t="shared" si="21"/>
        <v>0</v>
      </c>
      <c r="E58" s="178">
        <v>0</v>
      </c>
      <c r="F58" s="80">
        <f t="shared" si="22"/>
        <v>0</v>
      </c>
      <c r="G58" s="178">
        <v>0</v>
      </c>
      <c r="H58" s="80">
        <f t="shared" si="23"/>
        <v>0</v>
      </c>
      <c r="I58" s="178">
        <v>0</v>
      </c>
      <c r="J58" s="80">
        <f t="shared" si="24"/>
        <v>0</v>
      </c>
      <c r="K58" s="178">
        <v>0</v>
      </c>
      <c r="L58" s="80">
        <f t="shared" si="25"/>
        <v>0</v>
      </c>
      <c r="M58" s="178">
        <v>0</v>
      </c>
      <c r="N58" s="80">
        <f t="shared" si="26"/>
        <v>0</v>
      </c>
      <c r="O58" s="178">
        <v>0</v>
      </c>
      <c r="P58" s="80">
        <f t="shared" si="27"/>
        <v>0</v>
      </c>
      <c r="Q58" s="178">
        <v>0</v>
      </c>
      <c r="R58" s="80">
        <f t="shared" si="28"/>
        <v>0</v>
      </c>
      <c r="S58" s="178">
        <v>0</v>
      </c>
      <c r="T58" s="80">
        <f t="shared" si="29"/>
        <v>0</v>
      </c>
      <c r="U58" s="178">
        <v>0</v>
      </c>
      <c r="V58" s="80">
        <f t="shared" si="30"/>
        <v>0</v>
      </c>
      <c r="X58" s="192"/>
    </row>
    <row r="59" spans="1:24" ht="12.75" customHeight="1">
      <c r="A59" s="2" t="s">
        <v>403</v>
      </c>
      <c r="B59" s="35"/>
      <c r="C59" s="178"/>
      <c r="D59" s="80">
        <f t="shared" si="21"/>
        <v>0</v>
      </c>
      <c r="E59" s="178"/>
      <c r="F59" s="80">
        <f t="shared" si="22"/>
        <v>0</v>
      </c>
      <c r="G59" s="178"/>
      <c r="H59" s="80">
        <f t="shared" si="23"/>
        <v>0</v>
      </c>
      <c r="I59" s="178"/>
      <c r="J59" s="80">
        <f t="shared" si="24"/>
        <v>0</v>
      </c>
      <c r="K59" s="178"/>
      <c r="L59" s="80">
        <f t="shared" si="25"/>
        <v>0</v>
      </c>
      <c r="M59" s="178"/>
      <c r="N59" s="80">
        <f t="shared" si="26"/>
        <v>0</v>
      </c>
      <c r="O59" s="178"/>
      <c r="P59" s="80">
        <f t="shared" si="27"/>
        <v>0</v>
      </c>
      <c r="Q59" s="178"/>
      <c r="R59" s="80">
        <f t="shared" si="28"/>
        <v>0</v>
      </c>
      <c r="S59" s="178"/>
      <c r="T59" s="80">
        <f t="shared" si="29"/>
        <v>0</v>
      </c>
      <c r="U59" s="178"/>
      <c r="V59" s="80">
        <f t="shared" si="30"/>
        <v>0</v>
      </c>
      <c r="X59" s="192"/>
    </row>
    <row r="60" spans="1:24" ht="12.75" customHeight="1">
      <c r="A60" s="2" t="s">
        <v>404</v>
      </c>
      <c r="B60" s="35"/>
      <c r="C60" s="178">
        <v>0</v>
      </c>
      <c r="D60" s="80">
        <f t="shared" si="21"/>
        <v>0</v>
      </c>
      <c r="E60" s="178">
        <v>0</v>
      </c>
      <c r="F60" s="80">
        <f t="shared" si="22"/>
        <v>0</v>
      </c>
      <c r="G60" s="178">
        <v>0</v>
      </c>
      <c r="H60" s="80">
        <f t="shared" si="23"/>
        <v>0</v>
      </c>
      <c r="I60" s="178">
        <v>0</v>
      </c>
      <c r="J60" s="80">
        <f t="shared" si="24"/>
        <v>0</v>
      </c>
      <c r="K60" s="178">
        <v>0</v>
      </c>
      <c r="L60" s="80">
        <f t="shared" si="25"/>
        <v>0</v>
      </c>
      <c r="M60" s="178">
        <v>0</v>
      </c>
      <c r="N60" s="80">
        <f t="shared" si="26"/>
        <v>0</v>
      </c>
      <c r="O60" s="178">
        <v>0</v>
      </c>
      <c r="P60" s="80">
        <f t="shared" si="27"/>
        <v>0</v>
      </c>
      <c r="Q60" s="178">
        <v>0</v>
      </c>
      <c r="R60" s="80">
        <f t="shared" si="28"/>
        <v>0</v>
      </c>
      <c r="S60" s="178">
        <v>0</v>
      </c>
      <c r="T60" s="80">
        <f t="shared" si="29"/>
        <v>0</v>
      </c>
      <c r="U60" s="178">
        <v>0</v>
      </c>
      <c r="V60" s="80">
        <f t="shared" si="30"/>
        <v>0</v>
      </c>
      <c r="X60" s="192"/>
    </row>
    <row r="61" spans="1:24" ht="12.75" customHeight="1">
      <c r="A61" s="2" t="s">
        <v>405</v>
      </c>
      <c r="B61" s="35"/>
      <c r="C61" s="178">
        <v>0</v>
      </c>
      <c r="D61" s="80">
        <f t="shared" si="21"/>
        <v>0</v>
      </c>
      <c r="E61" s="178">
        <v>0</v>
      </c>
      <c r="F61" s="80">
        <f t="shared" si="22"/>
        <v>0</v>
      </c>
      <c r="G61" s="178">
        <v>0</v>
      </c>
      <c r="H61" s="80">
        <f t="shared" si="23"/>
        <v>0</v>
      </c>
      <c r="I61" s="178">
        <v>0</v>
      </c>
      <c r="J61" s="80">
        <f t="shared" si="24"/>
        <v>0</v>
      </c>
      <c r="K61" s="178">
        <v>0</v>
      </c>
      <c r="L61" s="80">
        <f t="shared" si="25"/>
        <v>0</v>
      </c>
      <c r="M61" s="178">
        <v>0</v>
      </c>
      <c r="N61" s="80">
        <f t="shared" si="26"/>
        <v>0</v>
      </c>
      <c r="O61" s="178">
        <v>0</v>
      </c>
      <c r="P61" s="80">
        <f t="shared" si="27"/>
        <v>0</v>
      </c>
      <c r="Q61" s="178">
        <v>0</v>
      </c>
      <c r="R61" s="80">
        <f t="shared" si="28"/>
        <v>0</v>
      </c>
      <c r="S61" s="178">
        <v>0</v>
      </c>
      <c r="T61" s="80">
        <f t="shared" si="29"/>
        <v>0</v>
      </c>
      <c r="U61" s="178">
        <v>0</v>
      </c>
      <c r="V61" s="80">
        <f t="shared" si="30"/>
        <v>0</v>
      </c>
      <c r="X61" s="192"/>
    </row>
    <row r="62" spans="1:24" ht="12.75" customHeight="1">
      <c r="A62" s="2" t="s">
        <v>406</v>
      </c>
      <c r="B62" s="35"/>
      <c r="C62" s="178">
        <v>0</v>
      </c>
      <c r="D62" s="80">
        <f t="shared" si="21"/>
        <v>0</v>
      </c>
      <c r="E62" s="178">
        <v>0</v>
      </c>
      <c r="F62" s="80">
        <f t="shared" si="22"/>
        <v>0</v>
      </c>
      <c r="G62" s="178">
        <v>0</v>
      </c>
      <c r="H62" s="80">
        <f t="shared" si="23"/>
        <v>0</v>
      </c>
      <c r="I62" s="178">
        <v>0</v>
      </c>
      <c r="J62" s="80">
        <f t="shared" si="24"/>
        <v>0</v>
      </c>
      <c r="K62" s="178">
        <v>0</v>
      </c>
      <c r="L62" s="80">
        <f t="shared" si="25"/>
        <v>0</v>
      </c>
      <c r="M62" s="178">
        <v>0</v>
      </c>
      <c r="N62" s="80">
        <f t="shared" si="26"/>
        <v>0</v>
      </c>
      <c r="O62" s="178">
        <v>0</v>
      </c>
      <c r="P62" s="80">
        <f t="shared" si="27"/>
        <v>0</v>
      </c>
      <c r="Q62" s="178">
        <v>0</v>
      </c>
      <c r="R62" s="80">
        <f t="shared" si="28"/>
        <v>0</v>
      </c>
      <c r="S62" s="178">
        <v>0</v>
      </c>
      <c r="T62" s="80">
        <f t="shared" si="29"/>
        <v>0</v>
      </c>
      <c r="U62" s="178">
        <v>0</v>
      </c>
      <c r="V62" s="80">
        <f t="shared" si="30"/>
        <v>0</v>
      </c>
      <c r="X62" s="192"/>
    </row>
    <row r="63" spans="1:24" ht="12.75" customHeight="1">
      <c r="A63" s="2" t="s">
        <v>407</v>
      </c>
      <c r="B63" s="35"/>
      <c r="C63" s="178">
        <v>912.42598827228619</v>
      </c>
      <c r="D63" s="80">
        <f t="shared" si="21"/>
        <v>1.2165679843630482E-2</v>
      </c>
      <c r="E63" s="178">
        <v>0</v>
      </c>
      <c r="F63" s="80">
        <f t="shared" si="22"/>
        <v>0</v>
      </c>
      <c r="G63" s="178">
        <v>0</v>
      </c>
      <c r="H63" s="80">
        <f t="shared" si="23"/>
        <v>0</v>
      </c>
      <c r="I63" s="178">
        <v>0</v>
      </c>
      <c r="J63" s="80">
        <f t="shared" si="24"/>
        <v>0</v>
      </c>
      <c r="K63" s="178">
        <v>0</v>
      </c>
      <c r="L63" s="80">
        <f t="shared" si="25"/>
        <v>0</v>
      </c>
      <c r="M63" s="178">
        <v>0</v>
      </c>
      <c r="N63" s="80">
        <f t="shared" si="26"/>
        <v>0</v>
      </c>
      <c r="O63" s="178">
        <v>0</v>
      </c>
      <c r="P63" s="80">
        <f t="shared" si="27"/>
        <v>0</v>
      </c>
      <c r="Q63" s="178">
        <v>0</v>
      </c>
      <c r="R63" s="80">
        <f t="shared" si="28"/>
        <v>0</v>
      </c>
      <c r="S63" s="178">
        <v>0</v>
      </c>
      <c r="T63" s="80">
        <f t="shared" si="29"/>
        <v>0</v>
      </c>
      <c r="U63" s="178">
        <v>0</v>
      </c>
      <c r="V63" s="80">
        <f t="shared" si="30"/>
        <v>0</v>
      </c>
      <c r="X63" s="192"/>
    </row>
    <row r="64" spans="1:24" ht="12.75" customHeight="1">
      <c r="A64" s="2" t="s">
        <v>408</v>
      </c>
      <c r="B64" s="35"/>
      <c r="C64" s="178">
        <v>359.99999999999994</v>
      </c>
      <c r="D64" s="80">
        <f t="shared" si="21"/>
        <v>4.7999999999999996E-3</v>
      </c>
      <c r="E64" s="178">
        <v>0</v>
      </c>
      <c r="F64" s="80">
        <f t="shared" si="22"/>
        <v>0</v>
      </c>
      <c r="G64" s="178">
        <v>0</v>
      </c>
      <c r="H64" s="80">
        <f t="shared" si="23"/>
        <v>0</v>
      </c>
      <c r="I64" s="178">
        <v>0</v>
      </c>
      <c r="J64" s="80">
        <f t="shared" si="24"/>
        <v>0</v>
      </c>
      <c r="K64" s="178">
        <v>0</v>
      </c>
      <c r="L64" s="80">
        <f t="shared" si="25"/>
        <v>0</v>
      </c>
      <c r="M64" s="178">
        <v>0</v>
      </c>
      <c r="N64" s="80">
        <f t="shared" si="26"/>
        <v>0</v>
      </c>
      <c r="O64" s="178">
        <v>0</v>
      </c>
      <c r="P64" s="80">
        <f t="shared" si="27"/>
        <v>0</v>
      </c>
      <c r="Q64" s="178">
        <v>0</v>
      </c>
      <c r="R64" s="80">
        <f t="shared" si="28"/>
        <v>0</v>
      </c>
      <c r="S64" s="178">
        <v>0</v>
      </c>
      <c r="T64" s="80">
        <f t="shared" si="29"/>
        <v>0</v>
      </c>
      <c r="U64" s="178">
        <v>0</v>
      </c>
      <c r="V64" s="80">
        <f t="shared" si="30"/>
        <v>0</v>
      </c>
      <c r="X64" s="192"/>
    </row>
    <row r="65" spans="1:24" ht="12.75" customHeight="1">
      <c r="A65" s="2" t="s">
        <v>409</v>
      </c>
      <c r="B65" s="35"/>
      <c r="C65" s="178">
        <v>37.5</v>
      </c>
      <c r="D65" s="80">
        <f t="shared" si="21"/>
        <v>5.0000000000000001E-4</v>
      </c>
      <c r="E65" s="178">
        <v>0</v>
      </c>
      <c r="F65" s="80">
        <f t="shared" si="22"/>
        <v>0</v>
      </c>
      <c r="G65" s="178">
        <v>0</v>
      </c>
      <c r="H65" s="80">
        <f t="shared" si="23"/>
        <v>0</v>
      </c>
      <c r="I65" s="178">
        <v>0</v>
      </c>
      <c r="J65" s="80">
        <f t="shared" si="24"/>
        <v>0</v>
      </c>
      <c r="K65" s="178">
        <v>0</v>
      </c>
      <c r="L65" s="80">
        <f t="shared" si="25"/>
        <v>0</v>
      </c>
      <c r="M65" s="178">
        <v>0</v>
      </c>
      <c r="N65" s="80">
        <f t="shared" si="26"/>
        <v>0</v>
      </c>
      <c r="O65" s="178">
        <v>0</v>
      </c>
      <c r="P65" s="80">
        <f t="shared" si="27"/>
        <v>0</v>
      </c>
      <c r="Q65" s="178">
        <v>0</v>
      </c>
      <c r="R65" s="80">
        <f t="shared" si="28"/>
        <v>0</v>
      </c>
      <c r="S65" s="178">
        <v>0</v>
      </c>
      <c r="T65" s="80">
        <f t="shared" si="29"/>
        <v>0</v>
      </c>
      <c r="U65" s="178">
        <v>0</v>
      </c>
      <c r="V65" s="80">
        <f t="shared" si="30"/>
        <v>0</v>
      </c>
      <c r="X65" s="192"/>
    </row>
    <row r="66" spans="1:24" ht="12.75" customHeight="1">
      <c r="A66" s="2" t="s">
        <v>410</v>
      </c>
      <c r="B66" s="35"/>
      <c r="C66" s="178">
        <v>210</v>
      </c>
      <c r="D66" s="80">
        <f t="shared" si="21"/>
        <v>2.8E-3</v>
      </c>
      <c r="E66" s="178">
        <v>0</v>
      </c>
      <c r="F66" s="80">
        <f t="shared" si="22"/>
        <v>0</v>
      </c>
      <c r="G66" s="178">
        <v>0</v>
      </c>
      <c r="H66" s="80">
        <f t="shared" si="23"/>
        <v>0</v>
      </c>
      <c r="I66" s="178">
        <v>0</v>
      </c>
      <c r="J66" s="80">
        <f t="shared" si="24"/>
        <v>0</v>
      </c>
      <c r="K66" s="178">
        <v>0</v>
      </c>
      <c r="L66" s="80">
        <f t="shared" si="25"/>
        <v>0</v>
      </c>
      <c r="M66" s="178">
        <v>0</v>
      </c>
      <c r="N66" s="80">
        <f t="shared" si="26"/>
        <v>0</v>
      </c>
      <c r="O66" s="178">
        <v>0</v>
      </c>
      <c r="P66" s="80">
        <f t="shared" si="27"/>
        <v>0</v>
      </c>
      <c r="Q66" s="178">
        <v>0</v>
      </c>
      <c r="R66" s="80">
        <f t="shared" si="28"/>
        <v>0</v>
      </c>
      <c r="S66" s="178">
        <v>0</v>
      </c>
      <c r="T66" s="80">
        <f t="shared" si="29"/>
        <v>0</v>
      </c>
      <c r="U66" s="178">
        <v>0</v>
      </c>
      <c r="V66" s="80">
        <f t="shared" si="30"/>
        <v>0</v>
      </c>
      <c r="X66" s="192"/>
    </row>
    <row r="67" spans="1:24" ht="12.75" customHeight="1">
      <c r="A67" s="2" t="s">
        <v>411</v>
      </c>
      <c r="B67" s="35"/>
      <c r="C67" s="178">
        <v>1124.9999999999998</v>
      </c>
      <c r="D67" s="80">
        <f t="shared" si="21"/>
        <v>1.4999999999999998E-2</v>
      </c>
      <c r="E67" s="178">
        <v>0</v>
      </c>
      <c r="F67" s="80">
        <f t="shared" si="22"/>
        <v>0</v>
      </c>
      <c r="G67" s="178">
        <v>0</v>
      </c>
      <c r="H67" s="80">
        <f t="shared" si="23"/>
        <v>0</v>
      </c>
      <c r="I67" s="178">
        <v>0</v>
      </c>
      <c r="J67" s="80">
        <f t="shared" si="24"/>
        <v>0</v>
      </c>
      <c r="K67" s="178">
        <v>0</v>
      </c>
      <c r="L67" s="80">
        <f t="shared" si="25"/>
        <v>0</v>
      </c>
      <c r="M67" s="178">
        <v>0</v>
      </c>
      <c r="N67" s="80">
        <f t="shared" si="26"/>
        <v>0</v>
      </c>
      <c r="O67" s="178">
        <v>0</v>
      </c>
      <c r="P67" s="80">
        <f t="shared" si="27"/>
        <v>0</v>
      </c>
      <c r="Q67" s="178">
        <v>0</v>
      </c>
      <c r="R67" s="80">
        <f t="shared" si="28"/>
        <v>0</v>
      </c>
      <c r="S67" s="178">
        <v>0</v>
      </c>
      <c r="T67" s="80">
        <f t="shared" si="29"/>
        <v>0</v>
      </c>
      <c r="U67" s="178">
        <v>0</v>
      </c>
      <c r="V67" s="80">
        <f t="shared" si="30"/>
        <v>0</v>
      </c>
      <c r="X67" s="192"/>
    </row>
    <row r="68" spans="1:24" ht="12.75" customHeight="1">
      <c r="A68" s="2" t="s">
        <v>412</v>
      </c>
      <c r="B68" s="35"/>
      <c r="C68" s="178">
        <v>127.49999999999999</v>
      </c>
      <c r="D68" s="80">
        <f t="shared" si="21"/>
        <v>1.6999999999999999E-3</v>
      </c>
      <c r="E68" s="178">
        <v>0</v>
      </c>
      <c r="F68" s="80">
        <f t="shared" si="22"/>
        <v>0</v>
      </c>
      <c r="G68" s="178">
        <v>0</v>
      </c>
      <c r="H68" s="80">
        <f t="shared" si="23"/>
        <v>0</v>
      </c>
      <c r="I68" s="178">
        <v>0</v>
      </c>
      <c r="J68" s="80">
        <f t="shared" si="24"/>
        <v>0</v>
      </c>
      <c r="K68" s="178">
        <v>0</v>
      </c>
      <c r="L68" s="80">
        <f t="shared" si="25"/>
        <v>0</v>
      </c>
      <c r="M68" s="178">
        <v>0</v>
      </c>
      <c r="N68" s="80">
        <f t="shared" si="26"/>
        <v>0</v>
      </c>
      <c r="O68" s="178">
        <v>0</v>
      </c>
      <c r="P68" s="80">
        <f t="shared" si="27"/>
        <v>0</v>
      </c>
      <c r="Q68" s="178">
        <v>0</v>
      </c>
      <c r="R68" s="80">
        <f t="shared" si="28"/>
        <v>0</v>
      </c>
      <c r="S68" s="178">
        <v>0</v>
      </c>
      <c r="T68" s="80">
        <f t="shared" si="29"/>
        <v>0</v>
      </c>
      <c r="U68" s="178">
        <v>0</v>
      </c>
      <c r="V68" s="80">
        <f t="shared" si="30"/>
        <v>0</v>
      </c>
      <c r="X68" s="192"/>
    </row>
    <row r="69" spans="1:24" ht="12.75" customHeight="1">
      <c r="A69" s="2" t="s">
        <v>413</v>
      </c>
      <c r="B69" s="35"/>
      <c r="C69" s="178">
        <v>0</v>
      </c>
      <c r="D69" s="80">
        <f t="shared" si="21"/>
        <v>0</v>
      </c>
      <c r="E69" s="178">
        <v>0</v>
      </c>
      <c r="F69" s="80">
        <f t="shared" si="22"/>
        <v>0</v>
      </c>
      <c r="G69" s="178">
        <v>0</v>
      </c>
      <c r="H69" s="80">
        <f t="shared" si="23"/>
        <v>0</v>
      </c>
      <c r="I69" s="178">
        <v>0</v>
      </c>
      <c r="J69" s="80">
        <f t="shared" si="24"/>
        <v>0</v>
      </c>
      <c r="K69" s="178">
        <v>0</v>
      </c>
      <c r="L69" s="80">
        <f t="shared" si="25"/>
        <v>0</v>
      </c>
      <c r="M69" s="178">
        <v>0</v>
      </c>
      <c r="N69" s="80">
        <f t="shared" si="26"/>
        <v>0</v>
      </c>
      <c r="O69" s="178">
        <v>0</v>
      </c>
      <c r="P69" s="80">
        <f t="shared" si="27"/>
        <v>0</v>
      </c>
      <c r="Q69" s="178">
        <v>0</v>
      </c>
      <c r="R69" s="80">
        <f t="shared" si="28"/>
        <v>0</v>
      </c>
      <c r="S69" s="178">
        <v>0</v>
      </c>
      <c r="T69" s="80">
        <f t="shared" si="29"/>
        <v>0</v>
      </c>
      <c r="U69" s="178">
        <v>0</v>
      </c>
      <c r="V69" s="80">
        <f t="shared" si="30"/>
        <v>0</v>
      </c>
      <c r="X69" s="192"/>
    </row>
    <row r="70" spans="1:24" ht="12.75" customHeight="1">
      <c r="A70" s="2" t="s">
        <v>414</v>
      </c>
      <c r="B70" s="35"/>
      <c r="C70" s="178">
        <v>7.5</v>
      </c>
      <c r="D70" s="80">
        <f t="shared" si="21"/>
        <v>1E-4</v>
      </c>
      <c r="E70" s="178">
        <v>0</v>
      </c>
      <c r="F70" s="80">
        <f t="shared" si="22"/>
        <v>0</v>
      </c>
      <c r="G70" s="178">
        <v>0</v>
      </c>
      <c r="H70" s="80">
        <f t="shared" si="23"/>
        <v>0</v>
      </c>
      <c r="I70" s="178">
        <v>0</v>
      </c>
      <c r="J70" s="80">
        <f t="shared" si="24"/>
        <v>0</v>
      </c>
      <c r="K70" s="178">
        <v>0</v>
      </c>
      <c r="L70" s="80">
        <f t="shared" si="25"/>
        <v>0</v>
      </c>
      <c r="M70" s="178">
        <v>0</v>
      </c>
      <c r="N70" s="80">
        <f t="shared" si="26"/>
        <v>0</v>
      </c>
      <c r="O70" s="178">
        <v>0</v>
      </c>
      <c r="P70" s="80">
        <f t="shared" si="27"/>
        <v>0</v>
      </c>
      <c r="Q70" s="178">
        <v>0</v>
      </c>
      <c r="R70" s="80">
        <f t="shared" si="28"/>
        <v>0</v>
      </c>
      <c r="S70" s="178">
        <v>0</v>
      </c>
      <c r="T70" s="80">
        <f t="shared" si="29"/>
        <v>0</v>
      </c>
      <c r="U70" s="178">
        <v>0</v>
      </c>
      <c r="V70" s="80">
        <f t="shared" si="30"/>
        <v>0</v>
      </c>
      <c r="X70" s="192"/>
    </row>
    <row r="71" spans="1:24" ht="12.75" customHeight="1">
      <c r="A71" s="2" t="s">
        <v>415</v>
      </c>
      <c r="B71" s="35"/>
      <c r="C71" s="178">
        <v>0</v>
      </c>
      <c r="D71" s="80">
        <f t="shared" si="21"/>
        <v>0</v>
      </c>
      <c r="E71" s="178">
        <v>0</v>
      </c>
      <c r="F71" s="80">
        <f t="shared" si="22"/>
        <v>0</v>
      </c>
      <c r="G71" s="178">
        <v>0</v>
      </c>
      <c r="H71" s="80">
        <f t="shared" si="23"/>
        <v>0</v>
      </c>
      <c r="I71" s="178">
        <v>0</v>
      </c>
      <c r="J71" s="80">
        <f t="shared" si="24"/>
        <v>0</v>
      </c>
      <c r="K71" s="178">
        <v>0</v>
      </c>
      <c r="L71" s="80">
        <f t="shared" si="25"/>
        <v>0</v>
      </c>
      <c r="M71" s="178">
        <v>0</v>
      </c>
      <c r="N71" s="80">
        <f t="shared" si="26"/>
        <v>0</v>
      </c>
      <c r="O71" s="178">
        <v>0</v>
      </c>
      <c r="P71" s="80">
        <f t="shared" si="27"/>
        <v>0</v>
      </c>
      <c r="Q71" s="178">
        <v>0</v>
      </c>
      <c r="R71" s="80">
        <f t="shared" si="28"/>
        <v>0</v>
      </c>
      <c r="S71" s="178">
        <v>0</v>
      </c>
      <c r="T71" s="80">
        <f t="shared" si="29"/>
        <v>0</v>
      </c>
      <c r="U71" s="178">
        <v>0</v>
      </c>
      <c r="V71" s="80">
        <f t="shared" si="30"/>
        <v>0</v>
      </c>
      <c r="X71" s="192"/>
    </row>
    <row r="72" spans="1:24" ht="12.75" customHeight="1">
      <c r="A72" s="2" t="s">
        <v>416</v>
      </c>
      <c r="B72" s="35"/>
      <c r="C72" s="178">
        <v>0</v>
      </c>
      <c r="D72" s="80">
        <f t="shared" si="21"/>
        <v>0</v>
      </c>
      <c r="E72" s="178">
        <v>0</v>
      </c>
      <c r="F72" s="80">
        <f t="shared" si="22"/>
        <v>0</v>
      </c>
      <c r="G72" s="178">
        <v>0</v>
      </c>
      <c r="H72" s="80">
        <f t="shared" si="23"/>
        <v>0</v>
      </c>
      <c r="I72" s="178">
        <v>0</v>
      </c>
      <c r="J72" s="80">
        <f t="shared" si="24"/>
        <v>0</v>
      </c>
      <c r="K72" s="178">
        <v>0</v>
      </c>
      <c r="L72" s="80">
        <f t="shared" si="25"/>
        <v>0</v>
      </c>
      <c r="M72" s="178">
        <v>0</v>
      </c>
      <c r="N72" s="80">
        <f t="shared" si="26"/>
        <v>0</v>
      </c>
      <c r="O72" s="178">
        <v>0</v>
      </c>
      <c r="P72" s="80">
        <f t="shared" si="27"/>
        <v>0</v>
      </c>
      <c r="Q72" s="178">
        <v>0</v>
      </c>
      <c r="R72" s="80">
        <f t="shared" si="28"/>
        <v>0</v>
      </c>
      <c r="S72" s="178">
        <v>0</v>
      </c>
      <c r="T72" s="80">
        <f t="shared" si="29"/>
        <v>0</v>
      </c>
      <c r="U72" s="178">
        <v>0</v>
      </c>
      <c r="V72" s="80">
        <f t="shared" si="30"/>
        <v>0</v>
      </c>
      <c r="X72" s="192"/>
    </row>
    <row r="73" spans="1:24" ht="12.75" customHeight="1">
      <c r="A73" s="2" t="s">
        <v>417</v>
      </c>
      <c r="B73" s="35"/>
      <c r="C73" s="178">
        <v>0</v>
      </c>
      <c r="D73" s="80">
        <f t="shared" si="21"/>
        <v>0</v>
      </c>
      <c r="E73" s="178">
        <v>0</v>
      </c>
      <c r="F73" s="80">
        <f t="shared" si="22"/>
        <v>0</v>
      </c>
      <c r="G73" s="178">
        <v>0</v>
      </c>
      <c r="H73" s="80">
        <f t="shared" si="23"/>
        <v>0</v>
      </c>
      <c r="I73" s="178">
        <v>0</v>
      </c>
      <c r="J73" s="80">
        <f t="shared" si="24"/>
        <v>0</v>
      </c>
      <c r="K73" s="178">
        <v>0</v>
      </c>
      <c r="L73" s="80">
        <f t="shared" si="25"/>
        <v>0</v>
      </c>
      <c r="M73" s="178">
        <v>0</v>
      </c>
      <c r="N73" s="80">
        <f t="shared" si="26"/>
        <v>0</v>
      </c>
      <c r="O73" s="178">
        <v>0</v>
      </c>
      <c r="P73" s="80">
        <f t="shared" si="27"/>
        <v>0</v>
      </c>
      <c r="Q73" s="178">
        <v>0</v>
      </c>
      <c r="R73" s="80">
        <f t="shared" si="28"/>
        <v>0</v>
      </c>
      <c r="S73" s="178">
        <v>0</v>
      </c>
      <c r="T73" s="80">
        <f t="shared" si="29"/>
        <v>0</v>
      </c>
      <c r="U73" s="178">
        <v>0</v>
      </c>
      <c r="V73" s="80">
        <f t="shared" si="30"/>
        <v>0</v>
      </c>
      <c r="X73" s="192"/>
    </row>
    <row r="74" spans="1:24" ht="12.75" customHeight="1">
      <c r="A74" s="2" t="s">
        <v>418</v>
      </c>
      <c r="B74" s="35"/>
      <c r="C74" s="178">
        <v>0</v>
      </c>
      <c r="D74" s="80">
        <f t="shared" si="21"/>
        <v>0</v>
      </c>
      <c r="E74" s="178">
        <v>0</v>
      </c>
      <c r="F74" s="80">
        <f t="shared" si="22"/>
        <v>0</v>
      </c>
      <c r="G74" s="178">
        <v>0</v>
      </c>
      <c r="H74" s="80">
        <f t="shared" si="23"/>
        <v>0</v>
      </c>
      <c r="I74" s="178">
        <v>0</v>
      </c>
      <c r="J74" s="80">
        <f t="shared" si="24"/>
        <v>0</v>
      </c>
      <c r="K74" s="178">
        <v>0</v>
      </c>
      <c r="L74" s="80">
        <f t="shared" si="25"/>
        <v>0</v>
      </c>
      <c r="M74" s="178">
        <v>0</v>
      </c>
      <c r="N74" s="80">
        <f t="shared" si="26"/>
        <v>0</v>
      </c>
      <c r="O74" s="178">
        <v>0</v>
      </c>
      <c r="P74" s="80">
        <f t="shared" si="27"/>
        <v>0</v>
      </c>
      <c r="Q74" s="178">
        <v>0</v>
      </c>
      <c r="R74" s="80">
        <f t="shared" si="28"/>
        <v>0</v>
      </c>
      <c r="S74" s="178">
        <v>0</v>
      </c>
      <c r="T74" s="80">
        <f t="shared" si="29"/>
        <v>0</v>
      </c>
      <c r="U74" s="178">
        <v>0</v>
      </c>
      <c r="V74" s="80">
        <f t="shared" si="30"/>
        <v>0</v>
      </c>
      <c r="X74" s="192"/>
    </row>
    <row r="75" spans="1:24" ht="12.75" customHeight="1">
      <c r="A75" s="2" t="s">
        <v>419</v>
      </c>
      <c r="B75" s="35"/>
      <c r="C75" s="178">
        <v>337.5</v>
      </c>
      <c r="D75" s="80">
        <f t="shared" si="21"/>
        <v>4.4999999999999997E-3</v>
      </c>
      <c r="E75" s="178">
        <v>0</v>
      </c>
      <c r="F75" s="80">
        <f t="shared" si="22"/>
        <v>0</v>
      </c>
      <c r="G75" s="178">
        <v>0</v>
      </c>
      <c r="H75" s="80">
        <f t="shared" si="23"/>
        <v>0</v>
      </c>
      <c r="I75" s="178">
        <v>0</v>
      </c>
      <c r="J75" s="80">
        <f t="shared" si="24"/>
        <v>0</v>
      </c>
      <c r="K75" s="178">
        <v>0</v>
      </c>
      <c r="L75" s="80">
        <f t="shared" si="25"/>
        <v>0</v>
      </c>
      <c r="M75" s="178">
        <v>0</v>
      </c>
      <c r="N75" s="80">
        <f t="shared" si="26"/>
        <v>0</v>
      </c>
      <c r="O75" s="178">
        <v>0</v>
      </c>
      <c r="P75" s="80">
        <f t="shared" si="27"/>
        <v>0</v>
      </c>
      <c r="Q75" s="178">
        <v>0</v>
      </c>
      <c r="R75" s="80">
        <f t="shared" si="28"/>
        <v>0</v>
      </c>
      <c r="S75" s="178">
        <v>0</v>
      </c>
      <c r="T75" s="80">
        <f t="shared" si="29"/>
        <v>0</v>
      </c>
      <c r="U75" s="178">
        <v>0</v>
      </c>
      <c r="V75" s="80">
        <f t="shared" si="30"/>
        <v>0</v>
      </c>
      <c r="X75" s="192"/>
    </row>
    <row r="76" spans="1:24" ht="12.75" customHeight="1">
      <c r="A76" s="2" t="s">
        <v>420</v>
      </c>
      <c r="B76" s="35"/>
      <c r="C76" s="178">
        <v>30</v>
      </c>
      <c r="D76" s="80">
        <f t="shared" si="21"/>
        <v>4.0000000000000002E-4</v>
      </c>
      <c r="E76" s="178">
        <v>0</v>
      </c>
      <c r="F76" s="80">
        <f t="shared" si="22"/>
        <v>0</v>
      </c>
      <c r="G76" s="178">
        <v>0</v>
      </c>
      <c r="H76" s="80">
        <f t="shared" si="23"/>
        <v>0</v>
      </c>
      <c r="I76" s="178">
        <v>0</v>
      </c>
      <c r="J76" s="80">
        <f t="shared" si="24"/>
        <v>0</v>
      </c>
      <c r="K76" s="178">
        <v>0</v>
      </c>
      <c r="L76" s="80">
        <f t="shared" si="25"/>
        <v>0</v>
      </c>
      <c r="M76" s="178">
        <v>0</v>
      </c>
      <c r="N76" s="80">
        <f t="shared" si="26"/>
        <v>0</v>
      </c>
      <c r="O76" s="178">
        <v>0</v>
      </c>
      <c r="P76" s="80">
        <f t="shared" si="27"/>
        <v>0</v>
      </c>
      <c r="Q76" s="178">
        <v>0</v>
      </c>
      <c r="R76" s="80">
        <f t="shared" si="28"/>
        <v>0</v>
      </c>
      <c r="S76" s="178">
        <v>0</v>
      </c>
      <c r="T76" s="80">
        <f t="shared" si="29"/>
        <v>0</v>
      </c>
      <c r="U76" s="178">
        <v>0</v>
      </c>
      <c r="V76" s="80">
        <f t="shared" si="30"/>
        <v>0</v>
      </c>
      <c r="X76" s="192"/>
    </row>
    <row r="77" spans="1:24" ht="12.75" customHeight="1">
      <c r="A77" s="2" t="s">
        <v>421</v>
      </c>
      <c r="B77" s="35"/>
      <c r="C77" s="178">
        <v>97.5</v>
      </c>
      <c r="D77" s="80">
        <f t="shared" si="21"/>
        <v>1.2999999999999999E-3</v>
      </c>
      <c r="E77" s="178">
        <v>0</v>
      </c>
      <c r="F77" s="80">
        <f t="shared" si="22"/>
        <v>0</v>
      </c>
      <c r="G77" s="178">
        <v>0</v>
      </c>
      <c r="H77" s="80">
        <f t="shared" si="23"/>
        <v>0</v>
      </c>
      <c r="I77" s="178">
        <v>0</v>
      </c>
      <c r="J77" s="80">
        <f t="shared" si="24"/>
        <v>0</v>
      </c>
      <c r="K77" s="178">
        <v>0</v>
      </c>
      <c r="L77" s="80">
        <f t="shared" si="25"/>
        <v>0</v>
      </c>
      <c r="M77" s="178">
        <v>0</v>
      </c>
      <c r="N77" s="80">
        <f t="shared" si="26"/>
        <v>0</v>
      </c>
      <c r="O77" s="178">
        <v>0</v>
      </c>
      <c r="P77" s="80">
        <f t="shared" si="27"/>
        <v>0</v>
      </c>
      <c r="Q77" s="178">
        <v>0</v>
      </c>
      <c r="R77" s="80">
        <f t="shared" si="28"/>
        <v>0</v>
      </c>
      <c r="S77" s="178">
        <v>0</v>
      </c>
      <c r="T77" s="80">
        <f t="shared" si="29"/>
        <v>0</v>
      </c>
      <c r="U77" s="178">
        <v>0</v>
      </c>
      <c r="V77" s="80">
        <f t="shared" si="30"/>
        <v>0</v>
      </c>
      <c r="X77" s="192"/>
    </row>
    <row r="78" spans="1:24" ht="12.75" customHeight="1">
      <c r="A78" s="2" t="s">
        <v>422</v>
      </c>
      <c r="B78" s="35"/>
      <c r="C78" s="178">
        <v>1649.9999999999998</v>
      </c>
      <c r="D78" s="80">
        <f t="shared" si="21"/>
        <v>2.1999999999999995E-2</v>
      </c>
      <c r="E78" s="178">
        <v>0</v>
      </c>
      <c r="F78" s="80">
        <f t="shared" si="22"/>
        <v>0</v>
      </c>
      <c r="G78" s="178">
        <v>0</v>
      </c>
      <c r="H78" s="80">
        <f t="shared" si="23"/>
        <v>0</v>
      </c>
      <c r="I78" s="178">
        <v>0</v>
      </c>
      <c r="J78" s="80">
        <f t="shared" si="24"/>
        <v>0</v>
      </c>
      <c r="K78" s="178">
        <v>0</v>
      </c>
      <c r="L78" s="80">
        <f t="shared" si="25"/>
        <v>0</v>
      </c>
      <c r="M78" s="178">
        <v>0</v>
      </c>
      <c r="N78" s="80">
        <f t="shared" si="26"/>
        <v>0</v>
      </c>
      <c r="O78" s="178">
        <v>0</v>
      </c>
      <c r="P78" s="80">
        <f t="shared" si="27"/>
        <v>0</v>
      </c>
      <c r="Q78" s="178">
        <v>0</v>
      </c>
      <c r="R78" s="80">
        <f t="shared" si="28"/>
        <v>0</v>
      </c>
      <c r="S78" s="178">
        <v>0</v>
      </c>
      <c r="T78" s="80">
        <f t="shared" si="29"/>
        <v>0</v>
      </c>
      <c r="U78" s="178">
        <v>0</v>
      </c>
      <c r="V78" s="80">
        <f t="shared" si="30"/>
        <v>0</v>
      </c>
      <c r="X78" s="192"/>
    </row>
    <row r="79" spans="1:24" ht="12.75" customHeight="1">
      <c r="A79" s="2" t="s">
        <v>423</v>
      </c>
      <c r="B79" s="35"/>
      <c r="C79" s="178">
        <v>0</v>
      </c>
      <c r="D79" s="80">
        <f t="shared" si="21"/>
        <v>0</v>
      </c>
      <c r="E79" s="178">
        <v>0</v>
      </c>
      <c r="F79" s="80">
        <f t="shared" si="22"/>
        <v>0</v>
      </c>
      <c r="G79" s="178">
        <v>0</v>
      </c>
      <c r="H79" s="80">
        <f t="shared" si="23"/>
        <v>0</v>
      </c>
      <c r="I79" s="178">
        <v>0</v>
      </c>
      <c r="J79" s="80">
        <f t="shared" si="24"/>
        <v>0</v>
      </c>
      <c r="K79" s="178">
        <v>0</v>
      </c>
      <c r="L79" s="80">
        <f t="shared" si="25"/>
        <v>0</v>
      </c>
      <c r="M79" s="178">
        <v>0</v>
      </c>
      <c r="N79" s="80">
        <f t="shared" si="26"/>
        <v>0</v>
      </c>
      <c r="O79" s="178">
        <v>0</v>
      </c>
      <c r="P79" s="80">
        <f t="shared" si="27"/>
        <v>0</v>
      </c>
      <c r="Q79" s="178">
        <v>0</v>
      </c>
      <c r="R79" s="80">
        <f t="shared" si="28"/>
        <v>0</v>
      </c>
      <c r="S79" s="178">
        <v>0</v>
      </c>
      <c r="T79" s="80">
        <f t="shared" si="29"/>
        <v>0</v>
      </c>
      <c r="U79" s="178">
        <v>0</v>
      </c>
      <c r="V79" s="80">
        <f t="shared" si="30"/>
        <v>0</v>
      </c>
      <c r="X79" s="192"/>
    </row>
    <row r="80" spans="1:24" ht="12.75" customHeight="1">
      <c r="A80" s="2" t="s">
        <v>424</v>
      </c>
      <c r="B80" s="35"/>
      <c r="C80" s="178">
        <v>0</v>
      </c>
      <c r="D80" s="80">
        <f t="shared" si="21"/>
        <v>0</v>
      </c>
      <c r="E80" s="178">
        <v>0</v>
      </c>
      <c r="F80" s="80">
        <f t="shared" si="22"/>
        <v>0</v>
      </c>
      <c r="G80" s="178">
        <v>0</v>
      </c>
      <c r="H80" s="80">
        <f t="shared" si="23"/>
        <v>0</v>
      </c>
      <c r="I80" s="178">
        <v>0</v>
      </c>
      <c r="J80" s="80">
        <f t="shared" si="24"/>
        <v>0</v>
      </c>
      <c r="K80" s="178">
        <v>0</v>
      </c>
      <c r="L80" s="80">
        <f t="shared" si="25"/>
        <v>0</v>
      </c>
      <c r="M80" s="178">
        <v>0</v>
      </c>
      <c r="N80" s="80">
        <f t="shared" si="26"/>
        <v>0</v>
      </c>
      <c r="O80" s="178">
        <v>0</v>
      </c>
      <c r="P80" s="80">
        <f t="shared" si="27"/>
        <v>0</v>
      </c>
      <c r="Q80" s="178">
        <v>0</v>
      </c>
      <c r="R80" s="80">
        <f t="shared" si="28"/>
        <v>0</v>
      </c>
      <c r="S80" s="178">
        <v>0</v>
      </c>
      <c r="T80" s="80">
        <f t="shared" si="29"/>
        <v>0</v>
      </c>
      <c r="U80" s="178">
        <v>0</v>
      </c>
      <c r="V80" s="80">
        <f t="shared" si="30"/>
        <v>0</v>
      </c>
      <c r="X80" s="192"/>
    </row>
    <row r="81" spans="1:24" ht="12.75" customHeight="1">
      <c r="A81" s="2" t="s">
        <v>425</v>
      </c>
      <c r="B81" s="35"/>
      <c r="C81" s="178">
        <v>0</v>
      </c>
      <c r="D81" s="80">
        <f t="shared" si="21"/>
        <v>0</v>
      </c>
      <c r="E81" s="178">
        <v>0</v>
      </c>
      <c r="F81" s="80">
        <f t="shared" si="22"/>
        <v>0</v>
      </c>
      <c r="G81" s="178">
        <v>0</v>
      </c>
      <c r="H81" s="80">
        <f t="shared" si="23"/>
        <v>0</v>
      </c>
      <c r="I81" s="178">
        <v>0</v>
      </c>
      <c r="J81" s="80">
        <f t="shared" si="24"/>
        <v>0</v>
      </c>
      <c r="K81" s="178">
        <v>0</v>
      </c>
      <c r="L81" s="80">
        <f t="shared" si="25"/>
        <v>0</v>
      </c>
      <c r="M81" s="178">
        <v>0</v>
      </c>
      <c r="N81" s="80">
        <f t="shared" si="26"/>
        <v>0</v>
      </c>
      <c r="O81" s="178">
        <v>0</v>
      </c>
      <c r="P81" s="80">
        <f t="shared" si="27"/>
        <v>0</v>
      </c>
      <c r="Q81" s="178">
        <v>0</v>
      </c>
      <c r="R81" s="80">
        <f t="shared" si="28"/>
        <v>0</v>
      </c>
      <c r="S81" s="178">
        <v>0</v>
      </c>
      <c r="T81" s="80">
        <f t="shared" si="29"/>
        <v>0</v>
      </c>
      <c r="U81" s="178">
        <v>0</v>
      </c>
      <c r="V81" s="80">
        <f t="shared" si="30"/>
        <v>0</v>
      </c>
      <c r="X81" s="192"/>
    </row>
    <row r="82" spans="1:24" ht="12.75" customHeight="1">
      <c r="A82" s="2" t="s">
        <v>426</v>
      </c>
      <c r="B82" s="35"/>
      <c r="C82" s="178">
        <v>0</v>
      </c>
      <c r="D82" s="80">
        <f t="shared" si="21"/>
        <v>0</v>
      </c>
      <c r="E82" s="178">
        <v>0</v>
      </c>
      <c r="F82" s="80">
        <f t="shared" si="22"/>
        <v>0</v>
      </c>
      <c r="G82" s="178">
        <v>0</v>
      </c>
      <c r="H82" s="80">
        <f t="shared" si="23"/>
        <v>0</v>
      </c>
      <c r="I82" s="178">
        <v>0</v>
      </c>
      <c r="J82" s="80">
        <f t="shared" si="24"/>
        <v>0</v>
      </c>
      <c r="K82" s="178">
        <v>0</v>
      </c>
      <c r="L82" s="80">
        <f t="shared" si="25"/>
        <v>0</v>
      </c>
      <c r="M82" s="178">
        <v>0</v>
      </c>
      <c r="N82" s="80">
        <f t="shared" si="26"/>
        <v>0</v>
      </c>
      <c r="O82" s="178">
        <v>0</v>
      </c>
      <c r="P82" s="80">
        <f t="shared" si="27"/>
        <v>0</v>
      </c>
      <c r="Q82" s="178">
        <v>0</v>
      </c>
      <c r="R82" s="80">
        <f t="shared" si="28"/>
        <v>0</v>
      </c>
      <c r="S82" s="178">
        <v>0</v>
      </c>
      <c r="T82" s="80">
        <f t="shared" si="29"/>
        <v>0</v>
      </c>
      <c r="U82" s="178">
        <v>0</v>
      </c>
      <c r="V82" s="80">
        <f t="shared" si="30"/>
        <v>0</v>
      </c>
      <c r="X82" s="192"/>
    </row>
    <row r="83" spans="1:24" ht="12.75" customHeight="1">
      <c r="A83" s="2" t="s">
        <v>427</v>
      </c>
      <c r="B83" s="35"/>
      <c r="C83" s="178">
        <v>0</v>
      </c>
      <c r="D83" s="80">
        <f t="shared" si="21"/>
        <v>0</v>
      </c>
      <c r="E83" s="178">
        <v>0</v>
      </c>
      <c r="F83" s="80">
        <f t="shared" si="22"/>
        <v>0</v>
      </c>
      <c r="G83" s="178">
        <v>0</v>
      </c>
      <c r="H83" s="80">
        <f t="shared" si="23"/>
        <v>0</v>
      </c>
      <c r="I83" s="178">
        <v>0</v>
      </c>
      <c r="J83" s="80">
        <f t="shared" si="24"/>
        <v>0</v>
      </c>
      <c r="K83" s="178">
        <v>0</v>
      </c>
      <c r="L83" s="80">
        <f t="shared" si="25"/>
        <v>0</v>
      </c>
      <c r="M83" s="178">
        <v>0</v>
      </c>
      <c r="N83" s="80">
        <f t="shared" si="26"/>
        <v>0</v>
      </c>
      <c r="O83" s="178">
        <v>0</v>
      </c>
      <c r="P83" s="80">
        <f t="shared" si="27"/>
        <v>0</v>
      </c>
      <c r="Q83" s="178">
        <v>0</v>
      </c>
      <c r="R83" s="80">
        <f t="shared" si="28"/>
        <v>0</v>
      </c>
      <c r="S83" s="178">
        <v>0</v>
      </c>
      <c r="T83" s="80">
        <f t="shared" si="29"/>
        <v>0</v>
      </c>
      <c r="U83" s="178">
        <v>0</v>
      </c>
      <c r="V83" s="80">
        <f t="shared" si="30"/>
        <v>0</v>
      </c>
      <c r="X83" s="192"/>
    </row>
    <row r="84" spans="1:24" ht="12.75" customHeight="1">
      <c r="A84" s="2" t="s">
        <v>428</v>
      </c>
      <c r="B84" s="35"/>
      <c r="C84" s="178">
        <v>0</v>
      </c>
      <c r="D84" s="80">
        <f t="shared" si="21"/>
        <v>0</v>
      </c>
      <c r="E84" s="178">
        <v>0</v>
      </c>
      <c r="F84" s="80">
        <f t="shared" si="22"/>
        <v>0</v>
      </c>
      <c r="G84" s="178">
        <v>0</v>
      </c>
      <c r="H84" s="80">
        <f t="shared" si="23"/>
        <v>0</v>
      </c>
      <c r="I84" s="178">
        <v>0</v>
      </c>
      <c r="J84" s="80">
        <f t="shared" si="24"/>
        <v>0</v>
      </c>
      <c r="K84" s="178">
        <v>0</v>
      </c>
      <c r="L84" s="80">
        <f t="shared" si="25"/>
        <v>0</v>
      </c>
      <c r="M84" s="178">
        <v>0</v>
      </c>
      <c r="N84" s="80">
        <f t="shared" si="26"/>
        <v>0</v>
      </c>
      <c r="O84" s="178">
        <v>0</v>
      </c>
      <c r="P84" s="80">
        <f t="shared" si="27"/>
        <v>0</v>
      </c>
      <c r="Q84" s="178">
        <v>0</v>
      </c>
      <c r="R84" s="80">
        <f t="shared" si="28"/>
        <v>0</v>
      </c>
      <c r="S84" s="178">
        <v>0</v>
      </c>
      <c r="T84" s="80">
        <f t="shared" si="29"/>
        <v>0</v>
      </c>
      <c r="U84" s="178">
        <v>0</v>
      </c>
      <c r="V84" s="80">
        <f t="shared" si="30"/>
        <v>0</v>
      </c>
      <c r="X84" s="192"/>
    </row>
    <row r="85" spans="1:24" ht="12.75" customHeight="1">
      <c r="A85" s="2" t="s">
        <v>429</v>
      </c>
      <c r="B85" s="35"/>
      <c r="C85" s="178">
        <v>0</v>
      </c>
      <c r="D85" s="80">
        <f t="shared" si="21"/>
        <v>0</v>
      </c>
      <c r="E85" s="178">
        <v>0</v>
      </c>
      <c r="F85" s="80">
        <f t="shared" si="22"/>
        <v>0</v>
      </c>
      <c r="G85" s="178">
        <v>0</v>
      </c>
      <c r="H85" s="80">
        <f t="shared" si="23"/>
        <v>0</v>
      </c>
      <c r="I85" s="178">
        <v>0</v>
      </c>
      <c r="J85" s="80">
        <f t="shared" si="24"/>
        <v>0</v>
      </c>
      <c r="K85" s="178">
        <v>0</v>
      </c>
      <c r="L85" s="80">
        <f t="shared" si="25"/>
        <v>0</v>
      </c>
      <c r="M85" s="178">
        <v>0</v>
      </c>
      <c r="N85" s="80">
        <f t="shared" si="26"/>
        <v>0</v>
      </c>
      <c r="O85" s="178">
        <v>0</v>
      </c>
      <c r="P85" s="80">
        <f t="shared" si="27"/>
        <v>0</v>
      </c>
      <c r="Q85" s="178">
        <v>0</v>
      </c>
      <c r="R85" s="80">
        <f t="shared" si="28"/>
        <v>0</v>
      </c>
      <c r="S85" s="178">
        <v>0</v>
      </c>
      <c r="T85" s="80">
        <f t="shared" si="29"/>
        <v>0</v>
      </c>
      <c r="U85" s="178">
        <v>0</v>
      </c>
      <c r="V85" s="80">
        <f t="shared" si="30"/>
        <v>0</v>
      </c>
      <c r="X85" s="192"/>
    </row>
    <row r="86" spans="1:24" ht="12.75" customHeight="1">
      <c r="A86" s="2" t="s">
        <v>430</v>
      </c>
      <c r="B86" s="35"/>
      <c r="C86" s="178">
        <v>300</v>
      </c>
      <c r="D86" s="80">
        <f t="shared" si="21"/>
        <v>4.0000000000000001E-3</v>
      </c>
      <c r="E86" s="178">
        <v>0</v>
      </c>
      <c r="F86" s="80">
        <f t="shared" si="22"/>
        <v>0</v>
      </c>
      <c r="G86" s="178">
        <v>0</v>
      </c>
      <c r="H86" s="80">
        <f t="shared" si="23"/>
        <v>0</v>
      </c>
      <c r="I86" s="178">
        <v>0</v>
      </c>
      <c r="J86" s="80">
        <f t="shared" si="24"/>
        <v>0</v>
      </c>
      <c r="K86" s="178">
        <v>0</v>
      </c>
      <c r="L86" s="80">
        <f t="shared" si="25"/>
        <v>0</v>
      </c>
      <c r="M86" s="178">
        <v>0</v>
      </c>
      <c r="N86" s="80">
        <f t="shared" si="26"/>
        <v>0</v>
      </c>
      <c r="O86" s="178">
        <v>0</v>
      </c>
      <c r="P86" s="80">
        <f t="shared" si="27"/>
        <v>0</v>
      </c>
      <c r="Q86" s="178">
        <v>0</v>
      </c>
      <c r="R86" s="80">
        <f t="shared" si="28"/>
        <v>0</v>
      </c>
      <c r="S86" s="178">
        <v>0</v>
      </c>
      <c r="T86" s="80">
        <f t="shared" si="29"/>
        <v>0</v>
      </c>
      <c r="U86" s="178">
        <v>0</v>
      </c>
      <c r="V86" s="80">
        <f t="shared" si="30"/>
        <v>0</v>
      </c>
      <c r="X86" s="192"/>
    </row>
    <row r="87" spans="1:24" ht="12.75" customHeight="1">
      <c r="A87" s="2" t="s">
        <v>431</v>
      </c>
      <c r="B87" s="35"/>
      <c r="C87" s="178">
        <v>0</v>
      </c>
      <c r="D87" s="80">
        <f t="shared" si="21"/>
        <v>0</v>
      </c>
      <c r="E87" s="178">
        <v>0</v>
      </c>
      <c r="F87" s="80">
        <f t="shared" si="22"/>
        <v>0</v>
      </c>
      <c r="G87" s="178">
        <v>0</v>
      </c>
      <c r="H87" s="80">
        <f t="shared" si="23"/>
        <v>0</v>
      </c>
      <c r="I87" s="178">
        <v>0</v>
      </c>
      <c r="J87" s="80">
        <f t="shared" si="24"/>
        <v>0</v>
      </c>
      <c r="K87" s="178">
        <v>0</v>
      </c>
      <c r="L87" s="80">
        <f t="shared" si="25"/>
        <v>0</v>
      </c>
      <c r="M87" s="178">
        <v>0</v>
      </c>
      <c r="N87" s="80">
        <f t="shared" si="26"/>
        <v>0</v>
      </c>
      <c r="O87" s="178">
        <v>0</v>
      </c>
      <c r="P87" s="80">
        <f t="shared" si="27"/>
        <v>0</v>
      </c>
      <c r="Q87" s="178">
        <v>0</v>
      </c>
      <c r="R87" s="80">
        <f t="shared" si="28"/>
        <v>0</v>
      </c>
      <c r="S87" s="178">
        <v>0</v>
      </c>
      <c r="T87" s="80">
        <f t="shared" si="29"/>
        <v>0</v>
      </c>
      <c r="U87" s="178">
        <v>0</v>
      </c>
      <c r="V87" s="80">
        <f t="shared" si="30"/>
        <v>0</v>
      </c>
      <c r="X87" s="192"/>
    </row>
    <row r="88" spans="1:24" ht="12.75" customHeight="1">
      <c r="A88" s="2" t="s">
        <v>432</v>
      </c>
      <c r="B88" s="35"/>
      <c r="C88" s="178">
        <v>382.5</v>
      </c>
      <c r="D88" s="80">
        <f t="shared" si="21"/>
        <v>5.1000000000000004E-3</v>
      </c>
      <c r="E88" s="178">
        <v>0</v>
      </c>
      <c r="F88" s="80">
        <f t="shared" si="22"/>
        <v>0</v>
      </c>
      <c r="G88" s="178">
        <v>0</v>
      </c>
      <c r="H88" s="80">
        <f t="shared" si="23"/>
        <v>0</v>
      </c>
      <c r="I88" s="178">
        <v>0</v>
      </c>
      <c r="J88" s="80">
        <f t="shared" si="24"/>
        <v>0</v>
      </c>
      <c r="K88" s="178">
        <v>0</v>
      </c>
      <c r="L88" s="80">
        <f t="shared" si="25"/>
        <v>0</v>
      </c>
      <c r="M88" s="178">
        <v>0</v>
      </c>
      <c r="N88" s="80">
        <f t="shared" si="26"/>
        <v>0</v>
      </c>
      <c r="O88" s="178">
        <v>0</v>
      </c>
      <c r="P88" s="80">
        <f t="shared" si="27"/>
        <v>0</v>
      </c>
      <c r="Q88" s="178">
        <v>0</v>
      </c>
      <c r="R88" s="80">
        <f t="shared" si="28"/>
        <v>0</v>
      </c>
      <c r="S88" s="178">
        <v>0</v>
      </c>
      <c r="T88" s="80">
        <f t="shared" si="29"/>
        <v>0</v>
      </c>
      <c r="U88" s="178">
        <v>0</v>
      </c>
      <c r="V88" s="80">
        <f t="shared" si="30"/>
        <v>0</v>
      </c>
      <c r="X88" s="192"/>
    </row>
    <row r="89" spans="1:24" ht="12.75" customHeight="1">
      <c r="A89" s="2" t="s">
        <v>433</v>
      </c>
      <c r="B89" s="35"/>
      <c r="C89" s="178">
        <v>0</v>
      </c>
      <c r="D89" s="80">
        <f t="shared" si="21"/>
        <v>0</v>
      </c>
      <c r="E89" s="178">
        <v>0</v>
      </c>
      <c r="F89" s="80">
        <f t="shared" si="22"/>
        <v>0</v>
      </c>
      <c r="G89" s="178">
        <v>0</v>
      </c>
      <c r="H89" s="80">
        <f t="shared" si="23"/>
        <v>0</v>
      </c>
      <c r="I89" s="178">
        <v>0</v>
      </c>
      <c r="J89" s="80">
        <f t="shared" si="24"/>
        <v>0</v>
      </c>
      <c r="K89" s="178">
        <v>0</v>
      </c>
      <c r="L89" s="80">
        <f t="shared" si="25"/>
        <v>0</v>
      </c>
      <c r="M89" s="178">
        <v>0</v>
      </c>
      <c r="N89" s="80">
        <f t="shared" si="26"/>
        <v>0</v>
      </c>
      <c r="O89" s="178">
        <v>0</v>
      </c>
      <c r="P89" s="80">
        <f t="shared" si="27"/>
        <v>0</v>
      </c>
      <c r="Q89" s="178">
        <v>0</v>
      </c>
      <c r="R89" s="80">
        <f t="shared" si="28"/>
        <v>0</v>
      </c>
      <c r="S89" s="178">
        <v>0</v>
      </c>
      <c r="T89" s="80">
        <f t="shared" si="29"/>
        <v>0</v>
      </c>
      <c r="U89" s="178">
        <v>0</v>
      </c>
      <c r="V89" s="80">
        <f t="shared" si="30"/>
        <v>0</v>
      </c>
      <c r="X89" s="192"/>
    </row>
    <row r="90" spans="1:24" ht="12.75" customHeight="1">
      <c r="A90" s="2" t="s">
        <v>434</v>
      </c>
      <c r="B90" s="35"/>
      <c r="C90" s="178">
        <v>15</v>
      </c>
      <c r="D90" s="80">
        <f t="shared" si="21"/>
        <v>2.0000000000000001E-4</v>
      </c>
      <c r="E90" s="178">
        <v>0</v>
      </c>
      <c r="F90" s="80">
        <f t="shared" si="22"/>
        <v>0</v>
      </c>
      <c r="G90" s="178">
        <v>0</v>
      </c>
      <c r="H90" s="80">
        <f t="shared" si="23"/>
        <v>0</v>
      </c>
      <c r="I90" s="178">
        <v>0</v>
      </c>
      <c r="J90" s="80">
        <f t="shared" si="24"/>
        <v>0</v>
      </c>
      <c r="K90" s="178">
        <v>0</v>
      </c>
      <c r="L90" s="80">
        <f t="shared" si="25"/>
        <v>0</v>
      </c>
      <c r="M90" s="178">
        <v>0</v>
      </c>
      <c r="N90" s="80">
        <f t="shared" si="26"/>
        <v>0</v>
      </c>
      <c r="O90" s="178">
        <v>0</v>
      </c>
      <c r="P90" s="80">
        <f t="shared" si="27"/>
        <v>0</v>
      </c>
      <c r="Q90" s="178">
        <v>0</v>
      </c>
      <c r="R90" s="80">
        <f t="shared" si="28"/>
        <v>0</v>
      </c>
      <c r="S90" s="178">
        <v>0</v>
      </c>
      <c r="T90" s="80">
        <f t="shared" si="29"/>
        <v>0</v>
      </c>
      <c r="U90" s="178">
        <v>0</v>
      </c>
      <c r="V90" s="80">
        <f t="shared" si="30"/>
        <v>0</v>
      </c>
      <c r="X90" s="192"/>
    </row>
    <row r="91" spans="1:24" ht="12.75" customHeight="1">
      <c r="A91" s="2" t="s">
        <v>435</v>
      </c>
      <c r="C91" s="178">
        <v>0</v>
      </c>
      <c r="D91" s="80">
        <f t="shared" si="21"/>
        <v>0</v>
      </c>
      <c r="E91" s="178">
        <v>0</v>
      </c>
      <c r="F91" s="80">
        <f t="shared" si="22"/>
        <v>0</v>
      </c>
      <c r="G91" s="178">
        <v>0</v>
      </c>
      <c r="H91" s="80">
        <f t="shared" si="23"/>
        <v>0</v>
      </c>
      <c r="I91" s="178">
        <v>0</v>
      </c>
      <c r="J91" s="80">
        <f t="shared" si="24"/>
        <v>0</v>
      </c>
      <c r="K91" s="178">
        <v>0</v>
      </c>
      <c r="L91" s="80">
        <f t="shared" si="25"/>
        <v>0</v>
      </c>
      <c r="M91" s="178">
        <v>0</v>
      </c>
      <c r="N91" s="80">
        <f t="shared" si="26"/>
        <v>0</v>
      </c>
      <c r="O91" s="178">
        <v>0</v>
      </c>
      <c r="P91" s="80">
        <f t="shared" si="27"/>
        <v>0</v>
      </c>
      <c r="Q91" s="178">
        <v>0</v>
      </c>
      <c r="R91" s="80">
        <f t="shared" si="28"/>
        <v>0</v>
      </c>
      <c r="S91" s="178">
        <v>0</v>
      </c>
      <c r="T91" s="80">
        <f t="shared" si="29"/>
        <v>0</v>
      </c>
      <c r="U91" s="178">
        <v>0</v>
      </c>
      <c r="V91" s="80">
        <f t="shared" si="30"/>
        <v>0</v>
      </c>
      <c r="X91" s="192"/>
    </row>
    <row r="92" spans="1:24" ht="12.75" customHeight="1">
      <c r="A92" s="2" t="s">
        <v>436</v>
      </c>
      <c r="B92" s="35"/>
      <c r="C92" s="178">
        <v>390</v>
      </c>
      <c r="D92" s="80">
        <f t="shared" si="21"/>
        <v>5.1999999999999998E-3</v>
      </c>
      <c r="E92" s="178">
        <v>0</v>
      </c>
      <c r="F92" s="80">
        <f t="shared" si="22"/>
        <v>0</v>
      </c>
      <c r="G92" s="178">
        <v>0</v>
      </c>
      <c r="H92" s="80">
        <f t="shared" si="23"/>
        <v>0</v>
      </c>
      <c r="I92" s="178">
        <v>0</v>
      </c>
      <c r="J92" s="80">
        <f t="shared" si="24"/>
        <v>0</v>
      </c>
      <c r="K92" s="178">
        <v>0</v>
      </c>
      <c r="L92" s="80">
        <f t="shared" si="25"/>
        <v>0</v>
      </c>
      <c r="M92" s="178">
        <v>0</v>
      </c>
      <c r="N92" s="80">
        <f t="shared" si="26"/>
        <v>0</v>
      </c>
      <c r="O92" s="178">
        <v>0</v>
      </c>
      <c r="P92" s="80">
        <f t="shared" si="27"/>
        <v>0</v>
      </c>
      <c r="Q92" s="178">
        <v>0</v>
      </c>
      <c r="R92" s="80">
        <f t="shared" si="28"/>
        <v>0</v>
      </c>
      <c r="S92" s="178">
        <v>0</v>
      </c>
      <c r="T92" s="80">
        <f t="shared" si="29"/>
        <v>0</v>
      </c>
      <c r="U92" s="178">
        <v>0</v>
      </c>
      <c r="V92" s="80">
        <f t="shared" si="30"/>
        <v>0</v>
      </c>
      <c r="X92" s="192"/>
    </row>
    <row r="93" spans="1:24" ht="12.75" customHeight="1">
      <c r="A93" s="2" t="s">
        <v>437</v>
      </c>
      <c r="B93" s="35"/>
      <c r="C93" s="178">
        <v>0</v>
      </c>
      <c r="D93" s="80">
        <f t="shared" si="21"/>
        <v>0</v>
      </c>
      <c r="E93" s="178">
        <v>0</v>
      </c>
      <c r="F93" s="80">
        <f t="shared" si="22"/>
        <v>0</v>
      </c>
      <c r="G93" s="178">
        <v>0</v>
      </c>
      <c r="H93" s="80">
        <f t="shared" si="23"/>
        <v>0</v>
      </c>
      <c r="I93" s="178">
        <v>0</v>
      </c>
      <c r="J93" s="80">
        <f t="shared" si="24"/>
        <v>0</v>
      </c>
      <c r="K93" s="178">
        <v>0</v>
      </c>
      <c r="L93" s="80">
        <f t="shared" si="25"/>
        <v>0</v>
      </c>
      <c r="M93" s="178">
        <v>0</v>
      </c>
      <c r="N93" s="80">
        <f t="shared" si="26"/>
        <v>0</v>
      </c>
      <c r="O93" s="178">
        <v>0</v>
      </c>
      <c r="P93" s="80">
        <f t="shared" si="27"/>
        <v>0</v>
      </c>
      <c r="Q93" s="178">
        <v>0</v>
      </c>
      <c r="R93" s="80">
        <f t="shared" si="28"/>
        <v>0</v>
      </c>
      <c r="S93" s="178">
        <v>0</v>
      </c>
      <c r="T93" s="80">
        <f t="shared" si="29"/>
        <v>0</v>
      </c>
      <c r="U93" s="178">
        <v>0</v>
      </c>
      <c r="V93" s="80">
        <f t="shared" si="30"/>
        <v>0</v>
      </c>
      <c r="X93" s="192"/>
    </row>
    <row r="94" spans="1:24" ht="12.75" customHeight="1">
      <c r="A94" s="2" t="s">
        <v>438</v>
      </c>
      <c r="B94" s="35"/>
      <c r="C94" s="178">
        <v>0</v>
      </c>
      <c r="D94" s="80">
        <f t="shared" si="21"/>
        <v>0</v>
      </c>
      <c r="E94" s="178">
        <v>0</v>
      </c>
      <c r="F94" s="80">
        <f t="shared" si="22"/>
        <v>0</v>
      </c>
      <c r="G94" s="178">
        <v>0</v>
      </c>
      <c r="H94" s="80">
        <f t="shared" si="23"/>
        <v>0</v>
      </c>
      <c r="I94" s="178">
        <v>0</v>
      </c>
      <c r="J94" s="80">
        <f t="shared" si="24"/>
        <v>0</v>
      </c>
      <c r="K94" s="178">
        <v>0</v>
      </c>
      <c r="L94" s="80">
        <f t="shared" si="25"/>
        <v>0</v>
      </c>
      <c r="M94" s="178">
        <v>0</v>
      </c>
      <c r="N94" s="80">
        <f t="shared" si="26"/>
        <v>0</v>
      </c>
      <c r="O94" s="178">
        <v>0</v>
      </c>
      <c r="P94" s="80">
        <f t="shared" si="27"/>
        <v>0</v>
      </c>
      <c r="Q94" s="178">
        <v>0</v>
      </c>
      <c r="R94" s="80">
        <f t="shared" si="28"/>
        <v>0</v>
      </c>
      <c r="S94" s="178">
        <v>0</v>
      </c>
      <c r="T94" s="80">
        <f t="shared" si="29"/>
        <v>0</v>
      </c>
      <c r="U94" s="178">
        <v>0</v>
      </c>
      <c r="V94" s="80">
        <f t="shared" si="30"/>
        <v>0</v>
      </c>
      <c r="X94" s="192"/>
    </row>
    <row r="95" spans="1:24" ht="12.75" customHeight="1">
      <c r="A95" s="2" t="s">
        <v>439</v>
      </c>
      <c r="B95" s="35"/>
      <c r="C95" s="178">
        <v>0</v>
      </c>
      <c r="D95" s="80">
        <f t="shared" si="21"/>
        <v>0</v>
      </c>
      <c r="E95" s="178">
        <v>0</v>
      </c>
      <c r="F95" s="80">
        <f t="shared" si="22"/>
        <v>0</v>
      </c>
      <c r="G95" s="178">
        <v>0</v>
      </c>
      <c r="H95" s="80">
        <f t="shared" si="23"/>
        <v>0</v>
      </c>
      <c r="I95" s="178">
        <v>0</v>
      </c>
      <c r="J95" s="80">
        <f t="shared" si="24"/>
        <v>0</v>
      </c>
      <c r="K95" s="178">
        <v>0</v>
      </c>
      <c r="L95" s="80">
        <f t="shared" si="25"/>
        <v>0</v>
      </c>
      <c r="M95" s="178">
        <v>0</v>
      </c>
      <c r="N95" s="80">
        <f t="shared" si="26"/>
        <v>0</v>
      </c>
      <c r="O95" s="178">
        <v>0</v>
      </c>
      <c r="P95" s="80">
        <f t="shared" si="27"/>
        <v>0</v>
      </c>
      <c r="Q95" s="178">
        <v>0</v>
      </c>
      <c r="R95" s="80">
        <f t="shared" si="28"/>
        <v>0</v>
      </c>
      <c r="S95" s="178">
        <v>0</v>
      </c>
      <c r="T95" s="80">
        <f t="shared" si="29"/>
        <v>0</v>
      </c>
      <c r="U95" s="178">
        <v>0</v>
      </c>
      <c r="V95" s="80">
        <f t="shared" si="30"/>
        <v>0</v>
      </c>
      <c r="X95" s="192"/>
    </row>
    <row r="96" spans="1:24" ht="12.75" customHeight="1">
      <c r="A96" s="2" t="s">
        <v>440</v>
      </c>
      <c r="B96" s="35"/>
      <c r="C96" s="178">
        <v>0</v>
      </c>
      <c r="D96" s="80">
        <f t="shared" si="21"/>
        <v>0</v>
      </c>
      <c r="E96" s="178">
        <v>0</v>
      </c>
      <c r="F96" s="80">
        <f t="shared" si="22"/>
        <v>0</v>
      </c>
      <c r="G96" s="178">
        <v>0</v>
      </c>
      <c r="H96" s="80">
        <f t="shared" si="23"/>
        <v>0</v>
      </c>
      <c r="I96" s="178">
        <v>0</v>
      </c>
      <c r="J96" s="80">
        <f t="shared" si="24"/>
        <v>0</v>
      </c>
      <c r="K96" s="178">
        <v>0</v>
      </c>
      <c r="L96" s="80">
        <f t="shared" si="25"/>
        <v>0</v>
      </c>
      <c r="M96" s="178">
        <v>0</v>
      </c>
      <c r="N96" s="80">
        <f t="shared" si="26"/>
        <v>0</v>
      </c>
      <c r="O96" s="178">
        <v>0</v>
      </c>
      <c r="P96" s="80">
        <f t="shared" si="27"/>
        <v>0</v>
      </c>
      <c r="Q96" s="178">
        <v>0</v>
      </c>
      <c r="R96" s="80">
        <f t="shared" si="28"/>
        <v>0</v>
      </c>
      <c r="S96" s="178">
        <v>0</v>
      </c>
      <c r="T96" s="80">
        <f t="shared" si="29"/>
        <v>0</v>
      </c>
      <c r="U96" s="178">
        <v>0</v>
      </c>
      <c r="V96" s="80">
        <f t="shared" si="30"/>
        <v>0</v>
      </c>
      <c r="X96" s="192"/>
    </row>
    <row r="97" spans="1:24" ht="12.75" customHeight="1">
      <c r="A97" s="2" t="s">
        <v>441</v>
      </c>
      <c r="B97" s="35"/>
      <c r="C97" s="178">
        <v>570.14099999999996</v>
      </c>
      <c r="D97" s="80">
        <f t="shared" si="21"/>
        <v>7.6018799999999992E-3</v>
      </c>
      <c r="E97" s="178">
        <v>0</v>
      </c>
      <c r="F97" s="80">
        <f t="shared" si="22"/>
        <v>0</v>
      </c>
      <c r="G97" s="178">
        <v>0</v>
      </c>
      <c r="H97" s="80">
        <f t="shared" si="23"/>
        <v>0</v>
      </c>
      <c r="I97" s="178">
        <v>0</v>
      </c>
      <c r="J97" s="80">
        <f t="shared" si="24"/>
        <v>0</v>
      </c>
      <c r="K97" s="178">
        <v>0</v>
      </c>
      <c r="L97" s="80">
        <f t="shared" si="25"/>
        <v>0</v>
      </c>
      <c r="M97" s="178">
        <v>0</v>
      </c>
      <c r="N97" s="80">
        <f t="shared" si="26"/>
        <v>0</v>
      </c>
      <c r="O97" s="178">
        <v>0</v>
      </c>
      <c r="P97" s="80">
        <f t="shared" si="27"/>
        <v>0</v>
      </c>
      <c r="Q97" s="178">
        <v>0</v>
      </c>
      <c r="R97" s="80">
        <f t="shared" si="28"/>
        <v>0</v>
      </c>
      <c r="S97" s="178">
        <v>0</v>
      </c>
      <c r="T97" s="80">
        <f t="shared" si="29"/>
        <v>0</v>
      </c>
      <c r="U97" s="178">
        <v>0</v>
      </c>
      <c r="V97" s="80">
        <f t="shared" si="30"/>
        <v>0</v>
      </c>
      <c r="X97" s="192"/>
    </row>
    <row r="98" spans="1:24" ht="12.75" customHeight="1">
      <c r="A98" s="117" t="s">
        <v>444</v>
      </c>
      <c r="B98" s="35"/>
      <c r="C98" s="178">
        <v>89.999999999999986</v>
      </c>
      <c r="D98" s="80">
        <f t="shared" si="21"/>
        <v>1.1999999999999999E-3</v>
      </c>
      <c r="E98" s="178">
        <v>0</v>
      </c>
      <c r="F98" s="80">
        <f t="shared" si="22"/>
        <v>0</v>
      </c>
      <c r="G98" s="178">
        <v>0</v>
      </c>
      <c r="H98" s="80">
        <f t="shared" si="23"/>
        <v>0</v>
      </c>
      <c r="I98" s="178">
        <v>0</v>
      </c>
      <c r="J98" s="80">
        <f t="shared" si="24"/>
        <v>0</v>
      </c>
      <c r="K98" s="178">
        <v>0</v>
      </c>
      <c r="L98" s="80">
        <f t="shared" si="25"/>
        <v>0</v>
      </c>
      <c r="M98" s="178">
        <v>0</v>
      </c>
      <c r="N98" s="80">
        <f t="shared" si="26"/>
        <v>0</v>
      </c>
      <c r="O98" s="178">
        <v>0</v>
      </c>
      <c r="P98" s="80">
        <f t="shared" si="27"/>
        <v>0</v>
      </c>
      <c r="Q98" s="178">
        <v>0</v>
      </c>
      <c r="R98" s="80">
        <f t="shared" si="28"/>
        <v>0</v>
      </c>
      <c r="S98" s="178">
        <v>0</v>
      </c>
      <c r="T98" s="80">
        <f t="shared" si="29"/>
        <v>0</v>
      </c>
      <c r="U98" s="178">
        <v>0</v>
      </c>
      <c r="V98" s="80">
        <f t="shared" si="30"/>
        <v>0</v>
      </c>
      <c r="X98" s="192"/>
    </row>
    <row r="99" spans="1:24" ht="12.75" customHeight="1">
      <c r="A99" s="117" t="s">
        <v>444</v>
      </c>
      <c r="B99" s="35"/>
      <c r="C99" s="178">
        <v>0</v>
      </c>
      <c r="D99" s="80">
        <f t="shared" si="21"/>
        <v>0</v>
      </c>
      <c r="E99" s="178">
        <v>0</v>
      </c>
      <c r="F99" s="80">
        <f t="shared" si="22"/>
        <v>0</v>
      </c>
      <c r="G99" s="178">
        <v>0</v>
      </c>
      <c r="H99" s="80">
        <f t="shared" si="23"/>
        <v>0</v>
      </c>
      <c r="I99" s="178">
        <v>0</v>
      </c>
      <c r="J99" s="80">
        <f t="shared" si="24"/>
        <v>0</v>
      </c>
      <c r="K99" s="178">
        <v>0</v>
      </c>
      <c r="L99" s="80">
        <f t="shared" si="25"/>
        <v>0</v>
      </c>
      <c r="M99" s="178">
        <v>0</v>
      </c>
      <c r="N99" s="80">
        <f t="shared" si="26"/>
        <v>0</v>
      </c>
      <c r="O99" s="178">
        <v>0</v>
      </c>
      <c r="P99" s="80">
        <f t="shared" si="27"/>
        <v>0</v>
      </c>
      <c r="Q99" s="178">
        <v>0</v>
      </c>
      <c r="R99" s="80">
        <f t="shared" si="28"/>
        <v>0</v>
      </c>
      <c r="S99" s="178">
        <v>0</v>
      </c>
      <c r="T99" s="80">
        <f t="shared" si="29"/>
        <v>0</v>
      </c>
      <c r="U99" s="178">
        <v>0</v>
      </c>
      <c r="V99" s="80">
        <f t="shared" si="30"/>
        <v>0</v>
      </c>
      <c r="X99" s="192"/>
    </row>
    <row r="100" spans="1:24" ht="12.75" customHeight="1">
      <c r="A100" s="117" t="s">
        <v>444</v>
      </c>
      <c r="B100" s="35"/>
      <c r="C100" s="178">
        <v>0</v>
      </c>
      <c r="D100" s="80">
        <f t="shared" si="21"/>
        <v>0</v>
      </c>
      <c r="E100" s="178">
        <v>0</v>
      </c>
      <c r="F100" s="80">
        <f t="shared" si="22"/>
        <v>0</v>
      </c>
      <c r="G100" s="178">
        <v>0</v>
      </c>
      <c r="H100" s="80">
        <f t="shared" si="23"/>
        <v>0</v>
      </c>
      <c r="I100" s="178">
        <v>0</v>
      </c>
      <c r="J100" s="80">
        <f t="shared" si="24"/>
        <v>0</v>
      </c>
      <c r="K100" s="178">
        <v>0</v>
      </c>
      <c r="L100" s="80">
        <f t="shared" si="25"/>
        <v>0</v>
      </c>
      <c r="M100" s="178">
        <v>0</v>
      </c>
      <c r="N100" s="80">
        <f t="shared" si="26"/>
        <v>0</v>
      </c>
      <c r="O100" s="178">
        <v>0</v>
      </c>
      <c r="P100" s="80">
        <f t="shared" si="27"/>
        <v>0</v>
      </c>
      <c r="Q100" s="178">
        <v>0</v>
      </c>
      <c r="R100" s="80">
        <f t="shared" si="28"/>
        <v>0</v>
      </c>
      <c r="S100" s="178">
        <v>0</v>
      </c>
      <c r="T100" s="80">
        <f t="shared" si="29"/>
        <v>0</v>
      </c>
      <c r="U100" s="178">
        <v>0</v>
      </c>
      <c r="V100" s="80">
        <f t="shared" si="30"/>
        <v>0</v>
      </c>
      <c r="X100" s="192"/>
    </row>
    <row r="101" spans="1:24" ht="12.75" customHeight="1">
      <c r="A101" s="2" t="s">
        <v>445</v>
      </c>
      <c r="B101" s="35"/>
      <c r="C101" s="178"/>
      <c r="D101" s="80">
        <f t="shared" si="21"/>
        <v>0</v>
      </c>
      <c r="E101" s="178"/>
      <c r="F101" s="80">
        <f t="shared" si="22"/>
        <v>0</v>
      </c>
      <c r="G101" s="178"/>
      <c r="H101" s="80">
        <f t="shared" si="23"/>
        <v>0</v>
      </c>
      <c r="I101" s="178">
        <v>0</v>
      </c>
      <c r="J101" s="80">
        <f t="shared" si="24"/>
        <v>0</v>
      </c>
      <c r="K101" s="178">
        <v>0</v>
      </c>
      <c r="L101" s="80">
        <f t="shared" si="25"/>
        <v>0</v>
      </c>
      <c r="M101" s="178">
        <v>0</v>
      </c>
      <c r="N101" s="80">
        <f t="shared" si="26"/>
        <v>0</v>
      </c>
      <c r="O101" s="178">
        <v>0</v>
      </c>
      <c r="P101" s="80">
        <f t="shared" si="27"/>
        <v>0</v>
      </c>
      <c r="Q101" s="178">
        <v>0</v>
      </c>
      <c r="R101" s="80">
        <f t="shared" si="28"/>
        <v>0</v>
      </c>
      <c r="S101" s="178">
        <v>0</v>
      </c>
      <c r="T101" s="80">
        <f t="shared" si="29"/>
        <v>0</v>
      </c>
      <c r="U101" s="178">
        <v>0</v>
      </c>
      <c r="V101" s="80">
        <f t="shared" si="30"/>
        <v>0</v>
      </c>
      <c r="X101" s="192"/>
    </row>
    <row r="102" spans="1:24" ht="12.75" customHeight="1">
      <c r="A102" s="117" t="s">
        <v>446</v>
      </c>
      <c r="B102" s="35"/>
      <c r="C102" s="178">
        <v>750</v>
      </c>
      <c r="D102" s="80">
        <f t="shared" si="21"/>
        <v>0.01</v>
      </c>
      <c r="E102" s="178">
        <v>0</v>
      </c>
      <c r="F102" s="80">
        <f t="shared" si="22"/>
        <v>0</v>
      </c>
      <c r="G102" s="178">
        <v>0</v>
      </c>
      <c r="H102" s="80">
        <f t="shared" si="23"/>
        <v>0</v>
      </c>
      <c r="I102" s="178">
        <v>0</v>
      </c>
      <c r="J102" s="80">
        <f t="shared" si="24"/>
        <v>0</v>
      </c>
      <c r="K102" s="178">
        <v>0</v>
      </c>
      <c r="L102" s="80">
        <f t="shared" si="25"/>
        <v>0</v>
      </c>
      <c r="M102" s="178">
        <v>0</v>
      </c>
      <c r="N102" s="80">
        <f t="shared" si="26"/>
        <v>0</v>
      </c>
      <c r="O102" s="178">
        <v>0</v>
      </c>
      <c r="P102" s="80">
        <f t="shared" si="27"/>
        <v>0</v>
      </c>
      <c r="Q102" s="178">
        <v>0</v>
      </c>
      <c r="R102" s="80">
        <f t="shared" si="28"/>
        <v>0</v>
      </c>
      <c r="S102" s="178">
        <v>0</v>
      </c>
      <c r="T102" s="80">
        <f t="shared" si="29"/>
        <v>0</v>
      </c>
      <c r="U102" s="178">
        <v>0</v>
      </c>
      <c r="V102" s="80">
        <f t="shared" si="30"/>
        <v>0</v>
      </c>
      <c r="X102" s="192"/>
    </row>
    <row r="103" spans="1:24" ht="12.75" customHeight="1">
      <c r="A103" s="117" t="s">
        <v>446</v>
      </c>
      <c r="B103" s="35"/>
      <c r="C103" s="178">
        <v>0</v>
      </c>
      <c r="D103" s="80">
        <f t="shared" si="21"/>
        <v>0</v>
      </c>
      <c r="E103" s="178">
        <v>0</v>
      </c>
      <c r="F103" s="80">
        <f t="shared" si="22"/>
        <v>0</v>
      </c>
      <c r="G103" s="178">
        <v>0</v>
      </c>
      <c r="H103" s="80">
        <f t="shared" si="23"/>
        <v>0</v>
      </c>
      <c r="I103" s="178">
        <v>0</v>
      </c>
      <c r="J103" s="80">
        <f t="shared" si="24"/>
        <v>0</v>
      </c>
      <c r="K103" s="178">
        <v>0</v>
      </c>
      <c r="L103" s="80">
        <f t="shared" si="25"/>
        <v>0</v>
      </c>
      <c r="M103" s="178">
        <v>0</v>
      </c>
      <c r="N103" s="80">
        <f t="shared" si="26"/>
        <v>0</v>
      </c>
      <c r="O103" s="178">
        <v>0</v>
      </c>
      <c r="P103" s="80">
        <f t="shared" si="27"/>
        <v>0</v>
      </c>
      <c r="Q103" s="178">
        <v>0</v>
      </c>
      <c r="R103" s="80">
        <f t="shared" si="28"/>
        <v>0</v>
      </c>
      <c r="S103" s="178">
        <v>0</v>
      </c>
      <c r="T103" s="80">
        <f t="shared" si="29"/>
        <v>0</v>
      </c>
      <c r="U103" s="178">
        <v>0</v>
      </c>
      <c r="V103" s="80">
        <f t="shared" si="30"/>
        <v>0</v>
      </c>
      <c r="X103" s="192"/>
    </row>
    <row r="104" spans="1:24" ht="12.75" customHeight="1">
      <c r="A104" s="117" t="s">
        <v>446</v>
      </c>
      <c r="B104" s="1"/>
      <c r="C104" s="178">
        <v>0</v>
      </c>
      <c r="D104" s="80">
        <f t="shared" si="21"/>
        <v>0</v>
      </c>
      <c r="E104" s="178">
        <v>0</v>
      </c>
      <c r="F104" s="80">
        <f t="shared" si="22"/>
        <v>0</v>
      </c>
      <c r="G104" s="178">
        <v>0</v>
      </c>
      <c r="H104" s="80">
        <f t="shared" si="23"/>
        <v>0</v>
      </c>
      <c r="I104" s="178">
        <v>0</v>
      </c>
      <c r="J104" s="80">
        <f t="shared" si="24"/>
        <v>0</v>
      </c>
      <c r="K104" s="178">
        <v>0</v>
      </c>
      <c r="L104" s="80">
        <f t="shared" si="25"/>
        <v>0</v>
      </c>
      <c r="M104" s="178">
        <v>0</v>
      </c>
      <c r="N104" s="80">
        <f t="shared" si="26"/>
        <v>0</v>
      </c>
      <c r="O104" s="178">
        <v>0</v>
      </c>
      <c r="P104" s="80">
        <f t="shared" si="27"/>
        <v>0</v>
      </c>
      <c r="Q104" s="178">
        <v>0</v>
      </c>
      <c r="R104" s="80">
        <f t="shared" si="28"/>
        <v>0</v>
      </c>
      <c r="S104" s="178">
        <v>0</v>
      </c>
      <c r="T104" s="80">
        <f t="shared" si="29"/>
        <v>0</v>
      </c>
      <c r="U104" s="178">
        <v>0</v>
      </c>
      <c r="V104" s="80">
        <f t="shared" si="30"/>
        <v>0</v>
      </c>
      <c r="X104" s="192"/>
    </row>
    <row r="105" spans="1:24" ht="12.75" customHeight="1">
      <c r="A105" s="1" t="s">
        <v>447</v>
      </c>
      <c r="B105" s="53"/>
      <c r="C105" s="82">
        <f>SUM(C52:C104)</f>
        <v>8983.316988272285</v>
      </c>
      <c r="D105" s="83">
        <f t="shared" ref="D105" si="31">IFERROR(C105/C$28,0)</f>
        <v>0.11977755984363046</v>
      </c>
      <c r="E105" s="82">
        <f>SUM(E52:E104)</f>
        <v>0</v>
      </c>
      <c r="F105" s="83">
        <f t="shared" ref="F105" si="32">IFERROR(E105/E$28,0)</f>
        <v>0</v>
      </c>
      <c r="G105" s="82">
        <f>SUM(G52:G104)</f>
        <v>0</v>
      </c>
      <c r="H105" s="83">
        <f t="shared" ref="H105" si="33">IFERROR(G105/G$28,0)</f>
        <v>0</v>
      </c>
      <c r="I105" s="82">
        <f>SUM(I52:I104)</f>
        <v>0</v>
      </c>
      <c r="J105" s="83">
        <f t="shared" ref="J105" si="34">IFERROR(I105/I$28,0)</f>
        <v>0</v>
      </c>
      <c r="K105" s="82">
        <f>SUM(K52:K104)</f>
        <v>0</v>
      </c>
      <c r="L105" s="83">
        <f t="shared" ref="L105" si="35">IFERROR(K105/K$28,0)</f>
        <v>0</v>
      </c>
      <c r="M105" s="82">
        <f>SUM(M52:M104)</f>
        <v>0</v>
      </c>
      <c r="N105" s="83">
        <f t="shared" ref="N105" si="36">IFERROR(M105/M$28,0)</f>
        <v>0</v>
      </c>
      <c r="O105" s="82">
        <f>SUM(O52:O104)</f>
        <v>0</v>
      </c>
      <c r="P105" s="83">
        <f t="shared" ref="P105" si="37">IFERROR(O105/O$28,0)</f>
        <v>0</v>
      </c>
      <c r="Q105" s="82">
        <f>SUM(Q52:Q104)</f>
        <v>0</v>
      </c>
      <c r="R105" s="83">
        <f t="shared" ref="R105" si="38">IFERROR(Q105/Q$28,0)</f>
        <v>0</v>
      </c>
      <c r="S105" s="82">
        <f>SUM(S52:S104)</f>
        <v>0</v>
      </c>
      <c r="T105" s="83">
        <f t="shared" ref="T105" si="39">IFERROR(S105/S$28,0)</f>
        <v>0</v>
      </c>
      <c r="U105" s="82">
        <f>SUM(U52:U104)</f>
        <v>0</v>
      </c>
      <c r="V105" s="83">
        <f t="shared" si="30"/>
        <v>0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448</v>
      </c>
      <c r="B107" s="53"/>
      <c r="C107" s="82">
        <f>C28-C33-C46-C105</f>
        <v>26341.02301172771</v>
      </c>
      <c r="D107" s="83">
        <f>IFERROR(C107/C$28,0)</f>
        <v>0.35121364015636947</v>
      </c>
      <c r="E107" s="82">
        <f>E28-E33-E46-E105</f>
        <v>0</v>
      </c>
      <c r="F107" s="83">
        <f>IFERROR(E107/E$28,0)</f>
        <v>0</v>
      </c>
      <c r="G107" s="82">
        <f>G28-G33-G46-G105</f>
        <v>0</v>
      </c>
      <c r="H107" s="83">
        <f>IFERROR(G107/G$28,0)</f>
        <v>0</v>
      </c>
      <c r="I107" s="82">
        <f>I28-I33-I46-I105</f>
        <v>0</v>
      </c>
      <c r="J107" s="83">
        <f>IFERROR(I107/I$28,0)</f>
        <v>0</v>
      </c>
      <c r="K107" s="82">
        <f>K28-K33-K46-K105</f>
        <v>0</v>
      </c>
      <c r="L107" s="83">
        <f>IFERROR(K107/K$28,0)</f>
        <v>0</v>
      </c>
      <c r="M107" s="82">
        <f>M28-M33-M46-M105</f>
        <v>0</v>
      </c>
      <c r="N107" s="83">
        <f>IFERROR(M107/M$28,0)</f>
        <v>0</v>
      </c>
      <c r="O107" s="82">
        <f>O28-O33-O46-O105</f>
        <v>0</v>
      </c>
      <c r="P107" s="83">
        <f>IFERROR(O107/O$28,0)</f>
        <v>0</v>
      </c>
      <c r="Q107" s="82">
        <f>Q28-Q33-Q46-Q105</f>
        <v>0</v>
      </c>
      <c r="R107" s="83">
        <f>IFERROR(Q107/Q$28,0)</f>
        <v>0</v>
      </c>
      <c r="S107" s="82">
        <f>S28-S33-S46-S105</f>
        <v>0</v>
      </c>
      <c r="T107" s="83">
        <f>IFERROR(S107/S$28,0)</f>
        <v>0</v>
      </c>
      <c r="U107" s="82">
        <f>U28-U33-U46-U105</f>
        <v>0</v>
      </c>
      <c r="V107" s="83">
        <f>IFERROR(U107/U$28,0)</f>
        <v>0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449</v>
      </c>
      <c r="B110" s="40"/>
      <c r="C110" s="86" t="str">
        <f>C50</f>
        <v>FY 2018-19</v>
      </c>
      <c r="D110" s="86" t="s">
        <v>366</v>
      </c>
      <c r="E110" s="86" t="str">
        <f>E50</f>
        <v>FY 2019-20</v>
      </c>
      <c r="F110" s="86" t="s">
        <v>366</v>
      </c>
      <c r="G110" s="86" t="str">
        <f>G50</f>
        <v>FY 2020-21</v>
      </c>
      <c r="H110" s="86" t="s">
        <v>366</v>
      </c>
      <c r="I110" s="86" t="str">
        <f>I50</f>
        <v>FY 2021-22</v>
      </c>
      <c r="J110" s="86" t="s">
        <v>366</v>
      </c>
      <c r="K110" s="86" t="str">
        <f>K50</f>
        <v>FY 2022-23</v>
      </c>
      <c r="L110" s="86" t="s">
        <v>366</v>
      </c>
      <c r="M110" s="86" t="str">
        <f>M50</f>
        <v>FY 2023-24</v>
      </c>
      <c r="N110" s="86" t="s">
        <v>366</v>
      </c>
      <c r="O110" s="86" t="str">
        <f>O50</f>
        <v>FY 2024-25</v>
      </c>
      <c r="P110" s="86" t="s">
        <v>366</v>
      </c>
      <c r="Q110" s="86" t="str">
        <f>Q50</f>
        <v>FY 2025-26</v>
      </c>
      <c r="R110" s="86" t="s">
        <v>366</v>
      </c>
      <c r="S110" s="86" t="str">
        <f>S50</f>
        <v>FY 2026-27</v>
      </c>
      <c r="T110" s="86" t="s">
        <v>366</v>
      </c>
      <c r="U110" s="86" t="str">
        <f>U50</f>
        <v>FY 2027-28</v>
      </c>
      <c r="V110" s="86" t="s">
        <v>366</v>
      </c>
    </row>
    <row r="111" spans="1:24" ht="12.75" customHeight="1">
      <c r="A111" s="2" t="s">
        <v>403</v>
      </c>
      <c r="B111" s="35"/>
      <c r="C111" s="79">
        <f>C59</f>
        <v>0</v>
      </c>
      <c r="D111" s="80">
        <f t="shared" ref="D111:D116" si="40">IFERROR(C111/C$28,0)</f>
        <v>0</v>
      </c>
      <c r="E111" s="79">
        <f>E59</f>
        <v>0</v>
      </c>
      <c r="F111" s="80">
        <f t="shared" ref="F111:F116" si="41">IFERROR(E111/E$28,0)</f>
        <v>0</v>
      </c>
      <c r="G111" s="79">
        <f>G59</f>
        <v>0</v>
      </c>
      <c r="H111" s="80">
        <f t="shared" ref="H111:H116" si="42">IFERROR(G111/G$28,0)</f>
        <v>0</v>
      </c>
      <c r="I111" s="79">
        <f>I59</f>
        <v>0</v>
      </c>
      <c r="J111" s="80">
        <f t="shared" ref="J111:J116" si="43">IFERROR(I111/I$28,0)</f>
        <v>0</v>
      </c>
      <c r="K111" s="79">
        <f>K59</f>
        <v>0</v>
      </c>
      <c r="L111" s="80">
        <f t="shared" ref="L111:L116" si="44">IFERROR(K111/K$28,0)</f>
        <v>0</v>
      </c>
      <c r="M111" s="79">
        <f>M59</f>
        <v>0</v>
      </c>
      <c r="N111" s="80">
        <f t="shared" ref="N111:N116" si="45">IFERROR(M111/M$28,0)</f>
        <v>0</v>
      </c>
      <c r="O111" s="79">
        <f>O59</f>
        <v>0</v>
      </c>
      <c r="P111" s="80">
        <f t="shared" ref="P111:P116" si="46">IFERROR(O111/O$28,0)</f>
        <v>0</v>
      </c>
      <c r="Q111" s="79">
        <f>Q59</f>
        <v>0</v>
      </c>
      <c r="R111" s="80">
        <f t="shared" ref="R111:R116" si="47">IFERROR(Q111/Q$28,0)</f>
        <v>0</v>
      </c>
      <c r="S111" s="79">
        <f>S59</f>
        <v>0</v>
      </c>
      <c r="T111" s="80">
        <f t="shared" ref="T111:T116" si="48">IFERROR(S111/S$28,0)</f>
        <v>0</v>
      </c>
      <c r="U111" s="79">
        <f>U59</f>
        <v>0</v>
      </c>
      <c r="V111" s="80">
        <f t="shared" ref="V111:V116" si="49">IFERROR(U111/U$28,0)</f>
        <v>0</v>
      </c>
    </row>
    <row r="112" spans="1:24" ht="12.75" customHeight="1">
      <c r="A112" s="2" t="s">
        <v>450</v>
      </c>
      <c r="B112" s="35"/>
      <c r="C112" s="79">
        <f>C62</f>
        <v>0</v>
      </c>
      <c r="D112" s="80">
        <f t="shared" si="40"/>
        <v>0</v>
      </c>
      <c r="E112" s="79">
        <f>E62</f>
        <v>0</v>
      </c>
      <c r="F112" s="80">
        <f t="shared" si="41"/>
        <v>0</v>
      </c>
      <c r="G112" s="79">
        <f>G62</f>
        <v>0</v>
      </c>
      <c r="H112" s="80">
        <f t="shared" si="42"/>
        <v>0</v>
      </c>
      <c r="I112" s="79">
        <f>I62</f>
        <v>0</v>
      </c>
      <c r="J112" s="80">
        <f t="shared" si="43"/>
        <v>0</v>
      </c>
      <c r="K112" s="79">
        <f>K62</f>
        <v>0</v>
      </c>
      <c r="L112" s="80">
        <f t="shared" si="44"/>
        <v>0</v>
      </c>
      <c r="M112" s="79">
        <f>M62</f>
        <v>0</v>
      </c>
      <c r="N112" s="80">
        <f t="shared" si="45"/>
        <v>0</v>
      </c>
      <c r="O112" s="79">
        <f>O62</f>
        <v>0</v>
      </c>
      <c r="P112" s="80">
        <f t="shared" si="46"/>
        <v>0</v>
      </c>
      <c r="Q112" s="79">
        <f>Q62</f>
        <v>0</v>
      </c>
      <c r="R112" s="80">
        <f t="shared" si="47"/>
        <v>0</v>
      </c>
      <c r="S112" s="79">
        <f>S62</f>
        <v>0</v>
      </c>
      <c r="T112" s="80">
        <f t="shared" si="48"/>
        <v>0</v>
      </c>
      <c r="U112" s="79">
        <f>U62</f>
        <v>0</v>
      </c>
      <c r="V112" s="80">
        <f t="shared" si="49"/>
        <v>0</v>
      </c>
    </row>
    <row r="113" spans="1:22" ht="12.75" customHeight="1">
      <c r="A113" s="117" t="s">
        <v>446</v>
      </c>
      <c r="B113" s="41"/>
      <c r="C113" s="111">
        <v>0</v>
      </c>
      <c r="D113" s="80">
        <f t="shared" si="40"/>
        <v>0</v>
      </c>
      <c r="E113" s="111">
        <v>0</v>
      </c>
      <c r="F113" s="80">
        <f t="shared" si="41"/>
        <v>0</v>
      </c>
      <c r="G113" s="111">
        <v>0</v>
      </c>
      <c r="H113" s="80">
        <f t="shared" si="42"/>
        <v>0</v>
      </c>
      <c r="I113" s="111">
        <v>0</v>
      </c>
      <c r="J113" s="80">
        <f t="shared" si="43"/>
        <v>0</v>
      </c>
      <c r="K113" s="111">
        <v>0</v>
      </c>
      <c r="L113" s="80">
        <f t="shared" si="44"/>
        <v>0</v>
      </c>
      <c r="M113" s="111">
        <v>0</v>
      </c>
      <c r="N113" s="80">
        <f t="shared" si="45"/>
        <v>0</v>
      </c>
      <c r="O113" s="111">
        <v>0</v>
      </c>
      <c r="P113" s="80">
        <f t="shared" si="46"/>
        <v>0</v>
      </c>
      <c r="Q113" s="111">
        <v>0</v>
      </c>
      <c r="R113" s="80">
        <f t="shared" si="47"/>
        <v>0</v>
      </c>
      <c r="S113" s="111">
        <v>0</v>
      </c>
      <c r="T113" s="80">
        <f t="shared" si="48"/>
        <v>0</v>
      </c>
      <c r="U113" s="111">
        <v>0</v>
      </c>
      <c r="V113" s="80">
        <f t="shared" si="49"/>
        <v>0</v>
      </c>
    </row>
    <row r="114" spans="1:22" ht="12.75" customHeight="1">
      <c r="A114" s="117" t="s">
        <v>446</v>
      </c>
      <c r="B114" s="41"/>
      <c r="C114" s="111">
        <v>0</v>
      </c>
      <c r="D114" s="80">
        <f t="shared" si="40"/>
        <v>0</v>
      </c>
      <c r="E114" s="111">
        <v>0</v>
      </c>
      <c r="F114" s="80">
        <f t="shared" si="41"/>
        <v>0</v>
      </c>
      <c r="G114" s="111">
        <v>0</v>
      </c>
      <c r="H114" s="80">
        <f t="shared" si="42"/>
        <v>0</v>
      </c>
      <c r="I114" s="111">
        <v>0</v>
      </c>
      <c r="J114" s="80">
        <f t="shared" si="43"/>
        <v>0</v>
      </c>
      <c r="K114" s="111">
        <v>0</v>
      </c>
      <c r="L114" s="80">
        <f t="shared" si="44"/>
        <v>0</v>
      </c>
      <c r="M114" s="111">
        <v>0</v>
      </c>
      <c r="N114" s="80">
        <f t="shared" si="45"/>
        <v>0</v>
      </c>
      <c r="O114" s="111">
        <v>0</v>
      </c>
      <c r="P114" s="80">
        <f t="shared" si="46"/>
        <v>0</v>
      </c>
      <c r="Q114" s="111">
        <v>0</v>
      </c>
      <c r="R114" s="80">
        <f t="shared" si="47"/>
        <v>0</v>
      </c>
      <c r="S114" s="111">
        <v>0</v>
      </c>
      <c r="T114" s="80">
        <f t="shared" si="48"/>
        <v>0</v>
      </c>
      <c r="U114" s="111">
        <v>0</v>
      </c>
      <c r="V114" s="80">
        <f t="shared" si="49"/>
        <v>0</v>
      </c>
    </row>
    <row r="115" spans="1:22" ht="12.75" customHeight="1">
      <c r="A115" s="117" t="s">
        <v>446</v>
      </c>
      <c r="B115" s="41"/>
      <c r="C115" s="112">
        <v>0</v>
      </c>
      <c r="D115" s="80">
        <f t="shared" si="40"/>
        <v>0</v>
      </c>
      <c r="E115" s="112">
        <v>0</v>
      </c>
      <c r="F115" s="80">
        <f t="shared" si="41"/>
        <v>0</v>
      </c>
      <c r="G115" s="112">
        <v>0</v>
      </c>
      <c r="H115" s="80">
        <f t="shared" si="42"/>
        <v>0</v>
      </c>
      <c r="I115" s="112">
        <v>0</v>
      </c>
      <c r="J115" s="80">
        <f t="shared" si="43"/>
        <v>0</v>
      </c>
      <c r="K115" s="112">
        <v>0</v>
      </c>
      <c r="L115" s="80">
        <f t="shared" si="44"/>
        <v>0</v>
      </c>
      <c r="M115" s="112">
        <v>0</v>
      </c>
      <c r="N115" s="80">
        <f t="shared" si="45"/>
        <v>0</v>
      </c>
      <c r="O115" s="112">
        <v>0</v>
      </c>
      <c r="P115" s="80">
        <f t="shared" si="46"/>
        <v>0</v>
      </c>
      <c r="Q115" s="112">
        <v>0</v>
      </c>
      <c r="R115" s="80">
        <f t="shared" si="47"/>
        <v>0</v>
      </c>
      <c r="S115" s="112">
        <v>0</v>
      </c>
      <c r="T115" s="80">
        <f t="shared" si="48"/>
        <v>0</v>
      </c>
      <c r="U115" s="112">
        <v>0</v>
      </c>
      <c r="V115" s="80">
        <f t="shared" si="49"/>
        <v>0</v>
      </c>
    </row>
    <row r="116" spans="1:22" ht="12.75" customHeight="1">
      <c r="A116" s="40" t="s">
        <v>451</v>
      </c>
      <c r="B116" s="42"/>
      <c r="C116" s="85">
        <f>SUM(C111:C115)</f>
        <v>0</v>
      </c>
      <c r="D116" s="83">
        <f t="shared" si="40"/>
        <v>0</v>
      </c>
      <c r="E116" s="85">
        <f>SUM(E111:E115)</f>
        <v>0</v>
      </c>
      <c r="F116" s="83">
        <f t="shared" si="41"/>
        <v>0</v>
      </c>
      <c r="G116" s="85">
        <f>SUM(G111:G115)</f>
        <v>0</v>
      </c>
      <c r="H116" s="83">
        <f t="shared" si="42"/>
        <v>0</v>
      </c>
      <c r="I116" s="85">
        <f>SUM(I111:I115)</f>
        <v>0</v>
      </c>
      <c r="J116" s="83">
        <f t="shared" si="43"/>
        <v>0</v>
      </c>
      <c r="K116" s="85">
        <f>SUM(K111:K115)</f>
        <v>0</v>
      </c>
      <c r="L116" s="83">
        <f t="shared" si="44"/>
        <v>0</v>
      </c>
      <c r="M116" s="85">
        <f>SUM(M111:M115)</f>
        <v>0</v>
      </c>
      <c r="N116" s="83">
        <f t="shared" si="45"/>
        <v>0</v>
      </c>
      <c r="O116" s="85">
        <f>SUM(O111:O115)</f>
        <v>0</v>
      </c>
      <c r="P116" s="83">
        <f t="shared" si="46"/>
        <v>0</v>
      </c>
      <c r="Q116" s="85">
        <f>SUM(Q111:Q115)</f>
        <v>0</v>
      </c>
      <c r="R116" s="83">
        <f t="shared" si="47"/>
        <v>0</v>
      </c>
      <c r="S116" s="85">
        <f>SUM(S111:S115)</f>
        <v>0</v>
      </c>
      <c r="T116" s="83">
        <f t="shared" si="48"/>
        <v>0</v>
      </c>
      <c r="U116" s="85">
        <f>SUM(U111:U115)</f>
        <v>0</v>
      </c>
      <c r="V116" s="83">
        <f t="shared" si="49"/>
        <v>0</v>
      </c>
    </row>
    <row r="118" spans="1:22" ht="12.75" customHeight="1">
      <c r="A118" s="43" t="s">
        <v>452</v>
      </c>
      <c r="B118" s="43"/>
    </row>
    <row r="119" spans="1:22" ht="12.75" customHeight="1">
      <c r="A119" s="47" t="s">
        <v>453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7" tint="0.59999389629810485"/>
  </sheetPr>
  <dimension ref="A1:X120"/>
  <sheetViews>
    <sheetView topLeftCell="A27" zoomScale="70" zoomScaleNormal="70" workbookViewId="0" xr3:uid="{E6B2BAC2-667D-5CCD-8069-8C8F7D962337}">
      <selection activeCell="W59" sqref="W59"/>
    </sheetView>
  </sheetViews>
  <sheetFormatPr defaultColWidth="9.140625" defaultRowHeight="12.75" customHeight="1"/>
  <cols>
    <col min="1" max="1" width="9.5703125" style="2" customWidth="1"/>
    <col min="2" max="2" width="42" style="2" customWidth="1"/>
    <col min="3" max="3" width="12.7109375" style="2" customWidth="1"/>
    <col min="4" max="4" width="8.7109375" style="2" customWidth="1"/>
    <col min="5" max="5" width="12.7109375" style="2" customWidth="1"/>
    <col min="6" max="6" width="8.7109375" style="2" customWidth="1"/>
    <col min="7" max="7" width="13.570312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3.1406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355</v>
      </c>
      <c r="G2" s="33" t="s">
        <v>56</v>
      </c>
      <c r="H2" s="34"/>
      <c r="I2" s="34"/>
      <c r="V2" s="32"/>
    </row>
    <row r="3" spans="1:22" ht="12.75" customHeight="1">
      <c r="A3" s="1" t="s">
        <v>357</v>
      </c>
      <c r="D3" s="118" t="s">
        <v>358</v>
      </c>
      <c r="G3" s="115" t="str">
        <f>+G2</f>
        <v>Salad Creations (Parking Garage 5)</v>
      </c>
      <c r="H3" s="116"/>
      <c r="I3" s="116"/>
      <c r="V3" s="32"/>
    </row>
    <row r="4" spans="1:22" ht="12.75" customHeight="1">
      <c r="A4" s="1" t="s">
        <v>359</v>
      </c>
      <c r="B4" s="109" t="s">
        <v>221</v>
      </c>
      <c r="D4" s="118" t="s">
        <v>360</v>
      </c>
      <c r="G4" s="115" t="s">
        <v>65</v>
      </c>
      <c r="H4" s="116"/>
      <c r="I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361</v>
      </c>
      <c r="B7" s="1"/>
    </row>
    <row r="8" spans="1:22" ht="12.75" customHeight="1">
      <c r="A8" s="2" t="s">
        <v>362</v>
      </c>
      <c r="C8" s="109"/>
      <c r="E8" s="109">
        <f>+C8</f>
        <v>0</v>
      </c>
      <c r="G8" s="109">
        <f>+E8</f>
        <v>0</v>
      </c>
      <c r="I8" s="109">
        <f>+G8</f>
        <v>0</v>
      </c>
      <c r="K8" s="109">
        <f>+I8</f>
        <v>0</v>
      </c>
      <c r="M8" s="109">
        <f>+K8</f>
        <v>0</v>
      </c>
      <c r="O8" s="109">
        <f>+M8</f>
        <v>0</v>
      </c>
      <c r="Q8" s="109">
        <f>+O8</f>
        <v>0</v>
      </c>
      <c r="S8" s="109">
        <f>+Q8</f>
        <v>0</v>
      </c>
      <c r="U8" s="109">
        <f>+S8</f>
        <v>0</v>
      </c>
    </row>
    <row r="10" spans="1:22" ht="12.75" customHeight="1">
      <c r="A10" s="2" t="s">
        <v>462</v>
      </c>
      <c r="C10" s="109"/>
      <c r="E10" s="109"/>
      <c r="G10" s="109"/>
      <c r="I10" s="109"/>
      <c r="K10" s="109"/>
      <c r="M10" s="109"/>
      <c r="O10" s="109"/>
      <c r="Q10" s="109"/>
      <c r="S10" s="109"/>
      <c r="U10" s="109"/>
    </row>
    <row r="12" spans="1:22" ht="12.75" customHeight="1">
      <c r="A12" s="2" t="s">
        <v>463</v>
      </c>
      <c r="C12" s="110"/>
      <c r="E12" s="110"/>
      <c r="G12" s="110"/>
      <c r="I12" s="110"/>
      <c r="K12" s="110"/>
      <c r="M12" s="110"/>
      <c r="O12" s="110"/>
      <c r="Q12" s="110"/>
      <c r="S12" s="110"/>
      <c r="U12" s="110"/>
    </row>
    <row r="14" spans="1:22" ht="12.75" customHeight="1">
      <c r="A14" s="2" t="s">
        <v>464</v>
      </c>
      <c r="C14" s="121"/>
      <c r="E14" s="121"/>
      <c r="G14" s="198">
        <v>325000</v>
      </c>
      <c r="H14" s="12"/>
      <c r="I14" s="198">
        <v>338000</v>
      </c>
      <c r="J14" s="12"/>
      <c r="K14" s="198">
        <v>348000</v>
      </c>
      <c r="L14" s="12"/>
      <c r="M14" s="198">
        <v>359000</v>
      </c>
      <c r="N14" s="12"/>
      <c r="O14" s="198">
        <v>369000</v>
      </c>
      <c r="P14" s="12"/>
      <c r="Q14" s="198">
        <v>380000</v>
      </c>
      <c r="R14" s="12"/>
      <c r="S14" s="198">
        <v>392000</v>
      </c>
      <c r="T14" s="12"/>
      <c r="U14" s="198">
        <v>404000</v>
      </c>
    </row>
    <row r="15" spans="1:22" ht="12.75" customHeight="1">
      <c r="A15" s="39">
        <v>0.1</v>
      </c>
    </row>
    <row r="16" spans="1:22" ht="12.75" customHeight="1">
      <c r="B16" s="35"/>
      <c r="C16" s="86" t="str">
        <f>C6</f>
        <v>FY 2018-19</v>
      </c>
      <c r="D16" s="86" t="s">
        <v>366</v>
      </c>
      <c r="E16" s="86" t="str">
        <f>E6</f>
        <v>FY 2019-20</v>
      </c>
      <c r="F16" s="86" t="s">
        <v>366</v>
      </c>
      <c r="G16" s="86" t="str">
        <f>G6</f>
        <v>FY 2020-21</v>
      </c>
      <c r="H16" s="86" t="s">
        <v>366</v>
      </c>
      <c r="I16" s="86" t="str">
        <f>I6</f>
        <v>FY 2021-22</v>
      </c>
      <c r="J16" s="86" t="s">
        <v>366</v>
      </c>
      <c r="K16" s="86" t="str">
        <f>K6</f>
        <v>FY 2022-23</v>
      </c>
      <c r="L16" s="86" t="s">
        <v>366</v>
      </c>
      <c r="M16" s="86" t="str">
        <f>M6</f>
        <v>FY 2023-24</v>
      </c>
      <c r="N16" s="86" t="s">
        <v>366</v>
      </c>
      <c r="O16" s="86" t="str">
        <f>O6</f>
        <v>FY 2024-25</v>
      </c>
      <c r="P16" s="86" t="s">
        <v>366</v>
      </c>
      <c r="Q16" s="86" t="str">
        <f>Q6</f>
        <v>FY 2025-26</v>
      </c>
      <c r="R16" s="86" t="s">
        <v>366</v>
      </c>
      <c r="S16" s="86" t="str">
        <f>S6</f>
        <v>FY 2026-27</v>
      </c>
      <c r="T16" s="86" t="s">
        <v>366</v>
      </c>
      <c r="U16" s="86" t="str">
        <f>U6</f>
        <v>FY 2027-28</v>
      </c>
      <c r="V16" s="86" t="s">
        <v>366</v>
      </c>
    </row>
    <row r="17" spans="1:24" ht="12.75" customHeight="1">
      <c r="A17" s="1" t="s">
        <v>367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368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369</v>
      </c>
      <c r="B19" s="35"/>
      <c r="C19" s="200">
        <f>+C14-C20</f>
        <v>0</v>
      </c>
      <c r="D19" s="80">
        <f>IFERROR(C19/C$28,0)</f>
        <v>0</v>
      </c>
      <c r="E19" s="200">
        <f>+E14-E20</f>
        <v>0</v>
      </c>
      <c r="F19" s="80">
        <f>IFERROR(E19/E$28,0)</f>
        <v>0</v>
      </c>
      <c r="G19" s="200">
        <f>+G14-G20</f>
        <v>273000</v>
      </c>
      <c r="H19" s="80">
        <f>IFERROR(G19/G$28,0)</f>
        <v>0.84</v>
      </c>
      <c r="I19" s="200">
        <f>+I14-I20</f>
        <v>284960</v>
      </c>
      <c r="J19" s="80">
        <f>IFERROR(I19/I$28,0)</f>
        <v>0.84307692307692306</v>
      </c>
      <c r="K19" s="200">
        <f>+K14-K20</f>
        <v>293899.2</v>
      </c>
      <c r="L19" s="80">
        <f>IFERROR(K19/K$28,0)</f>
        <v>0.84453793103448282</v>
      </c>
      <c r="M19" s="200">
        <f>+M14-M20</f>
        <v>303817.18400000001</v>
      </c>
      <c r="N19" s="80">
        <f>IFERROR(M19/M$28,0)</f>
        <v>0.84628742061281337</v>
      </c>
      <c r="O19" s="200">
        <f>+O14-O20</f>
        <v>312713.52768</v>
      </c>
      <c r="P19" s="80">
        <f>IFERROR(O19/O$28,0)</f>
        <v>0.84746213463414632</v>
      </c>
      <c r="Q19" s="200">
        <f>+Q14-Q20</f>
        <v>322587.79823359998</v>
      </c>
      <c r="R19" s="80">
        <f>IFERROR(Q19/Q$28,0)</f>
        <v>0.84891525850947369</v>
      </c>
      <c r="S19" s="200">
        <f>+S14-S20</f>
        <v>333439.554198272</v>
      </c>
      <c r="T19" s="80">
        <f>IFERROR(S19/S$28,0)</f>
        <v>0.85061110764865311</v>
      </c>
      <c r="U19" s="200">
        <f>+U14-U20</f>
        <v>344268.34528223739</v>
      </c>
      <c r="V19" s="80">
        <f>IFERROR(U19/U$28,0)</f>
        <v>0.85214936951048859</v>
      </c>
    </row>
    <row r="20" spans="1:24" ht="12.75" customHeight="1">
      <c r="A20" s="2" t="s">
        <v>370</v>
      </c>
      <c r="B20" s="35"/>
      <c r="C20" s="111">
        <f>+C14*12.38%</f>
        <v>0</v>
      </c>
      <c r="D20" s="80">
        <f>IFERROR(C20/C$28,0)</f>
        <v>0</v>
      </c>
      <c r="E20" s="111">
        <f>+E14*53.27%</f>
        <v>0</v>
      </c>
      <c r="F20" s="80">
        <f>IFERROR(E20/E$28,0)</f>
        <v>0</v>
      </c>
      <c r="G20" s="111">
        <f>+G14*16%</f>
        <v>52000</v>
      </c>
      <c r="H20" s="80">
        <f>IFERROR(G20/G$28,0)</f>
        <v>0.16</v>
      </c>
      <c r="I20" s="111">
        <f t="shared" ref="G20:U21" si="0">G20*1.02</f>
        <v>53040</v>
      </c>
      <c r="J20" s="80">
        <f>IFERROR(I20/I$28,0)</f>
        <v>0.15692307692307692</v>
      </c>
      <c r="K20" s="111">
        <f t="shared" si="0"/>
        <v>54100.800000000003</v>
      </c>
      <c r="L20" s="80">
        <f>IFERROR(K20/K$28,0)</f>
        <v>0.15546206896551726</v>
      </c>
      <c r="M20" s="111">
        <f t="shared" si="0"/>
        <v>55182.816000000006</v>
      </c>
      <c r="N20" s="80">
        <f>IFERROR(M20/M$28,0)</f>
        <v>0.15371257938718666</v>
      </c>
      <c r="O20" s="111">
        <f t="shared" si="0"/>
        <v>56286.472320000008</v>
      </c>
      <c r="P20" s="80">
        <f>IFERROR(O20/O$28,0)</f>
        <v>0.15253786536585368</v>
      </c>
      <c r="Q20" s="111">
        <f t="shared" si="0"/>
        <v>57412.201766400009</v>
      </c>
      <c r="R20" s="80">
        <f>IFERROR(Q20/Q$28,0)</f>
        <v>0.15108474149052634</v>
      </c>
      <c r="S20" s="111">
        <f t="shared" si="0"/>
        <v>58560.445801728012</v>
      </c>
      <c r="T20" s="80">
        <f>IFERROR(S20/S$28,0)</f>
        <v>0.14938889235134697</v>
      </c>
      <c r="U20" s="111">
        <f t="shared" si="0"/>
        <v>59731.654717762576</v>
      </c>
      <c r="V20" s="80">
        <f>IFERROR(U20/U$28,0)</f>
        <v>0.14785063048951133</v>
      </c>
    </row>
    <row r="21" spans="1:24" ht="12.75" customHeight="1">
      <c r="A21" s="2" t="s">
        <v>371</v>
      </c>
      <c r="B21" s="35"/>
      <c r="C21" s="111"/>
      <c r="D21" s="80">
        <f>IFERROR(C21/C$28,0)</f>
        <v>0</v>
      </c>
      <c r="E21" s="111">
        <v>0</v>
      </c>
      <c r="F21" s="80">
        <f>IFERROR(E21/E$28,0)</f>
        <v>0</v>
      </c>
      <c r="G21" s="111">
        <f t="shared" si="0"/>
        <v>0</v>
      </c>
      <c r="H21" s="80">
        <f>IFERROR(G21/G$28,0)</f>
        <v>0</v>
      </c>
      <c r="I21" s="111">
        <f t="shared" si="0"/>
        <v>0</v>
      </c>
      <c r="J21" s="80">
        <f>IFERROR(I21/I$28,0)</f>
        <v>0</v>
      </c>
      <c r="K21" s="111">
        <f t="shared" si="0"/>
        <v>0</v>
      </c>
      <c r="L21" s="80">
        <f>IFERROR(K21/K$28,0)</f>
        <v>0</v>
      </c>
      <c r="M21" s="111">
        <f t="shared" si="0"/>
        <v>0</v>
      </c>
      <c r="N21" s="80">
        <f>IFERROR(M21/M$28,0)</f>
        <v>0</v>
      </c>
      <c r="O21" s="111">
        <f t="shared" si="0"/>
        <v>0</v>
      </c>
      <c r="P21" s="80">
        <f>IFERROR(O21/O$28,0)</f>
        <v>0</v>
      </c>
      <c r="Q21" s="111">
        <f t="shared" si="0"/>
        <v>0</v>
      </c>
      <c r="R21" s="80">
        <f>IFERROR(Q21/Q$28,0)</f>
        <v>0</v>
      </c>
      <c r="S21" s="111">
        <f t="shared" si="0"/>
        <v>0</v>
      </c>
      <c r="T21" s="80">
        <f>IFERROR(S21/S$28,0)</f>
        <v>0</v>
      </c>
      <c r="U21" s="111">
        <f t="shared" si="0"/>
        <v>0</v>
      </c>
      <c r="V21" s="80">
        <f>IFERROR(U21/U$28,0)</f>
        <v>0</v>
      </c>
    </row>
    <row r="22" spans="1:24" ht="12.75" customHeight="1">
      <c r="A22" s="2" t="s">
        <v>372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373</v>
      </c>
      <c r="B23" s="123"/>
      <c r="C23" s="79"/>
      <c r="D23" s="80">
        <f t="shared" ref="D23:D28" si="1">IFERROR(C23/C$28,0)</f>
        <v>0</v>
      </c>
      <c r="E23" s="79"/>
      <c r="F23" s="80">
        <f t="shared" ref="F23:F28" si="2">IFERROR(E23/E$28,0)</f>
        <v>0</v>
      </c>
      <c r="G23" s="79"/>
      <c r="H23" s="80">
        <f t="shared" ref="H23:H28" si="3">IFERROR(G23/G$28,0)</f>
        <v>0</v>
      </c>
      <c r="I23" s="79"/>
      <c r="J23" s="80">
        <f t="shared" ref="J23:J28" si="4">IFERROR(I23/I$28,0)</f>
        <v>0</v>
      </c>
      <c r="K23" s="79"/>
      <c r="L23" s="80">
        <f t="shared" ref="L23:L28" si="5">IFERROR(K23/K$28,0)</f>
        <v>0</v>
      </c>
      <c r="M23" s="79"/>
      <c r="N23" s="80">
        <f t="shared" ref="N23:N28" si="6">IFERROR(M23/M$28,0)</f>
        <v>0</v>
      </c>
      <c r="O23" s="79"/>
      <c r="P23" s="80">
        <f t="shared" ref="P23:P28" si="7">IFERROR(O23/O$28,0)</f>
        <v>0</v>
      </c>
      <c r="Q23" s="79"/>
      <c r="R23" s="80">
        <f t="shared" ref="R23:R28" si="8">IFERROR(Q23/Q$28,0)</f>
        <v>0</v>
      </c>
      <c r="S23" s="79"/>
      <c r="T23" s="80">
        <f t="shared" ref="T23:T28" si="9">IFERROR(S23/S$28,0)</f>
        <v>0</v>
      </c>
      <c r="U23" s="79"/>
      <c r="V23" s="80">
        <f t="shared" ref="V23:V28" si="10">IFERROR(U23/U$28,0)</f>
        <v>0</v>
      </c>
    </row>
    <row r="24" spans="1:24" ht="12.75" customHeight="1">
      <c r="A24" s="122" t="s">
        <v>374</v>
      </c>
      <c r="B24" s="123"/>
      <c r="C24" s="79"/>
      <c r="D24" s="80">
        <f t="shared" si="1"/>
        <v>0</v>
      </c>
      <c r="E24" s="79"/>
      <c r="F24" s="80">
        <f t="shared" si="2"/>
        <v>0</v>
      </c>
      <c r="G24" s="79"/>
      <c r="H24" s="80">
        <f t="shared" si="3"/>
        <v>0</v>
      </c>
      <c r="I24" s="79"/>
      <c r="J24" s="80">
        <f t="shared" si="4"/>
        <v>0</v>
      </c>
      <c r="K24" s="79"/>
      <c r="L24" s="80">
        <f t="shared" si="5"/>
        <v>0</v>
      </c>
      <c r="M24" s="79"/>
      <c r="N24" s="80">
        <f t="shared" si="6"/>
        <v>0</v>
      </c>
      <c r="O24" s="79"/>
      <c r="P24" s="80">
        <f t="shared" si="7"/>
        <v>0</v>
      </c>
      <c r="Q24" s="79"/>
      <c r="R24" s="80">
        <f t="shared" si="8"/>
        <v>0</v>
      </c>
      <c r="S24" s="79"/>
      <c r="T24" s="80">
        <f t="shared" si="9"/>
        <v>0</v>
      </c>
      <c r="U24" s="79"/>
      <c r="V24" s="80">
        <f t="shared" si="10"/>
        <v>0</v>
      </c>
      <c r="X24" s="79"/>
    </row>
    <row r="25" spans="1:24" ht="12.75" customHeight="1">
      <c r="A25" s="2" t="s">
        <v>375</v>
      </c>
      <c r="B25" s="35"/>
      <c r="C25" s="111"/>
      <c r="D25" s="80">
        <f t="shared" si="1"/>
        <v>0</v>
      </c>
      <c r="E25" s="111"/>
      <c r="F25" s="80">
        <f t="shared" si="2"/>
        <v>0</v>
      </c>
      <c r="G25" s="111"/>
      <c r="H25" s="80">
        <f t="shared" si="3"/>
        <v>0</v>
      </c>
      <c r="I25" s="111"/>
      <c r="J25" s="80">
        <f t="shared" si="4"/>
        <v>0</v>
      </c>
      <c r="K25" s="111"/>
      <c r="L25" s="80">
        <f t="shared" si="5"/>
        <v>0</v>
      </c>
      <c r="M25" s="111"/>
      <c r="N25" s="80">
        <f t="shared" si="6"/>
        <v>0</v>
      </c>
      <c r="O25" s="111"/>
      <c r="P25" s="80">
        <f t="shared" si="7"/>
        <v>0</v>
      </c>
      <c r="Q25" s="111"/>
      <c r="R25" s="80">
        <f t="shared" si="8"/>
        <v>0</v>
      </c>
      <c r="S25" s="111"/>
      <c r="T25" s="80">
        <f t="shared" si="9"/>
        <v>0</v>
      </c>
      <c r="U25" s="111"/>
      <c r="V25" s="80">
        <f t="shared" si="10"/>
        <v>0</v>
      </c>
      <c r="X25" s="79"/>
    </row>
    <row r="26" spans="1:24" ht="12.75" customHeight="1">
      <c r="A26" s="122" t="s">
        <v>376</v>
      </c>
      <c r="B26" s="35"/>
      <c r="C26" s="79"/>
      <c r="D26" s="80">
        <f t="shared" si="1"/>
        <v>0</v>
      </c>
      <c r="E26" s="79"/>
      <c r="F26" s="80">
        <f t="shared" si="2"/>
        <v>0</v>
      </c>
      <c r="G26" s="79"/>
      <c r="H26" s="80">
        <f t="shared" si="3"/>
        <v>0</v>
      </c>
      <c r="I26" s="79"/>
      <c r="J26" s="80">
        <f t="shared" si="4"/>
        <v>0</v>
      </c>
      <c r="K26" s="79"/>
      <c r="L26" s="80">
        <f t="shared" si="5"/>
        <v>0</v>
      </c>
      <c r="M26" s="79"/>
      <c r="N26" s="80">
        <f t="shared" si="6"/>
        <v>0</v>
      </c>
      <c r="O26" s="79"/>
      <c r="P26" s="80">
        <f t="shared" si="7"/>
        <v>0</v>
      </c>
      <c r="Q26" s="79"/>
      <c r="R26" s="80">
        <f t="shared" si="8"/>
        <v>0</v>
      </c>
      <c r="S26" s="79"/>
      <c r="T26" s="80">
        <f t="shared" si="9"/>
        <v>0</v>
      </c>
      <c r="U26" s="79"/>
      <c r="V26" s="80">
        <f t="shared" si="10"/>
        <v>0</v>
      </c>
    </row>
    <row r="27" spans="1:24" ht="12.75" customHeight="1">
      <c r="A27" s="2" t="s">
        <v>477</v>
      </c>
      <c r="B27" s="35"/>
      <c r="C27" s="112">
        <f>275000*0.1</f>
        <v>27500</v>
      </c>
      <c r="D27" s="80">
        <f t="shared" si="1"/>
        <v>1</v>
      </c>
      <c r="E27" s="112">
        <f>+C27*1.1</f>
        <v>30250.000000000004</v>
      </c>
      <c r="F27" s="80">
        <f t="shared" si="2"/>
        <v>1</v>
      </c>
      <c r="G27" s="112"/>
      <c r="H27" s="80">
        <f t="shared" si="3"/>
        <v>0</v>
      </c>
      <c r="I27" s="112"/>
      <c r="J27" s="80">
        <f t="shared" si="4"/>
        <v>0</v>
      </c>
      <c r="K27" s="112"/>
      <c r="L27" s="80">
        <f t="shared" si="5"/>
        <v>0</v>
      </c>
      <c r="M27" s="112"/>
      <c r="N27" s="80">
        <f t="shared" si="6"/>
        <v>0</v>
      </c>
      <c r="O27" s="112"/>
      <c r="P27" s="80">
        <f t="shared" si="7"/>
        <v>0</v>
      </c>
      <c r="Q27" s="112"/>
      <c r="R27" s="80">
        <f t="shared" si="8"/>
        <v>0</v>
      </c>
      <c r="S27" s="112"/>
      <c r="T27" s="80">
        <f t="shared" si="9"/>
        <v>0</v>
      </c>
      <c r="U27" s="112"/>
      <c r="V27" s="80">
        <f t="shared" si="10"/>
        <v>0</v>
      </c>
    </row>
    <row r="28" spans="1:24" ht="12.75" customHeight="1">
      <c r="A28" s="1" t="s">
        <v>378</v>
      </c>
      <c r="B28" s="53"/>
      <c r="C28" s="82">
        <f>SUM(C19:C27)</f>
        <v>27500</v>
      </c>
      <c r="D28" s="83">
        <f t="shared" si="1"/>
        <v>1</v>
      </c>
      <c r="E28" s="82">
        <f>SUM(E19:E27)</f>
        <v>30250.000000000004</v>
      </c>
      <c r="F28" s="83">
        <f t="shared" si="2"/>
        <v>1</v>
      </c>
      <c r="G28" s="82">
        <f>SUM(G19:G27)</f>
        <v>325000</v>
      </c>
      <c r="H28" s="83">
        <f t="shared" si="3"/>
        <v>1</v>
      </c>
      <c r="I28" s="82">
        <f>SUM(I19:I27)</f>
        <v>338000</v>
      </c>
      <c r="J28" s="83">
        <f t="shared" si="4"/>
        <v>1</v>
      </c>
      <c r="K28" s="82">
        <f>SUM(K19:K27)</f>
        <v>348000</v>
      </c>
      <c r="L28" s="83">
        <f t="shared" si="5"/>
        <v>1</v>
      </c>
      <c r="M28" s="82">
        <f>SUM(M19:M27)</f>
        <v>359000</v>
      </c>
      <c r="N28" s="83">
        <f t="shared" si="6"/>
        <v>1</v>
      </c>
      <c r="O28" s="82">
        <f>SUM(O19:O27)</f>
        <v>369000</v>
      </c>
      <c r="P28" s="83">
        <f t="shared" si="7"/>
        <v>1</v>
      </c>
      <c r="Q28" s="82">
        <f>SUM(Q19:Q27)</f>
        <v>380000</v>
      </c>
      <c r="R28" s="83">
        <f t="shared" si="8"/>
        <v>1</v>
      </c>
      <c r="S28" s="82">
        <f>SUM(S19:S27)</f>
        <v>392000</v>
      </c>
      <c r="T28" s="83">
        <f t="shared" si="9"/>
        <v>1</v>
      </c>
      <c r="U28" s="82">
        <f>SUM(U19:U27)</f>
        <v>404000</v>
      </c>
      <c r="V28" s="83">
        <f t="shared" si="10"/>
        <v>1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379</v>
      </c>
      <c r="B30" s="53"/>
      <c r="C30" s="197">
        <v>0.33700000000000002</v>
      </c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380</v>
      </c>
      <c r="B31" s="35"/>
      <c r="C31" s="178">
        <f>$C$30*C14</f>
        <v>0</v>
      </c>
      <c r="D31" s="80">
        <f>IFERROR(C31/C$28,0)</f>
        <v>0</v>
      </c>
      <c r="E31" s="178">
        <f>$C$30*E14</f>
        <v>0</v>
      </c>
      <c r="F31" s="80">
        <f>IFERROR(E31/E$28,0)</f>
        <v>0</v>
      </c>
      <c r="G31" s="178">
        <f>$C$30*G14</f>
        <v>109525</v>
      </c>
      <c r="H31" s="80">
        <f>IFERROR(G31/G$28,0)</f>
        <v>0.33700000000000002</v>
      </c>
      <c r="I31" s="178">
        <f>$C$30*I14</f>
        <v>113906.00000000001</v>
      </c>
      <c r="J31" s="80">
        <f>IFERROR(I31/I$28,0)</f>
        <v>0.33700000000000002</v>
      </c>
      <c r="K31" s="178">
        <f>$C$30*K14</f>
        <v>117276.00000000001</v>
      </c>
      <c r="L31" s="80">
        <f>IFERROR(K31/K$28,0)</f>
        <v>0.33700000000000002</v>
      </c>
      <c r="M31" s="178">
        <f>$C$30*M14</f>
        <v>120983.00000000001</v>
      </c>
      <c r="N31" s="80">
        <f>IFERROR(M31/M$28,0)</f>
        <v>0.33700000000000002</v>
      </c>
      <c r="O31" s="178">
        <f>$C$30*O14</f>
        <v>124353.00000000001</v>
      </c>
      <c r="P31" s="80">
        <f>IFERROR(O31/O$28,0)</f>
        <v>0.33700000000000002</v>
      </c>
      <c r="Q31" s="178">
        <f>$C$30*Q14</f>
        <v>128060.00000000001</v>
      </c>
      <c r="R31" s="80">
        <f>IFERROR(Q31/Q$28,0)</f>
        <v>0.33700000000000002</v>
      </c>
      <c r="S31" s="178">
        <f>$C$30*S14</f>
        <v>132104</v>
      </c>
      <c r="T31" s="80">
        <f>IFERROR(S31/S$28,0)</f>
        <v>0.33700000000000002</v>
      </c>
      <c r="U31" s="178">
        <f>$C$30*U14</f>
        <v>136148</v>
      </c>
      <c r="V31" s="80">
        <f>IFERROR(U31/U$28,0)</f>
        <v>0.33700000000000002</v>
      </c>
    </row>
    <row r="32" spans="1:24" ht="12.75" customHeight="1">
      <c r="A32" s="8" t="s">
        <v>381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382</v>
      </c>
      <c r="B33" s="53"/>
      <c r="C33" s="82">
        <f>SUM(C31:C32)</f>
        <v>0</v>
      </c>
      <c r="D33" s="83">
        <f>IFERROR(C33/C$28,0)</f>
        <v>0</v>
      </c>
      <c r="E33" s="82">
        <f>SUM(E31:E32)</f>
        <v>0</v>
      </c>
      <c r="F33" s="83">
        <f>IFERROR(E33/E$28,0)</f>
        <v>0</v>
      </c>
      <c r="G33" s="82">
        <f>SUM(G31:G32)</f>
        <v>109525</v>
      </c>
      <c r="H33" s="83">
        <f>IFERROR(G33/G$28,0)</f>
        <v>0.33700000000000002</v>
      </c>
      <c r="I33" s="82">
        <f>SUM(I31:I32)</f>
        <v>113906.00000000001</v>
      </c>
      <c r="J33" s="83">
        <f>IFERROR(I33/I$28,0)</f>
        <v>0.33700000000000002</v>
      </c>
      <c r="K33" s="82">
        <f>SUM(K31:K32)</f>
        <v>117276.00000000001</v>
      </c>
      <c r="L33" s="83">
        <f>IFERROR(K33/K$28,0)</f>
        <v>0.33700000000000002</v>
      </c>
      <c r="M33" s="82">
        <f>SUM(M31:M32)</f>
        <v>120983.00000000001</v>
      </c>
      <c r="N33" s="83">
        <f>IFERROR(M33/M$28,0)</f>
        <v>0.33700000000000002</v>
      </c>
      <c r="O33" s="82">
        <f>SUM(O31:O32)</f>
        <v>124353.00000000001</v>
      </c>
      <c r="P33" s="83">
        <f>IFERROR(O33/O$28,0)</f>
        <v>0.33700000000000002</v>
      </c>
      <c r="Q33" s="82">
        <f>SUM(Q31:Q32)</f>
        <v>128060.00000000001</v>
      </c>
      <c r="R33" s="83">
        <f>IFERROR(Q33/Q$28,0)</f>
        <v>0.33700000000000002</v>
      </c>
      <c r="S33" s="82">
        <f>SUM(S31:S32)</f>
        <v>132104</v>
      </c>
      <c r="T33" s="83">
        <f>IFERROR(S33/S$28,0)</f>
        <v>0.33700000000000002</v>
      </c>
      <c r="U33" s="82">
        <f>SUM(U31:U32)</f>
        <v>136148</v>
      </c>
      <c r="V33" s="83">
        <f>IFERROR(U33/U$28,0)</f>
        <v>0.33700000000000002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383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384</v>
      </c>
      <c r="B36" s="35"/>
      <c r="C36" s="113"/>
      <c r="D36" s="80">
        <f t="shared" ref="D36:D46" si="11">IFERROR(C36/C$28,0)</f>
        <v>0</v>
      </c>
      <c r="E36" s="178"/>
      <c r="F36" s="80">
        <f t="shared" ref="F36:F46" si="12">IFERROR(E36/E$28,0)</f>
        <v>0</v>
      </c>
      <c r="G36" s="178"/>
      <c r="H36" s="80">
        <f t="shared" ref="H36:H46" si="13">IFERROR(G36/G$28,0)</f>
        <v>0</v>
      </c>
      <c r="I36" s="178"/>
      <c r="J36" s="80">
        <f t="shared" ref="J36:J46" si="14">IFERROR(I36/I$28,0)</f>
        <v>0</v>
      </c>
      <c r="K36" s="178"/>
      <c r="L36" s="80">
        <f t="shared" ref="L36:L46" si="15">IFERROR(K36/K$28,0)</f>
        <v>0</v>
      </c>
      <c r="M36" s="178"/>
      <c r="N36" s="80">
        <f t="shared" ref="N36:N46" si="16">IFERROR(M36/M$28,0)</f>
        <v>0</v>
      </c>
      <c r="O36" s="178"/>
      <c r="P36" s="80">
        <f t="shared" ref="P36:P46" si="17">IFERROR(O36/O$28,0)</f>
        <v>0</v>
      </c>
      <c r="Q36" s="178"/>
      <c r="R36" s="80">
        <f t="shared" ref="R36:R46" si="18">IFERROR(Q36/Q$28,0)</f>
        <v>0</v>
      </c>
      <c r="S36" s="178"/>
      <c r="T36" s="80">
        <f t="shared" ref="T36:T46" si="19">IFERROR(S36/S$28,0)</f>
        <v>0</v>
      </c>
      <c r="U36" s="178"/>
      <c r="V36" s="80">
        <f t="shared" ref="V36:V46" si="20">IFERROR(U36/U$28,0)</f>
        <v>0</v>
      </c>
    </row>
    <row r="37" spans="1:22" ht="12.75" customHeight="1">
      <c r="A37" s="2" t="s">
        <v>385</v>
      </c>
      <c r="B37" s="35"/>
      <c r="C37" s="113"/>
      <c r="D37" s="80">
        <f t="shared" si="11"/>
        <v>0</v>
      </c>
      <c r="E37" s="178"/>
      <c r="F37" s="80">
        <f t="shared" si="12"/>
        <v>0</v>
      </c>
      <c r="G37" s="178">
        <v>70467</v>
      </c>
      <c r="H37" s="80">
        <f t="shared" si="13"/>
        <v>0.21682153846153845</v>
      </c>
      <c r="I37" s="178">
        <f>+G37*1.032</f>
        <v>72721.944000000003</v>
      </c>
      <c r="J37" s="80">
        <f t="shared" si="14"/>
        <v>0.2151536804733728</v>
      </c>
      <c r="K37" s="178">
        <f>+I37*1.025</f>
        <v>74539.992599999998</v>
      </c>
      <c r="L37" s="80">
        <f t="shared" si="15"/>
        <v>0.21419538103448274</v>
      </c>
      <c r="M37" s="178">
        <f>+K37*1.025</f>
        <v>76403.492414999986</v>
      </c>
      <c r="N37" s="80">
        <f t="shared" si="16"/>
        <v>0.21282309864902504</v>
      </c>
      <c r="O37" s="178">
        <f>+M37*1.025</f>
        <v>78313.579725374977</v>
      </c>
      <c r="P37" s="80">
        <f t="shared" si="17"/>
        <v>0.21223192337499994</v>
      </c>
      <c r="Q37" s="178">
        <f>+O37*1.025</f>
        <v>80271.419218509342</v>
      </c>
      <c r="R37" s="80">
        <f t="shared" si="18"/>
        <v>0.21124057689081405</v>
      </c>
      <c r="S37" s="178">
        <f>+Q37*1.025</f>
        <v>82278.204698972069</v>
      </c>
      <c r="T37" s="80">
        <f t="shared" si="19"/>
        <v>0.20989337933411242</v>
      </c>
      <c r="U37" s="178">
        <f>+S37*1.025</f>
        <v>84335.159816446365</v>
      </c>
      <c r="V37" s="80">
        <f t="shared" si="20"/>
        <v>0.20875039558526329</v>
      </c>
    </row>
    <row r="38" spans="1:22" ht="12.75" customHeight="1">
      <c r="A38" s="2" t="s">
        <v>386</v>
      </c>
      <c r="B38" s="35"/>
      <c r="C38" s="113"/>
      <c r="D38" s="80">
        <f t="shared" si="11"/>
        <v>0</v>
      </c>
      <c r="E38" s="178"/>
      <c r="F38" s="80">
        <f t="shared" si="12"/>
        <v>0</v>
      </c>
      <c r="G38" s="178">
        <v>13255</v>
      </c>
      <c r="H38" s="80">
        <f t="shared" si="13"/>
        <v>4.0784615384615384E-2</v>
      </c>
      <c r="I38" s="178">
        <f>+G38*1.032</f>
        <v>13679.16</v>
      </c>
      <c r="J38" s="80">
        <f t="shared" si="14"/>
        <v>4.0470887573964498E-2</v>
      </c>
      <c r="K38" s="178">
        <f>+I38*1.025</f>
        <v>14021.138999999999</v>
      </c>
      <c r="L38" s="80">
        <f t="shared" si="15"/>
        <v>4.0290629310344828E-2</v>
      </c>
      <c r="M38" s="178">
        <f>+K38*1.025</f>
        <v>14371.667474999998</v>
      </c>
      <c r="N38" s="80">
        <f t="shared" si="16"/>
        <v>4.0032499930362113E-2</v>
      </c>
      <c r="O38" s="178">
        <f>+M38*1.025</f>
        <v>14730.959161874996</v>
      </c>
      <c r="P38" s="80">
        <f t="shared" si="17"/>
        <v>3.9921298541666657E-2</v>
      </c>
      <c r="Q38" s="178">
        <f>+O38*1.025</f>
        <v>15099.23314092187</v>
      </c>
      <c r="R38" s="80">
        <f t="shared" si="18"/>
        <v>3.9734824055057551E-2</v>
      </c>
      <c r="S38" s="178">
        <f>+Q38*1.025</f>
        <v>15476.713969444914</v>
      </c>
      <c r="T38" s="80">
        <f t="shared" si="19"/>
        <v>3.9481413187359475E-2</v>
      </c>
      <c r="U38" s="178">
        <f>+S38*1.025</f>
        <v>15863.631818681035</v>
      </c>
      <c r="V38" s="80">
        <f t="shared" si="20"/>
        <v>3.9266415392774839E-2</v>
      </c>
    </row>
    <row r="39" spans="1:22" ht="12.75" customHeight="1">
      <c r="A39" s="2" t="s">
        <v>387</v>
      </c>
      <c r="B39" s="35"/>
      <c r="C39" s="113"/>
      <c r="D39" s="80">
        <f t="shared" si="11"/>
        <v>0</v>
      </c>
      <c r="E39" s="178"/>
      <c r="F39" s="80">
        <f t="shared" si="12"/>
        <v>0</v>
      </c>
      <c r="G39" s="178">
        <v>19643</v>
      </c>
      <c r="H39" s="80">
        <f t="shared" si="13"/>
        <v>6.0440000000000001E-2</v>
      </c>
      <c r="I39" s="178">
        <f>+G39*1.032</f>
        <v>20271.576000000001</v>
      </c>
      <c r="J39" s="80">
        <f t="shared" si="14"/>
        <v>5.9975076923076923E-2</v>
      </c>
      <c r="K39" s="178">
        <f>+I39*1.025</f>
        <v>20778.365399999999</v>
      </c>
      <c r="L39" s="80">
        <f t="shared" si="15"/>
        <v>5.9707946551724136E-2</v>
      </c>
      <c r="M39" s="178">
        <f>+K39*1.025</f>
        <v>21297.824534999996</v>
      </c>
      <c r="N39" s="80">
        <f t="shared" si="16"/>
        <v>5.9325416532033416E-2</v>
      </c>
      <c r="O39" s="178">
        <f>+M39*1.025</f>
        <v>21830.270148374995</v>
      </c>
      <c r="P39" s="80">
        <f t="shared" si="17"/>
        <v>5.9160623708333318E-2</v>
      </c>
      <c r="Q39" s="178">
        <f>+O39*1.025</f>
        <v>22376.02690208437</v>
      </c>
      <c r="R39" s="80">
        <f t="shared" si="18"/>
        <v>5.8884281321274656E-2</v>
      </c>
      <c r="S39" s="178">
        <f>+Q39*1.025</f>
        <v>22935.427574636476</v>
      </c>
      <c r="T39" s="80">
        <f t="shared" si="19"/>
        <v>5.8508743812848152E-2</v>
      </c>
      <c r="U39" s="178">
        <f>+S39*1.025</f>
        <v>23508.813264002387</v>
      </c>
      <c r="V39" s="80">
        <f t="shared" si="20"/>
        <v>5.8190131841590068E-2</v>
      </c>
    </row>
    <row r="40" spans="1:22" ht="12.75" customHeight="1">
      <c r="A40" s="2" t="s">
        <v>388</v>
      </c>
      <c r="B40" s="35"/>
      <c r="C40" s="113"/>
      <c r="D40" s="80">
        <f t="shared" si="11"/>
        <v>0</v>
      </c>
      <c r="E40" s="113"/>
      <c r="F40" s="80">
        <f t="shared" si="12"/>
        <v>0</v>
      </c>
      <c r="G40" s="178">
        <f>G36*0.124</f>
        <v>0</v>
      </c>
      <c r="H40" s="80">
        <f t="shared" si="13"/>
        <v>0</v>
      </c>
      <c r="I40" s="178">
        <f>I36*0.124</f>
        <v>0</v>
      </c>
      <c r="J40" s="80">
        <f t="shared" si="14"/>
        <v>0</v>
      </c>
      <c r="K40" s="178">
        <f>K36*0.124</f>
        <v>0</v>
      </c>
      <c r="L40" s="80">
        <f t="shared" si="15"/>
        <v>0</v>
      </c>
      <c r="M40" s="178">
        <f>M36*0.124</f>
        <v>0</v>
      </c>
      <c r="N40" s="80">
        <f t="shared" si="16"/>
        <v>0</v>
      </c>
      <c r="O40" s="178">
        <f>O36*0.124</f>
        <v>0</v>
      </c>
      <c r="P40" s="80">
        <f t="shared" si="17"/>
        <v>0</v>
      </c>
      <c r="Q40" s="178">
        <f>Q36*0.124</f>
        <v>0</v>
      </c>
      <c r="R40" s="80">
        <f t="shared" si="18"/>
        <v>0</v>
      </c>
      <c r="S40" s="178">
        <f>S36*0.124</f>
        <v>0</v>
      </c>
      <c r="T40" s="80">
        <f t="shared" si="19"/>
        <v>0</v>
      </c>
      <c r="U40" s="178">
        <f>U36*0.124</f>
        <v>0</v>
      </c>
      <c r="V40" s="80">
        <f t="shared" si="20"/>
        <v>0</v>
      </c>
    </row>
    <row r="41" spans="1:22" ht="12.75" customHeight="1">
      <c r="A41" s="2" t="s">
        <v>389</v>
      </c>
      <c r="B41" s="35"/>
      <c r="C41" s="113"/>
      <c r="D41" s="80">
        <f t="shared" si="11"/>
        <v>0</v>
      </c>
      <c r="E41" s="113"/>
      <c r="F41" s="80">
        <f t="shared" si="12"/>
        <v>0</v>
      </c>
      <c r="G41" s="178">
        <f>G37*0.124</f>
        <v>8737.9079999999994</v>
      </c>
      <c r="H41" s="80">
        <f t="shared" si="13"/>
        <v>2.6885870769230769E-2</v>
      </c>
      <c r="I41" s="178">
        <f>I37*0.124</f>
        <v>9017.5210559999996</v>
      </c>
      <c r="J41" s="80">
        <f t="shared" si="14"/>
        <v>2.6679056378698225E-2</v>
      </c>
      <c r="K41" s="178">
        <f>K37*0.124</f>
        <v>9242.9590823999988</v>
      </c>
      <c r="L41" s="80">
        <f t="shared" si="15"/>
        <v>2.6560227248275857E-2</v>
      </c>
      <c r="M41" s="178">
        <f>M37*0.124</f>
        <v>9474.0330594599982</v>
      </c>
      <c r="N41" s="80">
        <f t="shared" si="16"/>
        <v>2.6390064232479103E-2</v>
      </c>
      <c r="O41" s="178">
        <f>O37*0.124</f>
        <v>9710.8838859464977</v>
      </c>
      <c r="P41" s="80">
        <f t="shared" si="17"/>
        <v>2.6316758498499994E-2</v>
      </c>
      <c r="Q41" s="178">
        <f>Q37*0.124</f>
        <v>9953.6559830951592</v>
      </c>
      <c r="R41" s="80">
        <f t="shared" si="18"/>
        <v>2.6193831534460945E-2</v>
      </c>
      <c r="S41" s="178">
        <f>S37*0.124</f>
        <v>10202.497382672536</v>
      </c>
      <c r="T41" s="80">
        <f t="shared" si="19"/>
        <v>2.6026779037429941E-2</v>
      </c>
      <c r="U41" s="178">
        <f>U37*0.124</f>
        <v>10457.559817239349</v>
      </c>
      <c r="V41" s="80">
        <f t="shared" si="20"/>
        <v>2.5885049052572648E-2</v>
      </c>
    </row>
    <row r="42" spans="1:22" ht="12.75" customHeight="1">
      <c r="A42" s="2" t="s">
        <v>390</v>
      </c>
      <c r="B42" s="35"/>
      <c r="C42" s="113"/>
      <c r="D42" s="80">
        <f t="shared" si="11"/>
        <v>0</v>
      </c>
      <c r="E42" s="178"/>
      <c r="F42" s="80">
        <f t="shared" si="12"/>
        <v>0</v>
      </c>
      <c r="G42" s="178"/>
      <c r="H42" s="80">
        <f t="shared" si="13"/>
        <v>0</v>
      </c>
      <c r="I42" s="178"/>
      <c r="J42" s="80">
        <f t="shared" si="14"/>
        <v>0</v>
      </c>
      <c r="K42" s="178"/>
      <c r="L42" s="80">
        <f t="shared" si="15"/>
        <v>0</v>
      </c>
      <c r="M42" s="178"/>
      <c r="N42" s="80">
        <f t="shared" si="16"/>
        <v>0</v>
      </c>
      <c r="O42" s="178"/>
      <c r="P42" s="80">
        <f t="shared" si="17"/>
        <v>0</v>
      </c>
      <c r="Q42" s="178"/>
      <c r="R42" s="80">
        <f t="shared" si="18"/>
        <v>0</v>
      </c>
      <c r="S42" s="178"/>
      <c r="T42" s="80">
        <f t="shared" si="19"/>
        <v>0</v>
      </c>
      <c r="U42" s="178"/>
      <c r="V42" s="80">
        <f t="shared" si="20"/>
        <v>0</v>
      </c>
    </row>
    <row r="43" spans="1:22" ht="12.75" customHeight="1">
      <c r="A43" s="2" t="s">
        <v>391</v>
      </c>
      <c r="B43" s="35"/>
      <c r="C43" s="113"/>
      <c r="D43" s="80">
        <f t="shared" si="11"/>
        <v>0</v>
      </c>
      <c r="E43" s="178"/>
      <c r="F43" s="80">
        <f t="shared" si="12"/>
        <v>0</v>
      </c>
      <c r="G43" s="178"/>
      <c r="H43" s="80">
        <f t="shared" si="13"/>
        <v>0</v>
      </c>
      <c r="I43" s="178"/>
      <c r="J43" s="80">
        <f t="shared" si="14"/>
        <v>0</v>
      </c>
      <c r="K43" s="178"/>
      <c r="L43" s="80">
        <f t="shared" si="15"/>
        <v>0</v>
      </c>
      <c r="M43" s="178"/>
      <c r="N43" s="80">
        <f t="shared" si="16"/>
        <v>0</v>
      </c>
      <c r="O43" s="178"/>
      <c r="P43" s="80">
        <f t="shared" si="17"/>
        <v>0</v>
      </c>
      <c r="Q43" s="178"/>
      <c r="R43" s="80">
        <f t="shared" si="18"/>
        <v>0</v>
      </c>
      <c r="S43" s="178"/>
      <c r="T43" s="80">
        <f t="shared" si="19"/>
        <v>0</v>
      </c>
      <c r="U43" s="178"/>
      <c r="V43" s="80">
        <f t="shared" si="20"/>
        <v>0</v>
      </c>
    </row>
    <row r="44" spans="1:22" ht="12.75" customHeight="1">
      <c r="A44" s="2" t="s">
        <v>392</v>
      </c>
      <c r="B44" s="35"/>
      <c r="C44" s="113"/>
      <c r="D44" s="80">
        <f t="shared" si="11"/>
        <v>0</v>
      </c>
      <c r="E44" s="178"/>
      <c r="F44" s="80">
        <f t="shared" si="12"/>
        <v>0</v>
      </c>
      <c r="G44" s="178"/>
      <c r="H44" s="80">
        <f t="shared" si="13"/>
        <v>0</v>
      </c>
      <c r="I44" s="178"/>
      <c r="J44" s="80">
        <f t="shared" si="14"/>
        <v>0</v>
      </c>
      <c r="K44" s="178"/>
      <c r="L44" s="80">
        <f t="shared" si="15"/>
        <v>0</v>
      </c>
      <c r="M44" s="178"/>
      <c r="N44" s="80">
        <f t="shared" si="16"/>
        <v>0</v>
      </c>
      <c r="O44" s="178"/>
      <c r="P44" s="80">
        <f t="shared" si="17"/>
        <v>0</v>
      </c>
      <c r="Q44" s="178"/>
      <c r="R44" s="80">
        <f t="shared" si="18"/>
        <v>0</v>
      </c>
      <c r="S44" s="178"/>
      <c r="T44" s="80">
        <f t="shared" si="19"/>
        <v>0</v>
      </c>
      <c r="U44" s="178"/>
      <c r="V44" s="80">
        <f t="shared" si="20"/>
        <v>0</v>
      </c>
    </row>
    <row r="45" spans="1:22" ht="12.75" customHeight="1">
      <c r="A45" s="2" t="s">
        <v>393</v>
      </c>
      <c r="B45" s="35"/>
      <c r="C45" s="114"/>
      <c r="D45" s="80">
        <f t="shared" si="11"/>
        <v>0</v>
      </c>
      <c r="E45" s="114"/>
      <c r="F45" s="80">
        <f t="shared" si="12"/>
        <v>0</v>
      </c>
      <c r="G45" s="181">
        <f>SUM(G36:G39)*0.094</f>
        <v>9716.31</v>
      </c>
      <c r="H45" s="80">
        <f t="shared" si="13"/>
        <v>2.9896338461538462E-2</v>
      </c>
      <c r="I45" s="181">
        <f>SUM(I36:I39)*0.094</f>
        <v>10027.23192</v>
      </c>
      <c r="J45" s="80">
        <f t="shared" si="14"/>
        <v>2.9666366627218936E-2</v>
      </c>
      <c r="K45" s="181">
        <f>SUM(K36:K39)*0.094</f>
        <v>10277.912718</v>
      </c>
      <c r="L45" s="80">
        <f t="shared" si="15"/>
        <v>2.9534231948275862E-2</v>
      </c>
      <c r="M45" s="181">
        <f>SUM(M36:M39)*0.094</f>
        <v>10534.860535949998</v>
      </c>
      <c r="N45" s="80">
        <f t="shared" si="16"/>
        <v>2.9345015420473533E-2</v>
      </c>
      <c r="O45" s="181">
        <f>SUM(O36:O39)*0.094</f>
        <v>10798.232049348748</v>
      </c>
      <c r="P45" s="80">
        <f t="shared" si="17"/>
        <v>2.9263501488749993E-2</v>
      </c>
      <c r="Q45" s="181">
        <f>SUM(Q36:Q39)*0.094</f>
        <v>11068.187850582464</v>
      </c>
      <c r="R45" s="80">
        <f t="shared" si="18"/>
        <v>2.9126810133111747E-2</v>
      </c>
      <c r="S45" s="181">
        <f>SUM(S36:S39)*0.094</f>
        <v>11344.892546847024</v>
      </c>
      <c r="T45" s="80">
        <f t="shared" si="19"/>
        <v>2.8941052415426081E-2</v>
      </c>
      <c r="U45" s="181">
        <f>SUM(U36:U39)*0.094</f>
        <v>11628.5148605182</v>
      </c>
      <c r="V45" s="80">
        <f t="shared" si="20"/>
        <v>2.8783452625045051E-2</v>
      </c>
    </row>
    <row r="46" spans="1:22" ht="12.75" customHeight="1">
      <c r="A46" s="1" t="s">
        <v>394</v>
      </c>
      <c r="B46" s="53"/>
      <c r="C46" s="82">
        <f>SUM(C36:C45)</f>
        <v>0</v>
      </c>
      <c r="D46" s="83">
        <f t="shared" si="11"/>
        <v>0</v>
      </c>
      <c r="E46" s="82">
        <f>SUM(E36:E45)</f>
        <v>0</v>
      </c>
      <c r="F46" s="83">
        <f t="shared" si="12"/>
        <v>0</v>
      </c>
      <c r="G46" s="82">
        <f>SUM(G36:G45)</f>
        <v>121819.21799999999</v>
      </c>
      <c r="H46" s="83">
        <f t="shared" si="13"/>
        <v>0.37482836307692308</v>
      </c>
      <c r="I46" s="82">
        <f>SUM(I36:I45)</f>
        <v>125717.43297600001</v>
      </c>
      <c r="J46" s="83">
        <f t="shared" si="14"/>
        <v>0.37194506797633137</v>
      </c>
      <c r="K46" s="82">
        <f>SUM(K36:K45)</f>
        <v>128860.3688004</v>
      </c>
      <c r="L46" s="83">
        <f t="shared" si="15"/>
        <v>0.37028841609310342</v>
      </c>
      <c r="M46" s="82">
        <f>SUM(M36:M45)</f>
        <v>132081.87802040996</v>
      </c>
      <c r="N46" s="83">
        <f t="shared" si="16"/>
        <v>0.36791609476437315</v>
      </c>
      <c r="O46" s="82">
        <f>SUM(O36:O45)</f>
        <v>135383.92497092023</v>
      </c>
      <c r="P46" s="83">
        <f t="shared" si="17"/>
        <v>0.36689410561224994</v>
      </c>
      <c r="Q46" s="82">
        <f>SUM(Q36:Q45)</f>
        <v>138768.5230951932</v>
      </c>
      <c r="R46" s="83">
        <f t="shared" si="18"/>
        <v>0.36518032393471894</v>
      </c>
      <c r="S46" s="82">
        <f>SUM(S36:S45)</f>
        <v>142237.736172573</v>
      </c>
      <c r="T46" s="83">
        <f t="shared" si="19"/>
        <v>0.36285136778717603</v>
      </c>
      <c r="U46" s="82">
        <f>SUM(U36:U45)</f>
        <v>145793.67957688731</v>
      </c>
      <c r="V46" s="83">
        <f t="shared" si="20"/>
        <v>0.36087544449724585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366</v>
      </c>
      <c r="E50" s="86" t="str">
        <f>E6</f>
        <v>FY 2019-20</v>
      </c>
      <c r="F50" s="86" t="s">
        <v>366</v>
      </c>
      <c r="G50" s="86" t="str">
        <f>G6</f>
        <v>FY 2020-21</v>
      </c>
      <c r="H50" s="86" t="s">
        <v>366</v>
      </c>
      <c r="I50" s="86" t="str">
        <f>I6</f>
        <v>FY 2021-22</v>
      </c>
      <c r="J50" s="86" t="s">
        <v>366</v>
      </c>
      <c r="K50" s="86" t="str">
        <f>K6</f>
        <v>FY 2022-23</v>
      </c>
      <c r="L50" s="86" t="s">
        <v>366</v>
      </c>
      <c r="M50" s="86" t="str">
        <f>M6</f>
        <v>FY 2023-24</v>
      </c>
      <c r="N50" s="86" t="s">
        <v>366</v>
      </c>
      <c r="O50" s="86" t="str">
        <f>O6</f>
        <v>FY 2024-25</v>
      </c>
      <c r="P50" s="86" t="s">
        <v>366</v>
      </c>
      <c r="Q50" s="86" t="str">
        <f>Q6</f>
        <v>FY 2025-26</v>
      </c>
      <c r="R50" s="86" t="s">
        <v>366</v>
      </c>
      <c r="S50" s="86" t="str">
        <f>S6</f>
        <v>FY 2026-27</v>
      </c>
      <c r="T50" s="86" t="s">
        <v>366</v>
      </c>
      <c r="U50" s="86" t="str">
        <f>U6</f>
        <v>FY 2027-28</v>
      </c>
      <c r="V50" s="86" t="s">
        <v>366</v>
      </c>
    </row>
    <row r="51" spans="1:24" ht="12.75" customHeight="1">
      <c r="A51" s="1" t="s">
        <v>395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396</v>
      </c>
      <c r="B52" s="35"/>
      <c r="C52" s="178">
        <v>0</v>
      </c>
      <c r="D52" s="80">
        <f t="shared" ref="D52:D104" si="21">IFERROR(C52/C$28,0)</f>
        <v>0</v>
      </c>
      <c r="E52" s="178">
        <v>0</v>
      </c>
      <c r="F52" s="80">
        <f t="shared" ref="F52:F104" si="22">IFERROR(E52/E$28,0)</f>
        <v>0</v>
      </c>
      <c r="G52" s="178">
        <v>0</v>
      </c>
      <c r="H52" s="80">
        <f t="shared" ref="H52:H104" si="23">IFERROR(G52/G$28,0)</f>
        <v>0</v>
      </c>
      <c r="I52" s="178">
        <v>0</v>
      </c>
      <c r="J52" s="80">
        <f t="shared" ref="J52:J104" si="24">IFERROR(I52/I$28,0)</f>
        <v>0</v>
      </c>
      <c r="K52" s="178">
        <v>0</v>
      </c>
      <c r="L52" s="80">
        <f t="shared" ref="L52:L104" si="25">IFERROR(K52/K$28,0)</f>
        <v>0</v>
      </c>
      <c r="M52" s="178">
        <v>0</v>
      </c>
      <c r="N52" s="80">
        <f t="shared" ref="N52:N104" si="26">IFERROR(M52/M$28,0)</f>
        <v>0</v>
      </c>
      <c r="O52" s="178">
        <v>0</v>
      </c>
      <c r="P52" s="80">
        <f t="shared" ref="P52:P104" si="27">IFERROR(O52/O$28,0)</f>
        <v>0</v>
      </c>
      <c r="Q52" s="178">
        <v>0</v>
      </c>
      <c r="R52" s="80">
        <f t="shared" ref="R52:R104" si="28">IFERROR(Q52/Q$28,0)</f>
        <v>0</v>
      </c>
      <c r="S52" s="178">
        <v>0</v>
      </c>
      <c r="T52" s="80">
        <f t="shared" ref="T52:T104" si="29">IFERROR(S52/S$28,0)</f>
        <v>0</v>
      </c>
      <c r="U52" s="178">
        <v>0</v>
      </c>
      <c r="V52" s="80">
        <f t="shared" ref="V52:V105" si="30">IFERROR(U52/U$28,0)</f>
        <v>0</v>
      </c>
      <c r="X52" s="192"/>
    </row>
    <row r="53" spans="1:24" ht="12.75" customHeight="1">
      <c r="A53" s="2" t="s">
        <v>397</v>
      </c>
      <c r="B53" s="35"/>
      <c r="C53" s="178">
        <v>0</v>
      </c>
      <c r="D53" s="80">
        <f t="shared" si="21"/>
        <v>0</v>
      </c>
      <c r="E53" s="178">
        <v>0</v>
      </c>
      <c r="F53" s="80">
        <f t="shared" si="22"/>
        <v>0</v>
      </c>
      <c r="G53" s="178">
        <v>0</v>
      </c>
      <c r="H53" s="80">
        <f t="shared" si="23"/>
        <v>0</v>
      </c>
      <c r="I53" s="178">
        <v>0</v>
      </c>
      <c r="J53" s="80">
        <f t="shared" si="24"/>
        <v>0</v>
      </c>
      <c r="K53" s="178">
        <v>0</v>
      </c>
      <c r="L53" s="80">
        <f t="shared" si="25"/>
        <v>0</v>
      </c>
      <c r="M53" s="178">
        <v>0</v>
      </c>
      <c r="N53" s="80">
        <f t="shared" si="26"/>
        <v>0</v>
      </c>
      <c r="O53" s="178">
        <v>0</v>
      </c>
      <c r="P53" s="80">
        <f t="shared" si="27"/>
        <v>0</v>
      </c>
      <c r="Q53" s="178">
        <v>0</v>
      </c>
      <c r="R53" s="80">
        <f t="shared" si="28"/>
        <v>0</v>
      </c>
      <c r="S53" s="178">
        <v>0</v>
      </c>
      <c r="T53" s="80">
        <f t="shared" si="29"/>
        <v>0</v>
      </c>
      <c r="U53" s="178">
        <v>0</v>
      </c>
      <c r="V53" s="80">
        <f t="shared" si="30"/>
        <v>0</v>
      </c>
      <c r="X53" s="192"/>
    </row>
    <row r="54" spans="1:24" ht="12.75" customHeight="1">
      <c r="A54" s="2" t="s">
        <v>398</v>
      </c>
      <c r="B54" s="35"/>
      <c r="C54" s="178">
        <v>19.25</v>
      </c>
      <c r="D54" s="80">
        <f t="shared" si="21"/>
        <v>6.9999999999999999E-4</v>
      </c>
      <c r="E54" s="178">
        <v>21.175000000000001</v>
      </c>
      <c r="F54" s="80">
        <f t="shared" si="22"/>
        <v>6.9999999999999999E-4</v>
      </c>
      <c r="G54" s="178">
        <v>227.50000000000003</v>
      </c>
      <c r="H54" s="80">
        <f t="shared" si="23"/>
        <v>7.000000000000001E-4</v>
      </c>
      <c r="I54" s="178">
        <v>236.60000000000002</v>
      </c>
      <c r="J54" s="80">
        <f t="shared" si="24"/>
        <v>7.000000000000001E-4</v>
      </c>
      <c r="K54" s="178">
        <v>243.60000000000002</v>
      </c>
      <c r="L54" s="80">
        <f t="shared" si="25"/>
        <v>7.000000000000001E-4</v>
      </c>
      <c r="M54" s="178">
        <v>251.30000000000004</v>
      </c>
      <c r="N54" s="80">
        <f t="shared" si="26"/>
        <v>7.000000000000001E-4</v>
      </c>
      <c r="O54" s="178">
        <v>258.3</v>
      </c>
      <c r="P54" s="80">
        <f t="shared" si="27"/>
        <v>6.9999999999999999E-4</v>
      </c>
      <c r="Q54" s="178">
        <v>266</v>
      </c>
      <c r="R54" s="80">
        <f t="shared" si="28"/>
        <v>6.9999999999999999E-4</v>
      </c>
      <c r="S54" s="178">
        <v>274.40000000000003</v>
      </c>
      <c r="T54" s="80">
        <f t="shared" si="29"/>
        <v>7.000000000000001E-4</v>
      </c>
      <c r="U54" s="178">
        <v>282.8</v>
      </c>
      <c r="V54" s="80">
        <f t="shared" si="30"/>
        <v>6.9999999999999999E-4</v>
      </c>
      <c r="X54" s="192"/>
    </row>
    <row r="55" spans="1:24" ht="12.75" customHeight="1">
      <c r="A55" s="2" t="s">
        <v>399</v>
      </c>
      <c r="B55" s="35"/>
      <c r="C55" s="178"/>
      <c r="D55" s="80">
        <f t="shared" si="21"/>
        <v>0</v>
      </c>
      <c r="E55" s="178"/>
      <c r="F55" s="80">
        <f t="shared" si="22"/>
        <v>0</v>
      </c>
      <c r="G55" s="178"/>
      <c r="H55" s="80">
        <f t="shared" si="23"/>
        <v>0</v>
      </c>
      <c r="I55" s="178"/>
      <c r="J55" s="80">
        <f t="shared" si="24"/>
        <v>0</v>
      </c>
      <c r="K55" s="178"/>
      <c r="L55" s="80">
        <f t="shared" si="25"/>
        <v>0</v>
      </c>
      <c r="M55" s="178"/>
      <c r="N55" s="80">
        <f t="shared" si="26"/>
        <v>0</v>
      </c>
      <c r="O55" s="178"/>
      <c r="P55" s="80">
        <f t="shared" si="27"/>
        <v>0</v>
      </c>
      <c r="Q55" s="178"/>
      <c r="R55" s="80">
        <f t="shared" si="28"/>
        <v>0</v>
      </c>
      <c r="S55" s="178"/>
      <c r="T55" s="80">
        <f t="shared" si="29"/>
        <v>0</v>
      </c>
      <c r="U55" s="178"/>
      <c r="V55" s="80">
        <f t="shared" si="30"/>
        <v>0</v>
      </c>
      <c r="X55" s="192"/>
    </row>
    <row r="56" spans="1:24" ht="12.75" customHeight="1">
      <c r="A56" s="2" t="s">
        <v>400</v>
      </c>
      <c r="B56" s="35"/>
      <c r="C56" s="178">
        <v>14.025</v>
      </c>
      <c r="D56" s="80">
        <f t="shared" si="21"/>
        <v>5.1000000000000004E-4</v>
      </c>
      <c r="E56" s="178">
        <v>15.427500000000002</v>
      </c>
      <c r="F56" s="80">
        <f t="shared" si="22"/>
        <v>5.1000000000000004E-4</v>
      </c>
      <c r="G56" s="178">
        <v>165.75000000000003</v>
      </c>
      <c r="H56" s="80">
        <f t="shared" si="23"/>
        <v>5.1000000000000004E-4</v>
      </c>
      <c r="I56" s="178">
        <v>172.38000000000002</v>
      </c>
      <c r="J56" s="80">
        <f t="shared" si="24"/>
        <v>5.1000000000000004E-4</v>
      </c>
      <c r="K56" s="178">
        <v>177.48000000000002</v>
      </c>
      <c r="L56" s="80">
        <f t="shared" si="25"/>
        <v>5.1000000000000004E-4</v>
      </c>
      <c r="M56" s="178">
        <v>183.09000000000003</v>
      </c>
      <c r="N56" s="80">
        <f t="shared" si="26"/>
        <v>5.1000000000000004E-4</v>
      </c>
      <c r="O56" s="178">
        <v>188.19000000000003</v>
      </c>
      <c r="P56" s="80">
        <f t="shared" si="27"/>
        <v>5.1000000000000004E-4</v>
      </c>
      <c r="Q56" s="178">
        <v>193.80000000000004</v>
      </c>
      <c r="R56" s="80">
        <f t="shared" si="28"/>
        <v>5.1000000000000015E-4</v>
      </c>
      <c r="S56" s="178">
        <v>199.92000000000002</v>
      </c>
      <c r="T56" s="80">
        <f t="shared" si="29"/>
        <v>5.1000000000000004E-4</v>
      </c>
      <c r="U56" s="178">
        <v>206.04</v>
      </c>
      <c r="V56" s="80">
        <f t="shared" si="30"/>
        <v>5.0999999999999993E-4</v>
      </c>
      <c r="X56" s="192"/>
    </row>
    <row r="57" spans="1:24" ht="12.75" customHeight="1">
      <c r="A57" s="2" t="s">
        <v>401</v>
      </c>
      <c r="B57" s="35"/>
      <c r="C57" s="178">
        <v>0</v>
      </c>
      <c r="D57" s="80">
        <f t="shared" si="21"/>
        <v>0</v>
      </c>
      <c r="E57" s="178">
        <v>0</v>
      </c>
      <c r="F57" s="80">
        <f t="shared" si="22"/>
        <v>0</v>
      </c>
      <c r="G57" s="178">
        <v>0</v>
      </c>
      <c r="H57" s="80">
        <f t="shared" si="23"/>
        <v>0</v>
      </c>
      <c r="I57" s="178">
        <v>0</v>
      </c>
      <c r="J57" s="80">
        <f t="shared" si="24"/>
        <v>0</v>
      </c>
      <c r="K57" s="178">
        <v>0</v>
      </c>
      <c r="L57" s="80">
        <f t="shared" si="25"/>
        <v>0</v>
      </c>
      <c r="M57" s="178">
        <v>0</v>
      </c>
      <c r="N57" s="80">
        <f t="shared" si="26"/>
        <v>0</v>
      </c>
      <c r="O57" s="178">
        <v>0</v>
      </c>
      <c r="P57" s="80">
        <f t="shared" si="27"/>
        <v>0</v>
      </c>
      <c r="Q57" s="178">
        <v>0</v>
      </c>
      <c r="R57" s="80">
        <f t="shared" si="28"/>
        <v>0</v>
      </c>
      <c r="S57" s="178">
        <v>0</v>
      </c>
      <c r="T57" s="80">
        <f t="shared" si="29"/>
        <v>0</v>
      </c>
      <c r="U57" s="178">
        <v>0</v>
      </c>
      <c r="V57" s="80">
        <f t="shared" si="30"/>
        <v>0</v>
      </c>
      <c r="X57" s="192"/>
    </row>
    <row r="58" spans="1:24" ht="12.75" customHeight="1">
      <c r="A58" s="2" t="s">
        <v>402</v>
      </c>
      <c r="B58" s="35"/>
      <c r="C58" s="178">
        <v>0</v>
      </c>
      <c r="D58" s="80">
        <f t="shared" si="21"/>
        <v>0</v>
      </c>
      <c r="E58" s="178">
        <v>0</v>
      </c>
      <c r="F58" s="80">
        <f t="shared" si="22"/>
        <v>0</v>
      </c>
      <c r="G58" s="178">
        <v>0</v>
      </c>
      <c r="H58" s="80">
        <f t="shared" si="23"/>
        <v>0</v>
      </c>
      <c r="I58" s="178">
        <v>0</v>
      </c>
      <c r="J58" s="80">
        <f t="shared" si="24"/>
        <v>0</v>
      </c>
      <c r="K58" s="178">
        <v>0</v>
      </c>
      <c r="L58" s="80">
        <f t="shared" si="25"/>
        <v>0</v>
      </c>
      <c r="M58" s="178">
        <v>0</v>
      </c>
      <c r="N58" s="80">
        <f t="shared" si="26"/>
        <v>0</v>
      </c>
      <c r="O58" s="178">
        <v>0</v>
      </c>
      <c r="P58" s="80">
        <f t="shared" si="27"/>
        <v>0</v>
      </c>
      <c r="Q58" s="178">
        <v>0</v>
      </c>
      <c r="R58" s="80">
        <f t="shared" si="28"/>
        <v>0</v>
      </c>
      <c r="S58" s="178">
        <v>0</v>
      </c>
      <c r="T58" s="80">
        <f t="shared" si="29"/>
        <v>0</v>
      </c>
      <c r="U58" s="178">
        <v>0</v>
      </c>
      <c r="V58" s="80">
        <f t="shared" si="30"/>
        <v>0</v>
      </c>
      <c r="X58" s="192"/>
    </row>
    <row r="59" spans="1:24" ht="12.75" customHeight="1">
      <c r="A59" s="2" t="s">
        <v>403</v>
      </c>
      <c r="B59" s="35"/>
      <c r="C59" s="178"/>
      <c r="D59" s="80">
        <f t="shared" si="21"/>
        <v>0</v>
      </c>
      <c r="E59" s="178"/>
      <c r="F59" s="80">
        <f t="shared" si="22"/>
        <v>0</v>
      </c>
      <c r="G59" s="178"/>
      <c r="H59" s="80">
        <f t="shared" si="23"/>
        <v>0</v>
      </c>
      <c r="I59" s="178"/>
      <c r="J59" s="80">
        <f t="shared" si="24"/>
        <v>0</v>
      </c>
      <c r="K59" s="178"/>
      <c r="L59" s="80">
        <f t="shared" si="25"/>
        <v>0</v>
      </c>
      <c r="M59" s="178"/>
      <c r="N59" s="80">
        <f t="shared" si="26"/>
        <v>0</v>
      </c>
      <c r="O59" s="178"/>
      <c r="P59" s="80">
        <f t="shared" si="27"/>
        <v>0</v>
      </c>
      <c r="Q59" s="178"/>
      <c r="R59" s="80">
        <f t="shared" si="28"/>
        <v>0</v>
      </c>
      <c r="S59" s="178"/>
      <c r="T59" s="80">
        <f t="shared" si="29"/>
        <v>0</v>
      </c>
      <c r="U59" s="178"/>
      <c r="V59" s="80">
        <f t="shared" si="30"/>
        <v>0</v>
      </c>
      <c r="X59" s="192"/>
    </row>
    <row r="60" spans="1:24" ht="12.75" customHeight="1">
      <c r="A60" s="2" t="s">
        <v>404</v>
      </c>
      <c r="B60" s="35"/>
      <c r="C60" s="178">
        <v>0</v>
      </c>
      <c r="D60" s="80">
        <f t="shared" si="21"/>
        <v>0</v>
      </c>
      <c r="E60" s="178">
        <v>0</v>
      </c>
      <c r="F60" s="80">
        <f t="shared" si="22"/>
        <v>0</v>
      </c>
      <c r="G60" s="178">
        <v>0</v>
      </c>
      <c r="H60" s="80">
        <f t="shared" si="23"/>
        <v>0</v>
      </c>
      <c r="I60" s="178">
        <v>0</v>
      </c>
      <c r="J60" s="80">
        <f t="shared" si="24"/>
        <v>0</v>
      </c>
      <c r="K60" s="178">
        <v>0</v>
      </c>
      <c r="L60" s="80">
        <f t="shared" si="25"/>
        <v>0</v>
      </c>
      <c r="M60" s="178">
        <v>0</v>
      </c>
      <c r="N60" s="80">
        <f t="shared" si="26"/>
        <v>0</v>
      </c>
      <c r="O60" s="178">
        <v>0</v>
      </c>
      <c r="P60" s="80">
        <f t="shared" si="27"/>
        <v>0</v>
      </c>
      <c r="Q60" s="178">
        <v>0</v>
      </c>
      <c r="R60" s="80">
        <f t="shared" si="28"/>
        <v>0</v>
      </c>
      <c r="S60" s="178">
        <v>0</v>
      </c>
      <c r="T60" s="80">
        <f t="shared" si="29"/>
        <v>0</v>
      </c>
      <c r="U60" s="178">
        <v>0</v>
      </c>
      <c r="V60" s="80">
        <f t="shared" si="30"/>
        <v>0</v>
      </c>
      <c r="X60" s="192"/>
    </row>
    <row r="61" spans="1:24" ht="12.75" customHeight="1">
      <c r="A61" s="2" t="s">
        <v>405</v>
      </c>
      <c r="B61" s="35"/>
      <c r="C61" s="178">
        <v>0</v>
      </c>
      <c r="D61" s="80">
        <f t="shared" si="21"/>
        <v>0</v>
      </c>
      <c r="E61" s="178">
        <v>0</v>
      </c>
      <c r="F61" s="80">
        <f t="shared" si="22"/>
        <v>0</v>
      </c>
      <c r="G61" s="178">
        <v>0</v>
      </c>
      <c r="H61" s="80">
        <f t="shared" si="23"/>
        <v>0</v>
      </c>
      <c r="I61" s="178">
        <v>0</v>
      </c>
      <c r="J61" s="80">
        <f t="shared" si="24"/>
        <v>0</v>
      </c>
      <c r="K61" s="178">
        <v>0</v>
      </c>
      <c r="L61" s="80">
        <f t="shared" si="25"/>
        <v>0</v>
      </c>
      <c r="M61" s="178">
        <v>0</v>
      </c>
      <c r="N61" s="80">
        <f t="shared" si="26"/>
        <v>0</v>
      </c>
      <c r="O61" s="178">
        <v>0</v>
      </c>
      <c r="P61" s="80">
        <f t="shared" si="27"/>
        <v>0</v>
      </c>
      <c r="Q61" s="178">
        <v>0</v>
      </c>
      <c r="R61" s="80">
        <f t="shared" si="28"/>
        <v>0</v>
      </c>
      <c r="S61" s="178">
        <v>0</v>
      </c>
      <c r="T61" s="80">
        <f t="shared" si="29"/>
        <v>0</v>
      </c>
      <c r="U61" s="178">
        <v>0</v>
      </c>
      <c r="V61" s="80">
        <f t="shared" si="30"/>
        <v>0</v>
      </c>
      <c r="X61" s="192"/>
    </row>
    <row r="62" spans="1:24" ht="12.75" customHeight="1">
      <c r="A62" s="2" t="s">
        <v>406</v>
      </c>
      <c r="B62" s="35"/>
      <c r="C62" s="178">
        <v>0</v>
      </c>
      <c r="D62" s="80">
        <f t="shared" si="21"/>
        <v>0</v>
      </c>
      <c r="E62" s="178">
        <v>0</v>
      </c>
      <c r="F62" s="80">
        <f t="shared" si="22"/>
        <v>0</v>
      </c>
      <c r="G62" s="178">
        <v>0</v>
      </c>
      <c r="H62" s="80">
        <f t="shared" si="23"/>
        <v>0</v>
      </c>
      <c r="I62" s="178">
        <v>0</v>
      </c>
      <c r="J62" s="80">
        <f t="shared" si="24"/>
        <v>0</v>
      </c>
      <c r="K62" s="178">
        <v>0</v>
      </c>
      <c r="L62" s="80">
        <f t="shared" si="25"/>
        <v>0</v>
      </c>
      <c r="M62" s="178">
        <v>0</v>
      </c>
      <c r="N62" s="80">
        <f t="shared" si="26"/>
        <v>0</v>
      </c>
      <c r="O62" s="178">
        <v>0</v>
      </c>
      <c r="P62" s="80">
        <f t="shared" si="27"/>
        <v>0</v>
      </c>
      <c r="Q62" s="178">
        <v>0</v>
      </c>
      <c r="R62" s="80">
        <f t="shared" si="28"/>
        <v>0</v>
      </c>
      <c r="S62" s="178">
        <v>0</v>
      </c>
      <c r="T62" s="80">
        <f t="shared" si="29"/>
        <v>0</v>
      </c>
      <c r="U62" s="178">
        <v>0</v>
      </c>
      <c r="V62" s="80">
        <f t="shared" si="30"/>
        <v>0</v>
      </c>
      <c r="X62" s="192"/>
    </row>
    <row r="63" spans="1:24" ht="12.75" customHeight="1">
      <c r="A63" s="2" t="s">
        <v>407</v>
      </c>
      <c r="B63" s="35"/>
      <c r="C63" s="178">
        <v>334.55619569983827</v>
      </c>
      <c r="D63" s="80">
        <f t="shared" si="21"/>
        <v>1.2165679843630482E-2</v>
      </c>
      <c r="E63" s="178">
        <v>373.44505361386086</v>
      </c>
      <c r="F63" s="80">
        <f t="shared" si="22"/>
        <v>1.2345291028557382E-2</v>
      </c>
      <c r="G63" s="178">
        <v>3969.7502848002005</v>
      </c>
      <c r="H63" s="80">
        <f t="shared" si="23"/>
        <v>1.2214616260923693E-2</v>
      </c>
      <c r="I63" s="178">
        <v>4139.1414563263279</v>
      </c>
      <c r="J63" s="80">
        <f t="shared" si="24"/>
        <v>1.2245980640018722E-2</v>
      </c>
      <c r="K63" s="178">
        <v>4248.4671637667052</v>
      </c>
      <c r="L63" s="80">
        <f t="shared" si="25"/>
        <v>1.2208238976341107E-2</v>
      </c>
      <c r="M63" s="178">
        <v>4390.1466859519369</v>
      </c>
      <c r="N63" s="80">
        <f t="shared" si="26"/>
        <v>1.2228820852233807E-2</v>
      </c>
      <c r="O63" s="178">
        <v>4521.7377658683499</v>
      </c>
      <c r="P63" s="80">
        <f t="shared" si="27"/>
        <v>1.2254031885822086E-2</v>
      </c>
      <c r="Q63" s="178">
        <v>4670.2075322612927</v>
      </c>
      <c r="R63" s="80">
        <f t="shared" si="28"/>
        <v>1.2290019821740245E-2</v>
      </c>
      <c r="S63" s="178">
        <v>4831.4505007818343</v>
      </c>
      <c r="T63" s="80">
        <f t="shared" si="29"/>
        <v>1.2325128828525088E-2</v>
      </c>
      <c r="U63" s="178">
        <v>4994.5088876972313</v>
      </c>
      <c r="V63" s="80">
        <f t="shared" si="30"/>
        <v>1.236264576162681E-2</v>
      </c>
      <c r="X63" s="192"/>
    </row>
    <row r="64" spans="1:24" ht="12.75" customHeight="1">
      <c r="A64" s="2" t="s">
        <v>408</v>
      </c>
      <c r="B64" s="35"/>
      <c r="C64" s="178">
        <v>132</v>
      </c>
      <c r="D64" s="80">
        <f t="shared" si="21"/>
        <v>4.7999999999999996E-3</v>
      </c>
      <c r="E64" s="178">
        <v>145.19999999999999</v>
      </c>
      <c r="F64" s="80">
        <f t="shared" si="22"/>
        <v>4.7999999999999987E-3</v>
      </c>
      <c r="G64" s="178">
        <v>1560</v>
      </c>
      <c r="H64" s="80">
        <f t="shared" si="23"/>
        <v>4.7999999999999996E-3</v>
      </c>
      <c r="I64" s="178">
        <v>1622.3999999999999</v>
      </c>
      <c r="J64" s="80">
        <f t="shared" si="24"/>
        <v>4.7999999999999996E-3</v>
      </c>
      <c r="K64" s="178">
        <v>1670.4</v>
      </c>
      <c r="L64" s="80">
        <f t="shared" si="25"/>
        <v>4.8000000000000004E-3</v>
      </c>
      <c r="M64" s="178">
        <v>1723.2</v>
      </c>
      <c r="N64" s="80">
        <f t="shared" si="26"/>
        <v>4.8000000000000004E-3</v>
      </c>
      <c r="O64" s="178">
        <v>1771.1999999999998</v>
      </c>
      <c r="P64" s="80">
        <f t="shared" si="27"/>
        <v>4.7999999999999996E-3</v>
      </c>
      <c r="Q64" s="178">
        <v>1823.9999999999998</v>
      </c>
      <c r="R64" s="80">
        <f t="shared" si="28"/>
        <v>4.7999999999999996E-3</v>
      </c>
      <c r="S64" s="178">
        <v>1881.6</v>
      </c>
      <c r="T64" s="80">
        <f t="shared" si="29"/>
        <v>4.7999999999999996E-3</v>
      </c>
      <c r="U64" s="178">
        <v>1939.1999999999998</v>
      </c>
      <c r="V64" s="80">
        <f t="shared" si="30"/>
        <v>4.7999999999999996E-3</v>
      </c>
      <c r="X64" s="192"/>
    </row>
    <row r="65" spans="1:24" ht="12.75" customHeight="1">
      <c r="A65" s="2" t="s">
        <v>409</v>
      </c>
      <c r="B65" s="35"/>
      <c r="C65" s="178">
        <v>13.75</v>
      </c>
      <c r="D65" s="80">
        <f t="shared" si="21"/>
        <v>5.0000000000000001E-4</v>
      </c>
      <c r="E65" s="178">
        <v>15.125000000000002</v>
      </c>
      <c r="F65" s="80">
        <f t="shared" si="22"/>
        <v>5.0000000000000001E-4</v>
      </c>
      <c r="G65" s="178">
        <v>162.50000000000003</v>
      </c>
      <c r="H65" s="80">
        <f t="shared" si="23"/>
        <v>5.0000000000000012E-4</v>
      </c>
      <c r="I65" s="178">
        <v>169</v>
      </c>
      <c r="J65" s="80">
        <f t="shared" si="24"/>
        <v>5.0000000000000001E-4</v>
      </c>
      <c r="K65" s="178">
        <v>174</v>
      </c>
      <c r="L65" s="80">
        <f t="shared" si="25"/>
        <v>5.0000000000000001E-4</v>
      </c>
      <c r="M65" s="178">
        <v>179.5</v>
      </c>
      <c r="N65" s="80">
        <f t="shared" si="26"/>
        <v>5.0000000000000001E-4</v>
      </c>
      <c r="O65" s="178">
        <v>184.5</v>
      </c>
      <c r="P65" s="80">
        <f t="shared" si="27"/>
        <v>5.0000000000000001E-4</v>
      </c>
      <c r="Q65" s="178">
        <v>190</v>
      </c>
      <c r="R65" s="80">
        <f t="shared" si="28"/>
        <v>5.0000000000000001E-4</v>
      </c>
      <c r="S65" s="178">
        <v>196</v>
      </c>
      <c r="T65" s="80">
        <f t="shared" si="29"/>
        <v>5.0000000000000001E-4</v>
      </c>
      <c r="U65" s="178">
        <v>201.99999999999997</v>
      </c>
      <c r="V65" s="80">
        <f t="shared" si="30"/>
        <v>4.999999999999999E-4</v>
      </c>
      <c r="X65" s="192"/>
    </row>
    <row r="66" spans="1:24" ht="12.75" customHeight="1">
      <c r="A66" s="2" t="s">
        <v>410</v>
      </c>
      <c r="B66" s="35"/>
      <c r="C66" s="178">
        <v>77</v>
      </c>
      <c r="D66" s="80">
        <f t="shared" si="21"/>
        <v>2.8E-3</v>
      </c>
      <c r="E66" s="178">
        <v>84.7</v>
      </c>
      <c r="F66" s="80">
        <f t="shared" si="22"/>
        <v>2.8E-3</v>
      </c>
      <c r="G66" s="178">
        <v>910.00000000000011</v>
      </c>
      <c r="H66" s="80">
        <f t="shared" si="23"/>
        <v>2.8000000000000004E-3</v>
      </c>
      <c r="I66" s="178">
        <v>946.40000000000009</v>
      </c>
      <c r="J66" s="80">
        <f t="shared" si="24"/>
        <v>2.8000000000000004E-3</v>
      </c>
      <c r="K66" s="178">
        <v>974.40000000000009</v>
      </c>
      <c r="L66" s="80">
        <f t="shared" si="25"/>
        <v>2.8000000000000004E-3</v>
      </c>
      <c r="M66" s="178">
        <v>1005.2000000000002</v>
      </c>
      <c r="N66" s="80">
        <f t="shared" si="26"/>
        <v>2.8000000000000004E-3</v>
      </c>
      <c r="O66" s="178">
        <v>1033.2</v>
      </c>
      <c r="P66" s="80">
        <f t="shared" si="27"/>
        <v>2.8E-3</v>
      </c>
      <c r="Q66" s="178">
        <v>1064</v>
      </c>
      <c r="R66" s="80">
        <f t="shared" si="28"/>
        <v>2.8E-3</v>
      </c>
      <c r="S66" s="178">
        <v>1097.6000000000001</v>
      </c>
      <c r="T66" s="80">
        <f t="shared" si="29"/>
        <v>2.8000000000000004E-3</v>
      </c>
      <c r="U66" s="178">
        <v>1131.2</v>
      </c>
      <c r="V66" s="80">
        <f t="shared" si="30"/>
        <v>2.8E-3</v>
      </c>
      <c r="X66" s="192"/>
    </row>
    <row r="67" spans="1:24" ht="12.75" customHeight="1">
      <c r="A67" s="2" t="s">
        <v>411</v>
      </c>
      <c r="B67" s="35"/>
      <c r="C67" s="178">
        <v>412.5</v>
      </c>
      <c r="D67" s="80">
        <f t="shared" si="21"/>
        <v>1.4999999999999999E-2</v>
      </c>
      <c r="E67" s="178">
        <v>453.75000000000006</v>
      </c>
      <c r="F67" s="80">
        <f t="shared" si="22"/>
        <v>1.4999999999999999E-2</v>
      </c>
      <c r="G67" s="178">
        <v>4875</v>
      </c>
      <c r="H67" s="80">
        <f t="shared" si="23"/>
        <v>1.4999999999999999E-2</v>
      </c>
      <c r="I67" s="178">
        <v>5070</v>
      </c>
      <c r="J67" s="80">
        <f t="shared" si="24"/>
        <v>1.4999999999999999E-2</v>
      </c>
      <c r="K67" s="178">
        <v>5220</v>
      </c>
      <c r="L67" s="80">
        <f t="shared" si="25"/>
        <v>1.4999999999999999E-2</v>
      </c>
      <c r="M67" s="178">
        <v>5385</v>
      </c>
      <c r="N67" s="80">
        <f t="shared" si="26"/>
        <v>1.4999999999999999E-2</v>
      </c>
      <c r="O67" s="178">
        <v>5534.9999999999991</v>
      </c>
      <c r="P67" s="80">
        <f t="shared" si="27"/>
        <v>1.4999999999999998E-2</v>
      </c>
      <c r="Q67" s="178">
        <v>5700</v>
      </c>
      <c r="R67" s="80">
        <f t="shared" si="28"/>
        <v>1.4999999999999999E-2</v>
      </c>
      <c r="S67" s="178">
        <v>5880</v>
      </c>
      <c r="T67" s="80">
        <f t="shared" si="29"/>
        <v>1.4999999999999999E-2</v>
      </c>
      <c r="U67" s="178">
        <v>6059.9999999999991</v>
      </c>
      <c r="V67" s="80">
        <f t="shared" si="30"/>
        <v>1.4999999999999998E-2</v>
      </c>
      <c r="X67" s="192"/>
    </row>
    <row r="68" spans="1:24" ht="12.75" customHeight="1">
      <c r="A68" s="2" t="s">
        <v>412</v>
      </c>
      <c r="B68" s="35"/>
      <c r="C68" s="178">
        <v>46.749999999999993</v>
      </c>
      <c r="D68" s="80">
        <f t="shared" si="21"/>
        <v>1.6999999999999997E-3</v>
      </c>
      <c r="E68" s="178">
        <v>51.424999999999997</v>
      </c>
      <c r="F68" s="80">
        <f t="shared" si="22"/>
        <v>1.6999999999999997E-3</v>
      </c>
      <c r="G68" s="178">
        <v>552.5</v>
      </c>
      <c r="H68" s="80">
        <f t="shared" si="23"/>
        <v>1.6999999999999999E-3</v>
      </c>
      <c r="I68" s="178">
        <v>574.59999999999991</v>
      </c>
      <c r="J68" s="80">
        <f t="shared" si="24"/>
        <v>1.6999999999999997E-3</v>
      </c>
      <c r="K68" s="178">
        <v>591.6</v>
      </c>
      <c r="L68" s="80">
        <f t="shared" si="25"/>
        <v>1.7000000000000001E-3</v>
      </c>
      <c r="M68" s="178">
        <v>610.29999999999995</v>
      </c>
      <c r="N68" s="80">
        <f t="shared" si="26"/>
        <v>1.6999999999999999E-3</v>
      </c>
      <c r="O68" s="178">
        <v>627.29999999999995</v>
      </c>
      <c r="P68" s="80">
        <f t="shared" si="27"/>
        <v>1.6999999999999999E-3</v>
      </c>
      <c r="Q68" s="178">
        <v>646</v>
      </c>
      <c r="R68" s="80">
        <f t="shared" si="28"/>
        <v>1.6999999999999999E-3</v>
      </c>
      <c r="S68" s="178">
        <v>666.4</v>
      </c>
      <c r="T68" s="80">
        <f t="shared" si="29"/>
        <v>1.6999999999999999E-3</v>
      </c>
      <c r="U68" s="178">
        <v>686.8</v>
      </c>
      <c r="V68" s="80">
        <f t="shared" si="30"/>
        <v>1.6999999999999999E-3</v>
      </c>
      <c r="X68" s="192"/>
    </row>
    <row r="69" spans="1:24" ht="12.75" customHeight="1">
      <c r="A69" s="2" t="s">
        <v>413</v>
      </c>
      <c r="B69" s="35"/>
      <c r="C69" s="178">
        <v>0</v>
      </c>
      <c r="D69" s="80">
        <f t="shared" si="21"/>
        <v>0</v>
      </c>
      <c r="E69" s="178">
        <v>0</v>
      </c>
      <c r="F69" s="80">
        <f t="shared" si="22"/>
        <v>0</v>
      </c>
      <c r="G69" s="178">
        <v>0</v>
      </c>
      <c r="H69" s="80">
        <f t="shared" si="23"/>
        <v>0</v>
      </c>
      <c r="I69" s="178">
        <v>0</v>
      </c>
      <c r="J69" s="80">
        <f t="shared" si="24"/>
        <v>0</v>
      </c>
      <c r="K69" s="178">
        <v>0</v>
      </c>
      <c r="L69" s="80">
        <f t="shared" si="25"/>
        <v>0</v>
      </c>
      <c r="M69" s="178">
        <v>0</v>
      </c>
      <c r="N69" s="80">
        <f t="shared" si="26"/>
        <v>0</v>
      </c>
      <c r="O69" s="178">
        <v>0</v>
      </c>
      <c r="P69" s="80">
        <f t="shared" si="27"/>
        <v>0</v>
      </c>
      <c r="Q69" s="178">
        <v>0</v>
      </c>
      <c r="R69" s="80">
        <f t="shared" si="28"/>
        <v>0</v>
      </c>
      <c r="S69" s="178">
        <v>0</v>
      </c>
      <c r="T69" s="80">
        <f t="shared" si="29"/>
        <v>0</v>
      </c>
      <c r="U69" s="178">
        <v>0</v>
      </c>
      <c r="V69" s="80">
        <f t="shared" si="30"/>
        <v>0</v>
      </c>
      <c r="X69" s="192"/>
    </row>
    <row r="70" spans="1:24" ht="12.75" customHeight="1">
      <c r="A70" s="2" t="s">
        <v>414</v>
      </c>
      <c r="B70" s="35"/>
      <c r="C70" s="178">
        <v>2.7500000000000004</v>
      </c>
      <c r="D70" s="80">
        <f t="shared" si="21"/>
        <v>1.0000000000000002E-4</v>
      </c>
      <c r="E70" s="178">
        <v>3.0250000000000004</v>
      </c>
      <c r="F70" s="80">
        <f t="shared" si="22"/>
        <v>1E-4</v>
      </c>
      <c r="G70" s="178">
        <v>32.500000000000007</v>
      </c>
      <c r="H70" s="80">
        <f t="shared" si="23"/>
        <v>1.0000000000000002E-4</v>
      </c>
      <c r="I70" s="178">
        <v>33.800000000000004</v>
      </c>
      <c r="J70" s="80">
        <f t="shared" si="24"/>
        <v>1.0000000000000002E-4</v>
      </c>
      <c r="K70" s="178">
        <v>34.800000000000004</v>
      </c>
      <c r="L70" s="80">
        <f t="shared" si="25"/>
        <v>1.0000000000000002E-4</v>
      </c>
      <c r="M70" s="178">
        <v>35.900000000000006</v>
      </c>
      <c r="N70" s="80">
        <f t="shared" si="26"/>
        <v>1.0000000000000002E-4</v>
      </c>
      <c r="O70" s="178">
        <v>36.9</v>
      </c>
      <c r="P70" s="80">
        <f t="shared" si="27"/>
        <v>9.9999999999999991E-5</v>
      </c>
      <c r="Q70" s="178">
        <v>38.000000000000007</v>
      </c>
      <c r="R70" s="80">
        <f t="shared" si="28"/>
        <v>1.0000000000000002E-4</v>
      </c>
      <c r="S70" s="178">
        <v>39.200000000000003</v>
      </c>
      <c r="T70" s="80">
        <f t="shared" si="29"/>
        <v>1E-4</v>
      </c>
      <c r="U70" s="178">
        <v>40.4</v>
      </c>
      <c r="V70" s="80">
        <f t="shared" si="30"/>
        <v>9.9999999999999991E-5</v>
      </c>
      <c r="X70" s="192"/>
    </row>
    <row r="71" spans="1:24" ht="12.75" customHeight="1">
      <c r="A71" s="2" t="s">
        <v>415</v>
      </c>
      <c r="B71" s="35"/>
      <c r="C71" s="178">
        <v>0</v>
      </c>
      <c r="D71" s="80">
        <f t="shared" si="21"/>
        <v>0</v>
      </c>
      <c r="E71" s="178">
        <v>0</v>
      </c>
      <c r="F71" s="80">
        <f t="shared" si="22"/>
        <v>0</v>
      </c>
      <c r="G71" s="178">
        <v>0</v>
      </c>
      <c r="H71" s="80">
        <f t="shared" si="23"/>
        <v>0</v>
      </c>
      <c r="I71" s="178">
        <v>0</v>
      </c>
      <c r="J71" s="80">
        <f t="shared" si="24"/>
        <v>0</v>
      </c>
      <c r="K71" s="178">
        <v>0</v>
      </c>
      <c r="L71" s="80">
        <f t="shared" si="25"/>
        <v>0</v>
      </c>
      <c r="M71" s="178">
        <v>0</v>
      </c>
      <c r="N71" s="80">
        <f t="shared" si="26"/>
        <v>0</v>
      </c>
      <c r="O71" s="178">
        <v>0</v>
      </c>
      <c r="P71" s="80">
        <f t="shared" si="27"/>
        <v>0</v>
      </c>
      <c r="Q71" s="178">
        <v>0</v>
      </c>
      <c r="R71" s="80">
        <f t="shared" si="28"/>
        <v>0</v>
      </c>
      <c r="S71" s="178">
        <v>0</v>
      </c>
      <c r="T71" s="80">
        <f t="shared" si="29"/>
        <v>0</v>
      </c>
      <c r="U71" s="178">
        <v>0</v>
      </c>
      <c r="V71" s="80">
        <f t="shared" si="30"/>
        <v>0</v>
      </c>
      <c r="X71" s="192"/>
    </row>
    <row r="72" spans="1:24" ht="12.75" customHeight="1">
      <c r="A72" s="2" t="s">
        <v>416</v>
      </c>
      <c r="B72" s="35"/>
      <c r="C72" s="178">
        <v>0</v>
      </c>
      <c r="D72" s="80">
        <f t="shared" si="21"/>
        <v>0</v>
      </c>
      <c r="E72" s="178">
        <v>0</v>
      </c>
      <c r="F72" s="80">
        <f t="shared" si="22"/>
        <v>0</v>
      </c>
      <c r="G72" s="178">
        <v>0</v>
      </c>
      <c r="H72" s="80">
        <f t="shared" si="23"/>
        <v>0</v>
      </c>
      <c r="I72" s="178">
        <v>0</v>
      </c>
      <c r="J72" s="80">
        <f t="shared" si="24"/>
        <v>0</v>
      </c>
      <c r="K72" s="178">
        <v>0</v>
      </c>
      <c r="L72" s="80">
        <f t="shared" si="25"/>
        <v>0</v>
      </c>
      <c r="M72" s="178">
        <v>0</v>
      </c>
      <c r="N72" s="80">
        <f t="shared" si="26"/>
        <v>0</v>
      </c>
      <c r="O72" s="178">
        <v>0</v>
      </c>
      <c r="P72" s="80">
        <f t="shared" si="27"/>
        <v>0</v>
      </c>
      <c r="Q72" s="178">
        <v>0</v>
      </c>
      <c r="R72" s="80">
        <f t="shared" si="28"/>
        <v>0</v>
      </c>
      <c r="S72" s="178">
        <v>0</v>
      </c>
      <c r="T72" s="80">
        <f t="shared" si="29"/>
        <v>0</v>
      </c>
      <c r="U72" s="178">
        <v>0</v>
      </c>
      <c r="V72" s="80">
        <f t="shared" si="30"/>
        <v>0</v>
      </c>
      <c r="X72" s="192"/>
    </row>
    <row r="73" spans="1:24" ht="12.75" customHeight="1">
      <c r="A73" s="2" t="s">
        <v>417</v>
      </c>
      <c r="B73" s="35"/>
      <c r="C73" s="178">
        <v>0</v>
      </c>
      <c r="D73" s="80">
        <f t="shared" si="21"/>
        <v>0</v>
      </c>
      <c r="E73" s="178">
        <v>0</v>
      </c>
      <c r="F73" s="80">
        <f t="shared" si="22"/>
        <v>0</v>
      </c>
      <c r="G73" s="178">
        <v>0</v>
      </c>
      <c r="H73" s="80">
        <f t="shared" si="23"/>
        <v>0</v>
      </c>
      <c r="I73" s="178">
        <v>0</v>
      </c>
      <c r="J73" s="80">
        <f t="shared" si="24"/>
        <v>0</v>
      </c>
      <c r="K73" s="178">
        <v>0</v>
      </c>
      <c r="L73" s="80">
        <f t="shared" si="25"/>
        <v>0</v>
      </c>
      <c r="M73" s="178">
        <v>0</v>
      </c>
      <c r="N73" s="80">
        <f t="shared" si="26"/>
        <v>0</v>
      </c>
      <c r="O73" s="178">
        <v>0</v>
      </c>
      <c r="P73" s="80">
        <f t="shared" si="27"/>
        <v>0</v>
      </c>
      <c r="Q73" s="178">
        <v>0</v>
      </c>
      <c r="R73" s="80">
        <f t="shared" si="28"/>
        <v>0</v>
      </c>
      <c r="S73" s="178">
        <v>0</v>
      </c>
      <c r="T73" s="80">
        <f t="shared" si="29"/>
        <v>0</v>
      </c>
      <c r="U73" s="178">
        <v>0</v>
      </c>
      <c r="V73" s="80">
        <f t="shared" si="30"/>
        <v>0</v>
      </c>
      <c r="X73" s="192"/>
    </row>
    <row r="74" spans="1:24" ht="12.75" customHeight="1">
      <c r="A74" s="2" t="s">
        <v>418</v>
      </c>
      <c r="B74" s="35"/>
      <c r="C74" s="178">
        <v>0</v>
      </c>
      <c r="D74" s="80">
        <f t="shared" si="21"/>
        <v>0</v>
      </c>
      <c r="E74" s="178">
        <v>0</v>
      </c>
      <c r="F74" s="80">
        <f t="shared" si="22"/>
        <v>0</v>
      </c>
      <c r="G74" s="178">
        <v>0</v>
      </c>
      <c r="H74" s="80">
        <f t="shared" si="23"/>
        <v>0</v>
      </c>
      <c r="I74" s="178">
        <v>0</v>
      </c>
      <c r="J74" s="80">
        <f t="shared" si="24"/>
        <v>0</v>
      </c>
      <c r="K74" s="178">
        <v>0</v>
      </c>
      <c r="L74" s="80">
        <f t="shared" si="25"/>
        <v>0</v>
      </c>
      <c r="M74" s="178">
        <v>0</v>
      </c>
      <c r="N74" s="80">
        <f t="shared" si="26"/>
        <v>0</v>
      </c>
      <c r="O74" s="178">
        <v>0</v>
      </c>
      <c r="P74" s="80">
        <f t="shared" si="27"/>
        <v>0</v>
      </c>
      <c r="Q74" s="178">
        <v>0</v>
      </c>
      <c r="R74" s="80">
        <f t="shared" si="28"/>
        <v>0</v>
      </c>
      <c r="S74" s="178">
        <v>0</v>
      </c>
      <c r="T74" s="80">
        <f t="shared" si="29"/>
        <v>0</v>
      </c>
      <c r="U74" s="178">
        <v>0</v>
      </c>
      <c r="V74" s="80">
        <f t="shared" si="30"/>
        <v>0</v>
      </c>
      <c r="X74" s="192"/>
    </row>
    <row r="75" spans="1:24" ht="12.75" customHeight="1">
      <c r="A75" s="2" t="s">
        <v>419</v>
      </c>
      <c r="B75" s="35"/>
      <c r="C75" s="178">
        <v>123.75</v>
      </c>
      <c r="D75" s="80">
        <f t="shared" si="21"/>
        <v>4.4999999999999997E-3</v>
      </c>
      <c r="E75" s="178">
        <v>136.125</v>
      </c>
      <c r="F75" s="80">
        <f t="shared" si="22"/>
        <v>4.4999999999999997E-3</v>
      </c>
      <c r="G75" s="178">
        <v>1462.5</v>
      </c>
      <c r="H75" s="80">
        <f t="shared" si="23"/>
        <v>4.4999999999999997E-3</v>
      </c>
      <c r="I75" s="178">
        <v>1521</v>
      </c>
      <c r="J75" s="80">
        <f t="shared" si="24"/>
        <v>4.4999999999999997E-3</v>
      </c>
      <c r="K75" s="178">
        <v>1566</v>
      </c>
      <c r="L75" s="80">
        <f t="shared" si="25"/>
        <v>4.4999999999999997E-3</v>
      </c>
      <c r="M75" s="178">
        <v>1615.5</v>
      </c>
      <c r="N75" s="80">
        <f t="shared" si="26"/>
        <v>4.4999999999999997E-3</v>
      </c>
      <c r="O75" s="178">
        <v>1660.4999999999998</v>
      </c>
      <c r="P75" s="80">
        <f t="shared" si="27"/>
        <v>4.4999999999999997E-3</v>
      </c>
      <c r="Q75" s="178">
        <v>1710</v>
      </c>
      <c r="R75" s="80">
        <f t="shared" si="28"/>
        <v>4.4999999999999997E-3</v>
      </c>
      <c r="S75" s="178">
        <v>1764</v>
      </c>
      <c r="T75" s="80">
        <f t="shared" si="29"/>
        <v>4.4999999999999997E-3</v>
      </c>
      <c r="U75" s="178">
        <v>1817.9999999999998</v>
      </c>
      <c r="V75" s="80">
        <f t="shared" si="30"/>
        <v>4.4999999999999997E-3</v>
      </c>
      <c r="X75" s="192"/>
    </row>
    <row r="76" spans="1:24" ht="12.75" customHeight="1">
      <c r="A76" s="2" t="s">
        <v>420</v>
      </c>
      <c r="B76" s="35"/>
      <c r="C76" s="178">
        <v>11.000000000000002</v>
      </c>
      <c r="D76" s="80">
        <f t="shared" si="21"/>
        <v>4.0000000000000007E-4</v>
      </c>
      <c r="E76" s="178">
        <v>12.100000000000001</v>
      </c>
      <c r="F76" s="80">
        <f t="shared" si="22"/>
        <v>4.0000000000000002E-4</v>
      </c>
      <c r="G76" s="178">
        <v>130.00000000000003</v>
      </c>
      <c r="H76" s="80">
        <f t="shared" si="23"/>
        <v>4.0000000000000007E-4</v>
      </c>
      <c r="I76" s="178">
        <v>135.20000000000002</v>
      </c>
      <c r="J76" s="80">
        <f t="shared" si="24"/>
        <v>4.0000000000000007E-4</v>
      </c>
      <c r="K76" s="178">
        <v>139.20000000000002</v>
      </c>
      <c r="L76" s="80">
        <f t="shared" si="25"/>
        <v>4.0000000000000007E-4</v>
      </c>
      <c r="M76" s="178">
        <v>143.60000000000002</v>
      </c>
      <c r="N76" s="80">
        <f t="shared" si="26"/>
        <v>4.0000000000000007E-4</v>
      </c>
      <c r="O76" s="178">
        <v>147.6</v>
      </c>
      <c r="P76" s="80">
        <f t="shared" si="27"/>
        <v>3.9999999999999996E-4</v>
      </c>
      <c r="Q76" s="178">
        <v>152.00000000000003</v>
      </c>
      <c r="R76" s="80">
        <f t="shared" si="28"/>
        <v>4.0000000000000007E-4</v>
      </c>
      <c r="S76" s="178">
        <v>156.80000000000001</v>
      </c>
      <c r="T76" s="80">
        <f t="shared" si="29"/>
        <v>4.0000000000000002E-4</v>
      </c>
      <c r="U76" s="178">
        <v>161.6</v>
      </c>
      <c r="V76" s="80">
        <f t="shared" si="30"/>
        <v>3.9999999999999996E-4</v>
      </c>
      <c r="X76" s="192"/>
    </row>
    <row r="77" spans="1:24" ht="12.75" customHeight="1">
      <c r="A77" s="2" t="s">
        <v>421</v>
      </c>
      <c r="B77" s="35"/>
      <c r="C77" s="178">
        <v>35.75</v>
      </c>
      <c r="D77" s="80">
        <f t="shared" si="21"/>
        <v>1.2999999999999999E-3</v>
      </c>
      <c r="E77" s="178">
        <v>39.325000000000003</v>
      </c>
      <c r="F77" s="80">
        <f t="shared" si="22"/>
        <v>1.2999999999999999E-3</v>
      </c>
      <c r="G77" s="178">
        <v>422.5</v>
      </c>
      <c r="H77" s="80">
        <f t="shared" si="23"/>
        <v>1.2999999999999999E-3</v>
      </c>
      <c r="I77" s="178">
        <v>439.40000000000003</v>
      </c>
      <c r="J77" s="80">
        <f t="shared" si="24"/>
        <v>1.3000000000000002E-3</v>
      </c>
      <c r="K77" s="178">
        <v>452.4</v>
      </c>
      <c r="L77" s="80">
        <f t="shared" si="25"/>
        <v>1.2999999999999999E-3</v>
      </c>
      <c r="M77" s="178">
        <v>466.70000000000005</v>
      </c>
      <c r="N77" s="80">
        <f t="shared" si="26"/>
        <v>1.3000000000000002E-3</v>
      </c>
      <c r="O77" s="178">
        <v>479.69999999999993</v>
      </c>
      <c r="P77" s="80">
        <f t="shared" si="27"/>
        <v>1.2999999999999997E-3</v>
      </c>
      <c r="Q77" s="178">
        <v>493.99999999999994</v>
      </c>
      <c r="R77" s="80">
        <f t="shared" si="28"/>
        <v>1.2999999999999999E-3</v>
      </c>
      <c r="S77" s="178">
        <v>509.6</v>
      </c>
      <c r="T77" s="80">
        <f t="shared" si="29"/>
        <v>1.3000000000000002E-3</v>
      </c>
      <c r="U77" s="178">
        <v>525.19999999999993</v>
      </c>
      <c r="V77" s="80">
        <f t="shared" si="30"/>
        <v>1.2999999999999997E-3</v>
      </c>
      <c r="X77" s="192"/>
    </row>
    <row r="78" spans="1:24" ht="12.75" customHeight="1">
      <c r="A78" s="2" t="s">
        <v>422</v>
      </c>
      <c r="B78" s="35"/>
      <c r="C78" s="178">
        <v>605</v>
      </c>
      <c r="D78" s="80">
        <f t="shared" si="21"/>
        <v>2.1999999999999999E-2</v>
      </c>
      <c r="E78" s="178">
        <v>665.5</v>
      </c>
      <c r="F78" s="80">
        <f t="shared" si="22"/>
        <v>2.1999999999999999E-2</v>
      </c>
      <c r="G78" s="178">
        <v>7150</v>
      </c>
      <c r="H78" s="80">
        <f t="shared" si="23"/>
        <v>2.1999999999999999E-2</v>
      </c>
      <c r="I78" s="178">
        <v>7436</v>
      </c>
      <c r="J78" s="80">
        <f t="shared" si="24"/>
        <v>2.1999999999999999E-2</v>
      </c>
      <c r="K78" s="178">
        <v>7656</v>
      </c>
      <c r="L78" s="80">
        <f t="shared" si="25"/>
        <v>2.1999999999999999E-2</v>
      </c>
      <c r="M78" s="178">
        <v>7898</v>
      </c>
      <c r="N78" s="80">
        <f t="shared" si="26"/>
        <v>2.1999999999999999E-2</v>
      </c>
      <c r="O78" s="178">
        <v>8117.9999999999991</v>
      </c>
      <c r="P78" s="80">
        <f t="shared" si="27"/>
        <v>2.1999999999999999E-2</v>
      </c>
      <c r="Q78" s="178">
        <v>8360</v>
      </c>
      <c r="R78" s="80">
        <f t="shared" si="28"/>
        <v>2.1999999999999999E-2</v>
      </c>
      <c r="S78" s="178">
        <v>8624</v>
      </c>
      <c r="T78" s="80">
        <f t="shared" si="29"/>
        <v>2.1999999999999999E-2</v>
      </c>
      <c r="U78" s="178">
        <v>8888</v>
      </c>
      <c r="V78" s="80">
        <f t="shared" si="30"/>
        <v>2.1999999999999999E-2</v>
      </c>
      <c r="X78" s="192"/>
    </row>
    <row r="79" spans="1:24" ht="12.75" customHeight="1">
      <c r="A79" s="2" t="s">
        <v>423</v>
      </c>
      <c r="B79" s="35"/>
      <c r="C79" s="178">
        <v>0</v>
      </c>
      <c r="D79" s="80">
        <f t="shared" si="21"/>
        <v>0</v>
      </c>
      <c r="E79" s="178">
        <v>0</v>
      </c>
      <c r="F79" s="80">
        <f t="shared" si="22"/>
        <v>0</v>
      </c>
      <c r="G79" s="178">
        <v>0</v>
      </c>
      <c r="H79" s="80">
        <f t="shared" si="23"/>
        <v>0</v>
      </c>
      <c r="I79" s="178">
        <v>0</v>
      </c>
      <c r="J79" s="80">
        <f t="shared" si="24"/>
        <v>0</v>
      </c>
      <c r="K79" s="178">
        <v>0</v>
      </c>
      <c r="L79" s="80">
        <f t="shared" si="25"/>
        <v>0</v>
      </c>
      <c r="M79" s="178">
        <v>0</v>
      </c>
      <c r="N79" s="80">
        <f t="shared" si="26"/>
        <v>0</v>
      </c>
      <c r="O79" s="178">
        <v>0</v>
      </c>
      <c r="P79" s="80">
        <f t="shared" si="27"/>
        <v>0</v>
      </c>
      <c r="Q79" s="178">
        <v>0</v>
      </c>
      <c r="R79" s="80">
        <f t="shared" si="28"/>
        <v>0</v>
      </c>
      <c r="S79" s="178">
        <v>0</v>
      </c>
      <c r="T79" s="80">
        <f t="shared" si="29"/>
        <v>0</v>
      </c>
      <c r="U79" s="178">
        <v>0</v>
      </c>
      <c r="V79" s="80">
        <f t="shared" si="30"/>
        <v>0</v>
      </c>
      <c r="X79" s="192"/>
    </row>
    <row r="80" spans="1:24" ht="12.75" customHeight="1">
      <c r="A80" s="2" t="s">
        <v>424</v>
      </c>
      <c r="B80" s="35"/>
      <c r="C80" s="178">
        <v>0</v>
      </c>
      <c r="D80" s="80">
        <f t="shared" si="21"/>
        <v>0</v>
      </c>
      <c r="E80" s="178">
        <v>0</v>
      </c>
      <c r="F80" s="80">
        <f t="shared" si="22"/>
        <v>0</v>
      </c>
      <c r="G80" s="178">
        <v>0</v>
      </c>
      <c r="H80" s="80">
        <f t="shared" si="23"/>
        <v>0</v>
      </c>
      <c r="I80" s="178">
        <v>0</v>
      </c>
      <c r="J80" s="80">
        <f t="shared" si="24"/>
        <v>0</v>
      </c>
      <c r="K80" s="178">
        <v>0</v>
      </c>
      <c r="L80" s="80">
        <f t="shared" si="25"/>
        <v>0</v>
      </c>
      <c r="M80" s="178">
        <v>0</v>
      </c>
      <c r="N80" s="80">
        <f t="shared" si="26"/>
        <v>0</v>
      </c>
      <c r="O80" s="178">
        <v>0</v>
      </c>
      <c r="P80" s="80">
        <f t="shared" si="27"/>
        <v>0</v>
      </c>
      <c r="Q80" s="178">
        <v>0</v>
      </c>
      <c r="R80" s="80">
        <f t="shared" si="28"/>
        <v>0</v>
      </c>
      <c r="S80" s="178">
        <v>0</v>
      </c>
      <c r="T80" s="80">
        <f t="shared" si="29"/>
        <v>0</v>
      </c>
      <c r="U80" s="178">
        <v>0</v>
      </c>
      <c r="V80" s="80">
        <f t="shared" si="30"/>
        <v>0</v>
      </c>
      <c r="X80" s="192"/>
    </row>
    <row r="81" spans="1:24" ht="12.75" customHeight="1">
      <c r="A81" s="2" t="s">
        <v>425</v>
      </c>
      <c r="B81" s="35"/>
      <c r="C81" s="178">
        <v>0</v>
      </c>
      <c r="D81" s="80">
        <f t="shared" si="21"/>
        <v>0</v>
      </c>
      <c r="E81" s="178">
        <v>0</v>
      </c>
      <c r="F81" s="80">
        <f t="shared" si="22"/>
        <v>0</v>
      </c>
      <c r="G81" s="178">
        <v>0</v>
      </c>
      <c r="H81" s="80">
        <f t="shared" si="23"/>
        <v>0</v>
      </c>
      <c r="I81" s="178">
        <v>0</v>
      </c>
      <c r="J81" s="80">
        <f t="shared" si="24"/>
        <v>0</v>
      </c>
      <c r="K81" s="178">
        <v>0</v>
      </c>
      <c r="L81" s="80">
        <f t="shared" si="25"/>
        <v>0</v>
      </c>
      <c r="M81" s="178">
        <v>0</v>
      </c>
      <c r="N81" s="80">
        <f t="shared" si="26"/>
        <v>0</v>
      </c>
      <c r="O81" s="178">
        <v>0</v>
      </c>
      <c r="P81" s="80">
        <f t="shared" si="27"/>
        <v>0</v>
      </c>
      <c r="Q81" s="178">
        <v>0</v>
      </c>
      <c r="R81" s="80">
        <f t="shared" si="28"/>
        <v>0</v>
      </c>
      <c r="S81" s="178">
        <v>0</v>
      </c>
      <c r="T81" s="80">
        <f t="shared" si="29"/>
        <v>0</v>
      </c>
      <c r="U81" s="178">
        <v>0</v>
      </c>
      <c r="V81" s="80">
        <f t="shared" si="30"/>
        <v>0</v>
      </c>
      <c r="X81" s="192"/>
    </row>
    <row r="82" spans="1:24" ht="12.75" customHeight="1">
      <c r="A82" s="2" t="s">
        <v>426</v>
      </c>
      <c r="B82" s="35"/>
      <c r="C82" s="178">
        <v>0</v>
      </c>
      <c r="D82" s="80">
        <f t="shared" si="21"/>
        <v>0</v>
      </c>
      <c r="E82" s="178">
        <v>0</v>
      </c>
      <c r="F82" s="80">
        <f t="shared" si="22"/>
        <v>0</v>
      </c>
      <c r="G82" s="178">
        <v>0</v>
      </c>
      <c r="H82" s="80">
        <f t="shared" si="23"/>
        <v>0</v>
      </c>
      <c r="I82" s="178">
        <v>0</v>
      </c>
      <c r="J82" s="80">
        <f t="shared" si="24"/>
        <v>0</v>
      </c>
      <c r="K82" s="178">
        <v>0</v>
      </c>
      <c r="L82" s="80">
        <f t="shared" si="25"/>
        <v>0</v>
      </c>
      <c r="M82" s="178">
        <v>0</v>
      </c>
      <c r="N82" s="80">
        <f t="shared" si="26"/>
        <v>0</v>
      </c>
      <c r="O82" s="178">
        <v>0</v>
      </c>
      <c r="P82" s="80">
        <f t="shared" si="27"/>
        <v>0</v>
      </c>
      <c r="Q82" s="178">
        <v>0</v>
      </c>
      <c r="R82" s="80">
        <f t="shared" si="28"/>
        <v>0</v>
      </c>
      <c r="S82" s="178">
        <v>0</v>
      </c>
      <c r="T82" s="80">
        <f t="shared" si="29"/>
        <v>0</v>
      </c>
      <c r="U82" s="178">
        <v>0</v>
      </c>
      <c r="V82" s="80">
        <f t="shared" si="30"/>
        <v>0</v>
      </c>
      <c r="X82" s="192"/>
    </row>
    <row r="83" spans="1:24" ht="12.75" customHeight="1">
      <c r="A83" s="2" t="s">
        <v>427</v>
      </c>
      <c r="B83" s="35"/>
      <c r="C83" s="178">
        <v>0</v>
      </c>
      <c r="D83" s="80">
        <f t="shared" si="21"/>
        <v>0</v>
      </c>
      <c r="E83" s="178">
        <v>0</v>
      </c>
      <c r="F83" s="80">
        <f t="shared" si="22"/>
        <v>0</v>
      </c>
      <c r="G83" s="178">
        <v>0</v>
      </c>
      <c r="H83" s="80">
        <f t="shared" si="23"/>
        <v>0</v>
      </c>
      <c r="I83" s="178">
        <v>0</v>
      </c>
      <c r="J83" s="80">
        <f t="shared" si="24"/>
        <v>0</v>
      </c>
      <c r="K83" s="178">
        <v>0</v>
      </c>
      <c r="L83" s="80">
        <f t="shared" si="25"/>
        <v>0</v>
      </c>
      <c r="M83" s="178">
        <v>0</v>
      </c>
      <c r="N83" s="80">
        <f t="shared" si="26"/>
        <v>0</v>
      </c>
      <c r="O83" s="178">
        <v>0</v>
      </c>
      <c r="P83" s="80">
        <f t="shared" si="27"/>
        <v>0</v>
      </c>
      <c r="Q83" s="178">
        <v>0</v>
      </c>
      <c r="R83" s="80">
        <f t="shared" si="28"/>
        <v>0</v>
      </c>
      <c r="S83" s="178">
        <v>0</v>
      </c>
      <c r="T83" s="80">
        <f t="shared" si="29"/>
        <v>0</v>
      </c>
      <c r="U83" s="178">
        <v>0</v>
      </c>
      <c r="V83" s="80">
        <f t="shared" si="30"/>
        <v>0</v>
      </c>
      <c r="X83" s="192"/>
    </row>
    <row r="84" spans="1:24" ht="12.75" customHeight="1">
      <c r="A84" s="2" t="s">
        <v>428</v>
      </c>
      <c r="B84" s="35"/>
      <c r="C84" s="178">
        <v>0</v>
      </c>
      <c r="D84" s="80">
        <f t="shared" si="21"/>
        <v>0</v>
      </c>
      <c r="E84" s="178">
        <v>0</v>
      </c>
      <c r="F84" s="80">
        <f t="shared" si="22"/>
        <v>0</v>
      </c>
      <c r="G84" s="178">
        <v>0</v>
      </c>
      <c r="H84" s="80">
        <f t="shared" si="23"/>
        <v>0</v>
      </c>
      <c r="I84" s="178">
        <v>0</v>
      </c>
      <c r="J84" s="80">
        <f t="shared" si="24"/>
        <v>0</v>
      </c>
      <c r="K84" s="178">
        <v>0</v>
      </c>
      <c r="L84" s="80">
        <f t="shared" si="25"/>
        <v>0</v>
      </c>
      <c r="M84" s="178">
        <v>0</v>
      </c>
      <c r="N84" s="80">
        <f t="shared" si="26"/>
        <v>0</v>
      </c>
      <c r="O84" s="178">
        <v>0</v>
      </c>
      <c r="P84" s="80">
        <f t="shared" si="27"/>
        <v>0</v>
      </c>
      <c r="Q84" s="178">
        <v>0</v>
      </c>
      <c r="R84" s="80">
        <f t="shared" si="28"/>
        <v>0</v>
      </c>
      <c r="S84" s="178">
        <v>0</v>
      </c>
      <c r="T84" s="80">
        <f t="shared" si="29"/>
        <v>0</v>
      </c>
      <c r="U84" s="178">
        <v>0</v>
      </c>
      <c r="V84" s="80">
        <f t="shared" si="30"/>
        <v>0</v>
      </c>
      <c r="X84" s="192"/>
    </row>
    <row r="85" spans="1:24" ht="12.75" customHeight="1">
      <c r="A85" s="2" t="s">
        <v>429</v>
      </c>
      <c r="B85" s="35"/>
      <c r="C85" s="178">
        <v>0</v>
      </c>
      <c r="D85" s="80">
        <f t="shared" si="21"/>
        <v>0</v>
      </c>
      <c r="E85" s="178">
        <v>0</v>
      </c>
      <c r="F85" s="80">
        <f t="shared" si="22"/>
        <v>0</v>
      </c>
      <c r="G85" s="178">
        <v>0</v>
      </c>
      <c r="H85" s="80">
        <f t="shared" si="23"/>
        <v>0</v>
      </c>
      <c r="I85" s="178">
        <v>0</v>
      </c>
      <c r="J85" s="80">
        <f t="shared" si="24"/>
        <v>0</v>
      </c>
      <c r="K85" s="178">
        <v>0</v>
      </c>
      <c r="L85" s="80">
        <f t="shared" si="25"/>
        <v>0</v>
      </c>
      <c r="M85" s="178">
        <v>0</v>
      </c>
      <c r="N85" s="80">
        <f t="shared" si="26"/>
        <v>0</v>
      </c>
      <c r="O85" s="178">
        <v>0</v>
      </c>
      <c r="P85" s="80">
        <f t="shared" si="27"/>
        <v>0</v>
      </c>
      <c r="Q85" s="178">
        <v>0</v>
      </c>
      <c r="R85" s="80">
        <f t="shared" si="28"/>
        <v>0</v>
      </c>
      <c r="S85" s="178">
        <v>0</v>
      </c>
      <c r="T85" s="80">
        <f t="shared" si="29"/>
        <v>0</v>
      </c>
      <c r="U85" s="178">
        <v>0</v>
      </c>
      <c r="V85" s="80">
        <f t="shared" si="30"/>
        <v>0</v>
      </c>
      <c r="X85" s="192"/>
    </row>
    <row r="86" spans="1:24" ht="12.75" customHeight="1">
      <c r="A86" s="2" t="s">
        <v>430</v>
      </c>
      <c r="B86" s="35"/>
      <c r="C86" s="178">
        <v>110</v>
      </c>
      <c r="D86" s="80">
        <f t="shared" si="21"/>
        <v>4.0000000000000001E-3</v>
      </c>
      <c r="E86" s="178">
        <v>121.00000000000001</v>
      </c>
      <c r="F86" s="80">
        <f t="shared" si="22"/>
        <v>4.0000000000000001E-3</v>
      </c>
      <c r="G86" s="178">
        <v>1300.0000000000002</v>
      </c>
      <c r="H86" s="80">
        <f t="shared" si="23"/>
        <v>4.000000000000001E-3</v>
      </c>
      <c r="I86" s="178">
        <v>1352</v>
      </c>
      <c r="J86" s="80">
        <f t="shared" si="24"/>
        <v>4.0000000000000001E-3</v>
      </c>
      <c r="K86" s="178">
        <v>1392</v>
      </c>
      <c r="L86" s="80">
        <f t="shared" si="25"/>
        <v>4.0000000000000001E-3</v>
      </c>
      <c r="M86" s="178">
        <v>1436</v>
      </c>
      <c r="N86" s="80">
        <f t="shared" si="26"/>
        <v>4.0000000000000001E-3</v>
      </c>
      <c r="O86" s="178">
        <v>1476</v>
      </c>
      <c r="P86" s="80">
        <f t="shared" si="27"/>
        <v>4.0000000000000001E-3</v>
      </c>
      <c r="Q86" s="178">
        <v>1520</v>
      </c>
      <c r="R86" s="80">
        <f t="shared" si="28"/>
        <v>4.0000000000000001E-3</v>
      </c>
      <c r="S86" s="178">
        <v>1568</v>
      </c>
      <c r="T86" s="80">
        <f t="shared" si="29"/>
        <v>4.0000000000000001E-3</v>
      </c>
      <c r="U86" s="178">
        <v>1615.9999999999998</v>
      </c>
      <c r="V86" s="80">
        <f t="shared" si="30"/>
        <v>3.9999999999999992E-3</v>
      </c>
      <c r="X86" s="192"/>
    </row>
    <row r="87" spans="1:24" ht="12.75" customHeight="1">
      <c r="A87" s="2" t="s">
        <v>431</v>
      </c>
      <c r="B87" s="35"/>
      <c r="C87" s="178">
        <v>0</v>
      </c>
      <c r="D87" s="80">
        <f t="shared" si="21"/>
        <v>0</v>
      </c>
      <c r="E87" s="178">
        <v>0</v>
      </c>
      <c r="F87" s="80">
        <f t="shared" si="22"/>
        <v>0</v>
      </c>
      <c r="G87" s="178">
        <v>0</v>
      </c>
      <c r="H87" s="80">
        <f t="shared" si="23"/>
        <v>0</v>
      </c>
      <c r="I87" s="178">
        <v>0</v>
      </c>
      <c r="J87" s="80">
        <f t="shared" si="24"/>
        <v>0</v>
      </c>
      <c r="K87" s="178">
        <v>0</v>
      </c>
      <c r="L87" s="80">
        <f t="shared" si="25"/>
        <v>0</v>
      </c>
      <c r="M87" s="178">
        <v>0</v>
      </c>
      <c r="N87" s="80">
        <f t="shared" si="26"/>
        <v>0</v>
      </c>
      <c r="O87" s="178">
        <v>0</v>
      </c>
      <c r="P87" s="80">
        <f t="shared" si="27"/>
        <v>0</v>
      </c>
      <c r="Q87" s="178">
        <v>0</v>
      </c>
      <c r="R87" s="80">
        <f t="shared" si="28"/>
        <v>0</v>
      </c>
      <c r="S87" s="178">
        <v>0</v>
      </c>
      <c r="T87" s="80">
        <f t="shared" si="29"/>
        <v>0</v>
      </c>
      <c r="U87" s="178">
        <v>0</v>
      </c>
      <c r="V87" s="80">
        <f t="shared" si="30"/>
        <v>0</v>
      </c>
      <c r="X87" s="192"/>
    </row>
    <row r="88" spans="1:24" ht="12.75" customHeight="1">
      <c r="A88" s="2" t="s">
        <v>432</v>
      </c>
      <c r="B88" s="35"/>
      <c r="C88" s="178">
        <v>140.25</v>
      </c>
      <c r="D88" s="80">
        <f t="shared" si="21"/>
        <v>5.1000000000000004E-3</v>
      </c>
      <c r="E88" s="178">
        <v>154.27500000000001</v>
      </c>
      <c r="F88" s="80">
        <f t="shared" si="22"/>
        <v>5.0999999999999995E-3</v>
      </c>
      <c r="G88" s="178">
        <v>1657.5000000000002</v>
      </c>
      <c r="H88" s="80">
        <f t="shared" si="23"/>
        <v>5.1000000000000004E-3</v>
      </c>
      <c r="I88" s="178">
        <v>1723.8000000000002</v>
      </c>
      <c r="J88" s="80">
        <f t="shared" si="24"/>
        <v>5.1000000000000004E-3</v>
      </c>
      <c r="K88" s="178">
        <v>1774.8000000000002</v>
      </c>
      <c r="L88" s="80">
        <f t="shared" si="25"/>
        <v>5.1000000000000004E-3</v>
      </c>
      <c r="M88" s="178">
        <v>1830.9000000000003</v>
      </c>
      <c r="N88" s="80">
        <f t="shared" si="26"/>
        <v>5.1000000000000012E-3</v>
      </c>
      <c r="O88" s="178">
        <v>1881.9</v>
      </c>
      <c r="P88" s="80">
        <f t="shared" si="27"/>
        <v>5.1000000000000004E-3</v>
      </c>
      <c r="Q88" s="178">
        <v>1938</v>
      </c>
      <c r="R88" s="80">
        <f t="shared" si="28"/>
        <v>5.1000000000000004E-3</v>
      </c>
      <c r="S88" s="178">
        <v>1999.2</v>
      </c>
      <c r="T88" s="80">
        <f t="shared" si="29"/>
        <v>5.1000000000000004E-3</v>
      </c>
      <c r="U88" s="178">
        <v>2060.4</v>
      </c>
      <c r="V88" s="80">
        <f t="shared" si="30"/>
        <v>5.1000000000000004E-3</v>
      </c>
      <c r="X88" s="192"/>
    </row>
    <row r="89" spans="1:24" ht="12.75" customHeight="1">
      <c r="A89" s="2" t="s">
        <v>433</v>
      </c>
      <c r="B89" s="35"/>
      <c r="C89" s="178">
        <v>0</v>
      </c>
      <c r="D89" s="80">
        <f t="shared" si="21"/>
        <v>0</v>
      </c>
      <c r="E89" s="178">
        <v>0</v>
      </c>
      <c r="F89" s="80">
        <f t="shared" si="22"/>
        <v>0</v>
      </c>
      <c r="G89" s="178">
        <v>0</v>
      </c>
      <c r="H89" s="80">
        <f t="shared" si="23"/>
        <v>0</v>
      </c>
      <c r="I89" s="178">
        <v>0</v>
      </c>
      <c r="J89" s="80">
        <f t="shared" si="24"/>
        <v>0</v>
      </c>
      <c r="K89" s="178">
        <v>0</v>
      </c>
      <c r="L89" s="80">
        <f t="shared" si="25"/>
        <v>0</v>
      </c>
      <c r="M89" s="178">
        <v>0</v>
      </c>
      <c r="N89" s="80">
        <f t="shared" si="26"/>
        <v>0</v>
      </c>
      <c r="O89" s="178">
        <v>0</v>
      </c>
      <c r="P89" s="80">
        <f t="shared" si="27"/>
        <v>0</v>
      </c>
      <c r="Q89" s="178">
        <v>0</v>
      </c>
      <c r="R89" s="80">
        <f t="shared" si="28"/>
        <v>0</v>
      </c>
      <c r="S89" s="178">
        <v>0</v>
      </c>
      <c r="T89" s="80">
        <f t="shared" si="29"/>
        <v>0</v>
      </c>
      <c r="U89" s="178">
        <v>0</v>
      </c>
      <c r="V89" s="80">
        <f t="shared" si="30"/>
        <v>0</v>
      </c>
      <c r="X89" s="192"/>
    </row>
    <row r="90" spans="1:24" ht="12.75" customHeight="1">
      <c r="A90" s="2" t="s">
        <v>434</v>
      </c>
      <c r="B90" s="35"/>
      <c r="C90" s="178">
        <v>5.5000000000000009</v>
      </c>
      <c r="D90" s="80">
        <f t="shared" si="21"/>
        <v>2.0000000000000004E-4</v>
      </c>
      <c r="E90" s="178">
        <v>6.0500000000000007</v>
      </c>
      <c r="F90" s="80">
        <f t="shared" si="22"/>
        <v>2.0000000000000001E-4</v>
      </c>
      <c r="G90" s="178">
        <v>65.000000000000014</v>
      </c>
      <c r="H90" s="80">
        <f t="shared" si="23"/>
        <v>2.0000000000000004E-4</v>
      </c>
      <c r="I90" s="178">
        <v>67.600000000000009</v>
      </c>
      <c r="J90" s="80">
        <f t="shared" si="24"/>
        <v>2.0000000000000004E-4</v>
      </c>
      <c r="K90" s="178">
        <v>69.600000000000009</v>
      </c>
      <c r="L90" s="80">
        <f t="shared" si="25"/>
        <v>2.0000000000000004E-4</v>
      </c>
      <c r="M90" s="178">
        <v>71.800000000000011</v>
      </c>
      <c r="N90" s="80">
        <f t="shared" si="26"/>
        <v>2.0000000000000004E-4</v>
      </c>
      <c r="O90" s="178">
        <v>73.8</v>
      </c>
      <c r="P90" s="80">
        <f t="shared" si="27"/>
        <v>1.9999999999999998E-4</v>
      </c>
      <c r="Q90" s="178">
        <v>76.000000000000014</v>
      </c>
      <c r="R90" s="80">
        <f t="shared" si="28"/>
        <v>2.0000000000000004E-4</v>
      </c>
      <c r="S90" s="178">
        <v>78.400000000000006</v>
      </c>
      <c r="T90" s="80">
        <f t="shared" si="29"/>
        <v>2.0000000000000001E-4</v>
      </c>
      <c r="U90" s="178">
        <v>80.8</v>
      </c>
      <c r="V90" s="80">
        <f t="shared" si="30"/>
        <v>1.9999999999999998E-4</v>
      </c>
      <c r="X90" s="192"/>
    </row>
    <row r="91" spans="1:24" ht="12.75" customHeight="1">
      <c r="A91" s="2" t="s">
        <v>435</v>
      </c>
      <c r="C91" s="178">
        <v>0</v>
      </c>
      <c r="D91" s="80">
        <f t="shared" si="21"/>
        <v>0</v>
      </c>
      <c r="E91" s="178">
        <v>0</v>
      </c>
      <c r="F91" s="80">
        <f t="shared" si="22"/>
        <v>0</v>
      </c>
      <c r="G91" s="178">
        <v>0</v>
      </c>
      <c r="H91" s="80">
        <f t="shared" si="23"/>
        <v>0</v>
      </c>
      <c r="I91" s="178">
        <v>0</v>
      </c>
      <c r="J91" s="80">
        <f t="shared" si="24"/>
        <v>0</v>
      </c>
      <c r="K91" s="178">
        <v>0</v>
      </c>
      <c r="L91" s="80">
        <f t="shared" si="25"/>
        <v>0</v>
      </c>
      <c r="M91" s="178">
        <v>0</v>
      </c>
      <c r="N91" s="80">
        <f t="shared" si="26"/>
        <v>0</v>
      </c>
      <c r="O91" s="178">
        <v>0</v>
      </c>
      <c r="P91" s="80">
        <f t="shared" si="27"/>
        <v>0</v>
      </c>
      <c r="Q91" s="178">
        <v>0</v>
      </c>
      <c r="R91" s="80">
        <f t="shared" si="28"/>
        <v>0</v>
      </c>
      <c r="S91" s="178">
        <v>0</v>
      </c>
      <c r="T91" s="80">
        <f t="shared" si="29"/>
        <v>0</v>
      </c>
      <c r="U91" s="178">
        <v>0</v>
      </c>
      <c r="V91" s="80">
        <f t="shared" si="30"/>
        <v>0</v>
      </c>
      <c r="X91" s="192"/>
    </row>
    <row r="92" spans="1:24" ht="12.75" customHeight="1">
      <c r="A92" s="2" t="s">
        <v>436</v>
      </c>
      <c r="B92" s="35"/>
      <c r="C92" s="178">
        <v>143</v>
      </c>
      <c r="D92" s="80">
        <f t="shared" si="21"/>
        <v>5.1999999999999998E-3</v>
      </c>
      <c r="E92" s="178">
        <v>157.30000000000001</v>
      </c>
      <c r="F92" s="80">
        <f t="shared" si="22"/>
        <v>5.1999999999999998E-3</v>
      </c>
      <c r="G92" s="178">
        <v>1690</v>
      </c>
      <c r="H92" s="80">
        <f t="shared" si="23"/>
        <v>5.1999999999999998E-3</v>
      </c>
      <c r="I92" s="178">
        <v>1757.6000000000001</v>
      </c>
      <c r="J92" s="80">
        <f t="shared" si="24"/>
        <v>5.2000000000000006E-3</v>
      </c>
      <c r="K92" s="178">
        <v>1809.6</v>
      </c>
      <c r="L92" s="80">
        <f t="shared" si="25"/>
        <v>5.1999999999999998E-3</v>
      </c>
      <c r="M92" s="178">
        <v>1866.8000000000002</v>
      </c>
      <c r="N92" s="80">
        <f t="shared" si="26"/>
        <v>5.2000000000000006E-3</v>
      </c>
      <c r="O92" s="178">
        <v>1918.7999999999997</v>
      </c>
      <c r="P92" s="80">
        <f t="shared" si="27"/>
        <v>5.1999999999999989E-3</v>
      </c>
      <c r="Q92" s="178">
        <v>1975.9999999999998</v>
      </c>
      <c r="R92" s="80">
        <f t="shared" si="28"/>
        <v>5.1999999999999998E-3</v>
      </c>
      <c r="S92" s="178">
        <v>2038.4</v>
      </c>
      <c r="T92" s="80">
        <f t="shared" si="29"/>
        <v>5.2000000000000006E-3</v>
      </c>
      <c r="U92" s="178">
        <v>2100.7999999999997</v>
      </c>
      <c r="V92" s="80">
        <f t="shared" si="30"/>
        <v>5.1999999999999989E-3</v>
      </c>
      <c r="X92" s="192"/>
    </row>
    <row r="93" spans="1:24" ht="12.75" customHeight="1">
      <c r="A93" s="2" t="s">
        <v>437</v>
      </c>
      <c r="B93" s="35"/>
      <c r="C93" s="178">
        <v>0</v>
      </c>
      <c r="D93" s="80">
        <f t="shared" si="21"/>
        <v>0</v>
      </c>
      <c r="E93" s="178">
        <v>0</v>
      </c>
      <c r="F93" s="80">
        <f t="shared" si="22"/>
        <v>0</v>
      </c>
      <c r="G93" s="178">
        <v>0</v>
      </c>
      <c r="H93" s="80">
        <f t="shared" si="23"/>
        <v>0</v>
      </c>
      <c r="I93" s="178">
        <v>0</v>
      </c>
      <c r="J93" s="80">
        <f t="shared" si="24"/>
        <v>0</v>
      </c>
      <c r="K93" s="178">
        <v>0</v>
      </c>
      <c r="L93" s="80">
        <f t="shared" si="25"/>
        <v>0</v>
      </c>
      <c r="M93" s="178">
        <v>0</v>
      </c>
      <c r="N93" s="80">
        <f t="shared" si="26"/>
        <v>0</v>
      </c>
      <c r="O93" s="178">
        <v>0</v>
      </c>
      <c r="P93" s="80">
        <f t="shared" si="27"/>
        <v>0</v>
      </c>
      <c r="Q93" s="178">
        <v>0</v>
      </c>
      <c r="R93" s="80">
        <f t="shared" si="28"/>
        <v>0</v>
      </c>
      <c r="S93" s="178">
        <v>0</v>
      </c>
      <c r="T93" s="80">
        <f t="shared" si="29"/>
        <v>0</v>
      </c>
      <c r="U93" s="178">
        <v>0</v>
      </c>
      <c r="V93" s="80">
        <f t="shared" si="30"/>
        <v>0</v>
      </c>
      <c r="X93" s="192"/>
    </row>
    <row r="94" spans="1:24" ht="12.75" customHeight="1">
      <c r="A94" s="2" t="s">
        <v>438</v>
      </c>
      <c r="B94" s="35"/>
      <c r="C94" s="178">
        <v>0</v>
      </c>
      <c r="D94" s="80">
        <f t="shared" si="21"/>
        <v>0</v>
      </c>
      <c r="E94" s="178">
        <v>0</v>
      </c>
      <c r="F94" s="80">
        <f t="shared" si="22"/>
        <v>0</v>
      </c>
      <c r="G94" s="178">
        <v>0</v>
      </c>
      <c r="H94" s="80">
        <f t="shared" si="23"/>
        <v>0</v>
      </c>
      <c r="I94" s="178">
        <v>0</v>
      </c>
      <c r="J94" s="80">
        <f t="shared" si="24"/>
        <v>0</v>
      </c>
      <c r="K94" s="178">
        <v>0</v>
      </c>
      <c r="L94" s="80">
        <f t="shared" si="25"/>
        <v>0</v>
      </c>
      <c r="M94" s="178">
        <v>0</v>
      </c>
      <c r="N94" s="80">
        <f t="shared" si="26"/>
        <v>0</v>
      </c>
      <c r="O94" s="178">
        <v>0</v>
      </c>
      <c r="P94" s="80">
        <f t="shared" si="27"/>
        <v>0</v>
      </c>
      <c r="Q94" s="178">
        <v>0</v>
      </c>
      <c r="R94" s="80">
        <f t="shared" si="28"/>
        <v>0</v>
      </c>
      <c r="S94" s="178">
        <v>0</v>
      </c>
      <c r="T94" s="80">
        <f t="shared" si="29"/>
        <v>0</v>
      </c>
      <c r="U94" s="178">
        <v>0</v>
      </c>
      <c r="V94" s="80">
        <f t="shared" si="30"/>
        <v>0</v>
      </c>
      <c r="X94" s="192"/>
    </row>
    <row r="95" spans="1:24" ht="12.75" customHeight="1">
      <c r="A95" s="2" t="s">
        <v>439</v>
      </c>
      <c r="B95" s="35"/>
      <c r="C95" s="178">
        <v>0</v>
      </c>
      <c r="D95" s="80">
        <f t="shared" si="21"/>
        <v>0</v>
      </c>
      <c r="E95" s="178">
        <v>0</v>
      </c>
      <c r="F95" s="80">
        <f t="shared" si="22"/>
        <v>0</v>
      </c>
      <c r="G95" s="178">
        <v>0</v>
      </c>
      <c r="H95" s="80">
        <f t="shared" si="23"/>
        <v>0</v>
      </c>
      <c r="I95" s="178">
        <v>0</v>
      </c>
      <c r="J95" s="80">
        <f t="shared" si="24"/>
        <v>0</v>
      </c>
      <c r="K95" s="178">
        <v>0</v>
      </c>
      <c r="L95" s="80">
        <f t="shared" si="25"/>
        <v>0</v>
      </c>
      <c r="M95" s="178">
        <v>0</v>
      </c>
      <c r="N95" s="80">
        <f t="shared" si="26"/>
        <v>0</v>
      </c>
      <c r="O95" s="178">
        <v>0</v>
      </c>
      <c r="P95" s="80">
        <f t="shared" si="27"/>
        <v>0</v>
      </c>
      <c r="Q95" s="178">
        <v>0</v>
      </c>
      <c r="R95" s="80">
        <f t="shared" si="28"/>
        <v>0</v>
      </c>
      <c r="S95" s="178">
        <v>0</v>
      </c>
      <c r="T95" s="80">
        <f t="shared" si="29"/>
        <v>0</v>
      </c>
      <c r="U95" s="178">
        <v>0</v>
      </c>
      <c r="V95" s="80">
        <f t="shared" si="30"/>
        <v>0</v>
      </c>
      <c r="X95" s="192"/>
    </row>
    <row r="96" spans="1:24" ht="12.75" customHeight="1">
      <c r="A96" s="2" t="s">
        <v>440</v>
      </c>
      <c r="B96" s="35"/>
      <c r="C96" s="178">
        <v>0</v>
      </c>
      <c r="D96" s="80">
        <f t="shared" si="21"/>
        <v>0</v>
      </c>
      <c r="E96" s="178">
        <v>0</v>
      </c>
      <c r="F96" s="80">
        <f t="shared" si="22"/>
        <v>0</v>
      </c>
      <c r="G96" s="178">
        <v>0</v>
      </c>
      <c r="H96" s="80">
        <f t="shared" si="23"/>
        <v>0</v>
      </c>
      <c r="I96" s="178">
        <v>0</v>
      </c>
      <c r="J96" s="80">
        <f t="shared" si="24"/>
        <v>0</v>
      </c>
      <c r="K96" s="178">
        <v>0</v>
      </c>
      <c r="L96" s="80">
        <f t="shared" si="25"/>
        <v>0</v>
      </c>
      <c r="M96" s="178">
        <v>0</v>
      </c>
      <c r="N96" s="80">
        <f t="shared" si="26"/>
        <v>0</v>
      </c>
      <c r="O96" s="178">
        <v>0</v>
      </c>
      <c r="P96" s="80">
        <f t="shared" si="27"/>
        <v>0</v>
      </c>
      <c r="Q96" s="178">
        <v>0</v>
      </c>
      <c r="R96" s="80">
        <f t="shared" si="28"/>
        <v>0</v>
      </c>
      <c r="S96" s="178">
        <v>0</v>
      </c>
      <c r="T96" s="80">
        <f t="shared" si="29"/>
        <v>0</v>
      </c>
      <c r="U96" s="178">
        <v>0</v>
      </c>
      <c r="V96" s="80">
        <f t="shared" si="30"/>
        <v>0</v>
      </c>
      <c r="X96" s="192"/>
    </row>
    <row r="97" spans="1:24" ht="12.75" customHeight="1">
      <c r="A97" s="2" t="s">
        <v>441</v>
      </c>
      <c r="B97" s="35"/>
      <c r="C97" s="178">
        <v>0</v>
      </c>
      <c r="D97" s="80">
        <f t="shared" si="21"/>
        <v>0</v>
      </c>
      <c r="E97" s="178">
        <v>0</v>
      </c>
      <c r="F97" s="80">
        <f t="shared" si="22"/>
        <v>0</v>
      </c>
      <c r="G97" s="178">
        <v>4579.0694999999996</v>
      </c>
      <c r="H97" s="80">
        <f t="shared" si="23"/>
        <v>1.4089444615384614E-2</v>
      </c>
      <c r="I97" s="178">
        <v>4725.5997240000006</v>
      </c>
      <c r="J97" s="80">
        <f t="shared" si="24"/>
        <v>1.3981064272189351E-2</v>
      </c>
      <c r="K97" s="178">
        <v>4843.7397170999993</v>
      </c>
      <c r="L97" s="80">
        <f t="shared" si="25"/>
        <v>1.391879229051724E-2</v>
      </c>
      <c r="M97" s="178">
        <v>4964.8332100274984</v>
      </c>
      <c r="N97" s="80">
        <f t="shared" si="26"/>
        <v>1.3829618969435929E-2</v>
      </c>
      <c r="O97" s="178">
        <v>5088.9540402781859</v>
      </c>
      <c r="P97" s="80">
        <f t="shared" si="27"/>
        <v>1.3791203361187495E-2</v>
      </c>
      <c r="Q97" s="178">
        <v>5216.1778912851405</v>
      </c>
      <c r="R97" s="80">
        <f t="shared" si="28"/>
        <v>1.372678392443458E-2</v>
      </c>
      <c r="S97" s="178">
        <v>5346.5823385672684</v>
      </c>
      <c r="T97" s="80">
        <f t="shared" si="29"/>
        <v>1.3639240659610379E-2</v>
      </c>
      <c r="U97" s="178">
        <v>5480.2468970314494</v>
      </c>
      <c r="V97" s="80">
        <f t="shared" si="30"/>
        <v>1.3564967566909529E-2</v>
      </c>
      <c r="X97" s="192"/>
    </row>
    <row r="98" spans="1:24" ht="12.75" customHeight="1">
      <c r="A98" s="117" t="s">
        <v>444</v>
      </c>
      <c r="B98" s="35"/>
      <c r="C98" s="178">
        <v>33</v>
      </c>
      <c r="D98" s="80">
        <f t="shared" si="21"/>
        <v>1.1999999999999999E-3</v>
      </c>
      <c r="E98" s="178">
        <v>36.299999999999997</v>
      </c>
      <c r="F98" s="80">
        <f t="shared" si="22"/>
        <v>1.1999999999999997E-3</v>
      </c>
      <c r="G98" s="178">
        <v>390</v>
      </c>
      <c r="H98" s="80">
        <f t="shared" si="23"/>
        <v>1.1999999999999999E-3</v>
      </c>
      <c r="I98" s="178">
        <v>405.59999999999997</v>
      </c>
      <c r="J98" s="80">
        <f t="shared" si="24"/>
        <v>1.1999999999999999E-3</v>
      </c>
      <c r="K98" s="178">
        <v>417.6</v>
      </c>
      <c r="L98" s="80">
        <f t="shared" si="25"/>
        <v>1.2000000000000001E-3</v>
      </c>
      <c r="M98" s="178">
        <v>430.8</v>
      </c>
      <c r="N98" s="80">
        <f t="shared" si="26"/>
        <v>1.2000000000000001E-3</v>
      </c>
      <c r="O98" s="178">
        <v>442.79999999999995</v>
      </c>
      <c r="P98" s="80">
        <f t="shared" si="27"/>
        <v>1.1999999999999999E-3</v>
      </c>
      <c r="Q98" s="178">
        <v>455.99999999999994</v>
      </c>
      <c r="R98" s="80">
        <f t="shared" si="28"/>
        <v>1.1999999999999999E-3</v>
      </c>
      <c r="S98" s="178">
        <v>470.4</v>
      </c>
      <c r="T98" s="80">
        <f t="shared" si="29"/>
        <v>1.1999999999999999E-3</v>
      </c>
      <c r="U98" s="178">
        <v>484.79999999999995</v>
      </c>
      <c r="V98" s="80">
        <f t="shared" si="30"/>
        <v>1.1999999999999999E-3</v>
      </c>
      <c r="X98" s="192"/>
    </row>
    <row r="99" spans="1:24" ht="12.75" customHeight="1">
      <c r="A99" s="117" t="s">
        <v>444</v>
      </c>
      <c r="B99" s="35"/>
      <c r="C99" s="178">
        <v>0</v>
      </c>
      <c r="D99" s="80">
        <f t="shared" si="21"/>
        <v>0</v>
      </c>
      <c r="E99" s="178">
        <v>0</v>
      </c>
      <c r="F99" s="80">
        <f t="shared" si="22"/>
        <v>0</v>
      </c>
      <c r="G99" s="178">
        <v>0</v>
      </c>
      <c r="H99" s="80">
        <f t="shared" si="23"/>
        <v>0</v>
      </c>
      <c r="I99" s="178">
        <v>0</v>
      </c>
      <c r="J99" s="80">
        <f t="shared" si="24"/>
        <v>0</v>
      </c>
      <c r="K99" s="178">
        <v>0</v>
      </c>
      <c r="L99" s="80">
        <f t="shared" si="25"/>
        <v>0</v>
      </c>
      <c r="M99" s="178">
        <v>0</v>
      </c>
      <c r="N99" s="80">
        <f t="shared" si="26"/>
        <v>0</v>
      </c>
      <c r="O99" s="178">
        <v>0</v>
      </c>
      <c r="P99" s="80">
        <f t="shared" si="27"/>
        <v>0</v>
      </c>
      <c r="Q99" s="178">
        <v>0</v>
      </c>
      <c r="R99" s="80">
        <f t="shared" si="28"/>
        <v>0</v>
      </c>
      <c r="S99" s="178">
        <v>0</v>
      </c>
      <c r="T99" s="80">
        <f t="shared" si="29"/>
        <v>0</v>
      </c>
      <c r="U99" s="178">
        <v>0</v>
      </c>
      <c r="V99" s="80">
        <f t="shared" si="30"/>
        <v>0</v>
      </c>
      <c r="X99" s="192"/>
    </row>
    <row r="100" spans="1:24" ht="12.75" customHeight="1">
      <c r="A100" s="117" t="s">
        <v>444</v>
      </c>
      <c r="B100" s="35"/>
      <c r="C100" s="178">
        <v>0</v>
      </c>
      <c r="D100" s="80">
        <f t="shared" si="21"/>
        <v>0</v>
      </c>
      <c r="E100" s="178">
        <v>0</v>
      </c>
      <c r="F100" s="80">
        <f t="shared" si="22"/>
        <v>0</v>
      </c>
      <c r="G100" s="178">
        <v>0</v>
      </c>
      <c r="H100" s="80">
        <f t="shared" si="23"/>
        <v>0</v>
      </c>
      <c r="I100" s="178">
        <v>0</v>
      </c>
      <c r="J100" s="80">
        <f t="shared" si="24"/>
        <v>0</v>
      </c>
      <c r="K100" s="178">
        <v>0</v>
      </c>
      <c r="L100" s="80">
        <f t="shared" si="25"/>
        <v>0</v>
      </c>
      <c r="M100" s="178">
        <v>0</v>
      </c>
      <c r="N100" s="80">
        <f t="shared" si="26"/>
        <v>0</v>
      </c>
      <c r="O100" s="178">
        <v>0</v>
      </c>
      <c r="P100" s="80">
        <f t="shared" si="27"/>
        <v>0</v>
      </c>
      <c r="Q100" s="178">
        <v>0</v>
      </c>
      <c r="R100" s="80">
        <f t="shared" si="28"/>
        <v>0</v>
      </c>
      <c r="S100" s="178">
        <v>0</v>
      </c>
      <c r="T100" s="80">
        <f t="shared" si="29"/>
        <v>0</v>
      </c>
      <c r="U100" s="178">
        <v>0</v>
      </c>
      <c r="V100" s="80">
        <f t="shared" si="30"/>
        <v>0</v>
      </c>
      <c r="X100" s="192"/>
    </row>
    <row r="101" spans="1:24" ht="12.75" customHeight="1">
      <c r="A101" s="2" t="s">
        <v>445</v>
      </c>
      <c r="B101" s="35"/>
      <c r="C101" s="178"/>
      <c r="D101" s="80">
        <f t="shared" si="21"/>
        <v>0</v>
      </c>
      <c r="E101" s="178"/>
      <c r="F101" s="80">
        <f t="shared" si="22"/>
        <v>0</v>
      </c>
      <c r="G101" s="178"/>
      <c r="H101" s="80">
        <f t="shared" si="23"/>
        <v>0</v>
      </c>
      <c r="I101" s="178">
        <v>0</v>
      </c>
      <c r="J101" s="80">
        <f t="shared" si="24"/>
        <v>0</v>
      </c>
      <c r="K101" s="178">
        <v>0</v>
      </c>
      <c r="L101" s="80">
        <f t="shared" si="25"/>
        <v>0</v>
      </c>
      <c r="M101" s="178">
        <v>0</v>
      </c>
      <c r="N101" s="80">
        <f t="shared" si="26"/>
        <v>0</v>
      </c>
      <c r="O101" s="178">
        <v>0</v>
      </c>
      <c r="P101" s="80">
        <f t="shared" si="27"/>
        <v>0</v>
      </c>
      <c r="Q101" s="178">
        <v>0</v>
      </c>
      <c r="R101" s="80">
        <f t="shared" si="28"/>
        <v>0</v>
      </c>
      <c r="S101" s="178">
        <v>0</v>
      </c>
      <c r="T101" s="80">
        <f t="shared" si="29"/>
        <v>0</v>
      </c>
      <c r="U101" s="178">
        <v>0</v>
      </c>
      <c r="V101" s="80">
        <f t="shared" si="30"/>
        <v>0</v>
      </c>
      <c r="X101" s="192"/>
    </row>
    <row r="102" spans="1:24" ht="12.75" customHeight="1">
      <c r="A102" s="117" t="s">
        <v>446</v>
      </c>
      <c r="B102" s="35"/>
      <c r="C102" s="178">
        <v>275</v>
      </c>
      <c r="D102" s="80">
        <f t="shared" si="21"/>
        <v>0.01</v>
      </c>
      <c r="E102" s="178">
        <v>302.5</v>
      </c>
      <c r="F102" s="80">
        <f t="shared" si="22"/>
        <v>9.9999999999999985E-3</v>
      </c>
      <c r="G102" s="178">
        <v>3250.0000000000005</v>
      </c>
      <c r="H102" s="80">
        <f t="shared" si="23"/>
        <v>1.0000000000000002E-2</v>
      </c>
      <c r="I102" s="178">
        <v>3380.0000000000005</v>
      </c>
      <c r="J102" s="80">
        <f t="shared" si="24"/>
        <v>1.0000000000000002E-2</v>
      </c>
      <c r="K102" s="178">
        <v>3480.0000000000005</v>
      </c>
      <c r="L102" s="80">
        <f t="shared" si="25"/>
        <v>1.0000000000000002E-2</v>
      </c>
      <c r="M102" s="178">
        <v>3590</v>
      </c>
      <c r="N102" s="80">
        <f t="shared" si="26"/>
        <v>0.01</v>
      </c>
      <c r="O102" s="178">
        <v>3690.0000000000005</v>
      </c>
      <c r="P102" s="80">
        <f t="shared" si="27"/>
        <v>1.0000000000000002E-2</v>
      </c>
      <c r="Q102" s="178">
        <v>3800</v>
      </c>
      <c r="R102" s="80">
        <f t="shared" si="28"/>
        <v>0.01</v>
      </c>
      <c r="S102" s="178">
        <v>3920.0000000000005</v>
      </c>
      <c r="T102" s="80">
        <f t="shared" si="29"/>
        <v>1.0000000000000002E-2</v>
      </c>
      <c r="U102" s="178">
        <v>4039.9999999999995</v>
      </c>
      <c r="V102" s="80">
        <f t="shared" si="30"/>
        <v>9.9999999999999985E-3</v>
      </c>
      <c r="X102" s="192"/>
    </row>
    <row r="103" spans="1:24" ht="12.75" customHeight="1">
      <c r="A103" s="117" t="s">
        <v>446</v>
      </c>
      <c r="B103" s="35"/>
      <c r="C103" s="178">
        <v>0</v>
      </c>
      <c r="D103" s="80">
        <f t="shared" si="21"/>
        <v>0</v>
      </c>
      <c r="E103" s="178">
        <v>0</v>
      </c>
      <c r="F103" s="80">
        <f t="shared" si="22"/>
        <v>0</v>
      </c>
      <c r="G103" s="178">
        <v>0</v>
      </c>
      <c r="H103" s="80">
        <f t="shared" si="23"/>
        <v>0</v>
      </c>
      <c r="I103" s="178">
        <v>0</v>
      </c>
      <c r="J103" s="80">
        <f t="shared" si="24"/>
        <v>0</v>
      </c>
      <c r="K103" s="178">
        <v>0</v>
      </c>
      <c r="L103" s="80">
        <f t="shared" si="25"/>
        <v>0</v>
      </c>
      <c r="M103" s="178">
        <v>0</v>
      </c>
      <c r="N103" s="80">
        <f t="shared" si="26"/>
        <v>0</v>
      </c>
      <c r="O103" s="178">
        <v>0</v>
      </c>
      <c r="P103" s="80">
        <f t="shared" si="27"/>
        <v>0</v>
      </c>
      <c r="Q103" s="178">
        <v>0</v>
      </c>
      <c r="R103" s="80">
        <f t="shared" si="28"/>
        <v>0</v>
      </c>
      <c r="S103" s="178">
        <v>0</v>
      </c>
      <c r="T103" s="80">
        <f t="shared" si="29"/>
        <v>0</v>
      </c>
      <c r="U103" s="178">
        <v>0</v>
      </c>
      <c r="V103" s="80">
        <f t="shared" si="30"/>
        <v>0</v>
      </c>
      <c r="X103" s="192"/>
    </row>
    <row r="104" spans="1:24" ht="12.75" customHeight="1">
      <c r="A104" s="117" t="s">
        <v>446</v>
      </c>
      <c r="B104" s="1"/>
      <c r="C104" s="178">
        <v>0</v>
      </c>
      <c r="D104" s="80">
        <f t="shared" si="21"/>
        <v>0</v>
      </c>
      <c r="E104" s="178">
        <v>0</v>
      </c>
      <c r="F104" s="80">
        <f t="shared" si="22"/>
        <v>0</v>
      </c>
      <c r="G104" s="178">
        <v>0</v>
      </c>
      <c r="H104" s="80">
        <f t="shared" si="23"/>
        <v>0</v>
      </c>
      <c r="I104" s="178">
        <v>0</v>
      </c>
      <c r="J104" s="80">
        <f t="shared" si="24"/>
        <v>0</v>
      </c>
      <c r="K104" s="178">
        <v>0</v>
      </c>
      <c r="L104" s="80">
        <f t="shared" si="25"/>
        <v>0</v>
      </c>
      <c r="M104" s="178">
        <v>0</v>
      </c>
      <c r="N104" s="80">
        <f t="shared" si="26"/>
        <v>0</v>
      </c>
      <c r="O104" s="178">
        <v>0</v>
      </c>
      <c r="P104" s="80">
        <f t="shared" si="27"/>
        <v>0</v>
      </c>
      <c r="Q104" s="178">
        <v>0</v>
      </c>
      <c r="R104" s="80">
        <f t="shared" si="28"/>
        <v>0</v>
      </c>
      <c r="S104" s="178">
        <v>0</v>
      </c>
      <c r="T104" s="80">
        <f t="shared" si="29"/>
        <v>0</v>
      </c>
      <c r="U104" s="178">
        <v>0</v>
      </c>
      <c r="V104" s="80">
        <f t="shared" si="30"/>
        <v>0</v>
      </c>
      <c r="X104" s="192"/>
    </row>
    <row r="105" spans="1:24" ht="12.75" customHeight="1">
      <c r="A105" s="1" t="s">
        <v>447</v>
      </c>
      <c r="B105" s="53"/>
      <c r="C105" s="82">
        <f>SUM(C52:C104)</f>
        <v>2534.8311956998382</v>
      </c>
      <c r="D105" s="83">
        <f t="shared" ref="D105" si="31">IFERROR(C105/C$28,0)</f>
        <v>9.2175679843630481E-2</v>
      </c>
      <c r="E105" s="82">
        <f>SUM(E52:E104)</f>
        <v>2793.7475536138618</v>
      </c>
      <c r="F105" s="83">
        <f t="shared" ref="F105" si="32">IFERROR(E105/E$28,0)</f>
        <v>9.2355291028557399E-2</v>
      </c>
      <c r="G105" s="82">
        <f>SUM(G52:G104)</f>
        <v>34552.069784800202</v>
      </c>
      <c r="H105" s="83">
        <f t="shared" ref="H105" si="33">IFERROR(G105/G$28,0)</f>
        <v>0.10631406087630832</v>
      </c>
      <c r="I105" s="82">
        <f>SUM(I52:I104)</f>
        <v>35908.121180326321</v>
      </c>
      <c r="J105" s="83">
        <f t="shared" ref="J105" si="34">IFERROR(I105/I$28,0)</f>
        <v>0.10623704491220805</v>
      </c>
      <c r="K105" s="82">
        <f>SUM(K52:K104)</f>
        <v>36935.686880866699</v>
      </c>
      <c r="L105" s="83">
        <f t="shared" ref="L105" si="35">IFERROR(K105/K$28,0)</f>
        <v>0.10613703126685833</v>
      </c>
      <c r="M105" s="82">
        <f>SUM(M52:M104)</f>
        <v>38078.569895979439</v>
      </c>
      <c r="N105" s="83">
        <f t="shared" ref="N105" si="36">IFERROR(M105/M$28,0)</f>
        <v>0.10606843982166975</v>
      </c>
      <c r="O105" s="82">
        <f>SUM(O52:O104)</f>
        <v>39134.381806146535</v>
      </c>
      <c r="P105" s="83">
        <f t="shared" ref="P105" si="37">IFERROR(O105/O$28,0)</f>
        <v>0.10605523524700958</v>
      </c>
      <c r="Q105" s="82">
        <f>SUM(Q52:Q104)</f>
        <v>40290.185423546434</v>
      </c>
      <c r="R105" s="83">
        <f t="shared" ref="R105" si="38">IFERROR(Q105/Q$28,0)</f>
        <v>0.10602680374617483</v>
      </c>
      <c r="S105" s="82">
        <f>SUM(S52:S104)</f>
        <v>41541.952839349105</v>
      </c>
      <c r="T105" s="83">
        <f t="shared" ref="T105" si="39">IFERROR(S105/S$28,0)</f>
        <v>0.10597436948813548</v>
      </c>
      <c r="U105" s="82">
        <f>SUM(U52:U104)</f>
        <v>42798.795784728682</v>
      </c>
      <c r="V105" s="83">
        <f t="shared" si="30"/>
        <v>0.10593761332853634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448</v>
      </c>
      <c r="B107" s="53"/>
      <c r="C107" s="82">
        <f>C28-C33-C46-C105</f>
        <v>24965.168804300163</v>
      </c>
      <c r="D107" s="83">
        <f>IFERROR(C107/C$28,0)</f>
        <v>0.9078243201563696</v>
      </c>
      <c r="E107" s="82">
        <f>E28-E33-E46-E105</f>
        <v>27456.252446386141</v>
      </c>
      <c r="F107" s="83">
        <f>IFERROR(E107/E$28,0)</f>
        <v>0.90764470897144256</v>
      </c>
      <c r="G107" s="82">
        <f>G28-G33-G46-G105</f>
        <v>59103.712215199805</v>
      </c>
      <c r="H107" s="83">
        <f>IFERROR(G107/G$28,0)</f>
        <v>0.18185757604676864</v>
      </c>
      <c r="I107" s="82">
        <f>I28-I33-I46-I105</f>
        <v>62468.445843673668</v>
      </c>
      <c r="J107" s="83">
        <f>IFERROR(I107/I$28,0)</f>
        <v>0.18481788711146055</v>
      </c>
      <c r="K107" s="82">
        <f>K28-K33-K46-K105</f>
        <v>64927.944318733302</v>
      </c>
      <c r="L107" s="83">
        <f>IFERROR(K107/K$28,0)</f>
        <v>0.18657455264003822</v>
      </c>
      <c r="M107" s="82">
        <f>M28-M33-M46-M105</f>
        <v>67856.552083610601</v>
      </c>
      <c r="N107" s="83">
        <f>IFERROR(M107/M$28,0)</f>
        <v>0.18901546541395711</v>
      </c>
      <c r="O107" s="82">
        <f>O28-O33-O46-O105</f>
        <v>70128.693222933245</v>
      </c>
      <c r="P107" s="83">
        <f>IFERROR(O107/O$28,0)</f>
        <v>0.19005065914074051</v>
      </c>
      <c r="Q107" s="82">
        <f>Q28-Q33-Q46-Q105</f>
        <v>72881.291481260356</v>
      </c>
      <c r="R107" s="83">
        <f>IFERROR(Q107/Q$28,0)</f>
        <v>0.19179287231910619</v>
      </c>
      <c r="S107" s="82">
        <f>S28-S33-S46-S105</f>
        <v>76116.310988077894</v>
      </c>
      <c r="T107" s="83">
        <f>IFERROR(S107/S$28,0)</f>
        <v>0.19417426272468852</v>
      </c>
      <c r="U107" s="82">
        <f>U28-U33-U46-U105</f>
        <v>79259.524638383999</v>
      </c>
      <c r="V107" s="83">
        <f>IFERROR(U107/U$28,0)</f>
        <v>0.19618694217421781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449</v>
      </c>
      <c r="B110" s="40"/>
      <c r="C110" s="86" t="str">
        <f>C50</f>
        <v>FY 2018-19</v>
      </c>
      <c r="D110" s="86" t="s">
        <v>366</v>
      </c>
      <c r="E110" s="86" t="str">
        <f>E50</f>
        <v>FY 2019-20</v>
      </c>
      <c r="F110" s="86" t="s">
        <v>366</v>
      </c>
      <c r="G110" s="86" t="str">
        <f>G50</f>
        <v>FY 2020-21</v>
      </c>
      <c r="H110" s="86" t="s">
        <v>366</v>
      </c>
      <c r="I110" s="86" t="str">
        <f>I50</f>
        <v>FY 2021-22</v>
      </c>
      <c r="J110" s="86" t="s">
        <v>366</v>
      </c>
      <c r="K110" s="86" t="str">
        <f>K50</f>
        <v>FY 2022-23</v>
      </c>
      <c r="L110" s="86" t="s">
        <v>366</v>
      </c>
      <c r="M110" s="86" t="str">
        <f>M50</f>
        <v>FY 2023-24</v>
      </c>
      <c r="N110" s="86" t="s">
        <v>366</v>
      </c>
      <c r="O110" s="86" t="str">
        <f>O50</f>
        <v>FY 2024-25</v>
      </c>
      <c r="P110" s="86" t="s">
        <v>366</v>
      </c>
      <c r="Q110" s="86" t="str">
        <f>Q50</f>
        <v>FY 2025-26</v>
      </c>
      <c r="R110" s="86" t="s">
        <v>366</v>
      </c>
      <c r="S110" s="86" t="str">
        <f>S50</f>
        <v>FY 2026-27</v>
      </c>
      <c r="T110" s="86" t="s">
        <v>366</v>
      </c>
      <c r="U110" s="86" t="str">
        <f>U50</f>
        <v>FY 2027-28</v>
      </c>
      <c r="V110" s="86" t="s">
        <v>366</v>
      </c>
    </row>
    <row r="111" spans="1:24" ht="12.75" customHeight="1">
      <c r="A111" s="2" t="s">
        <v>403</v>
      </c>
      <c r="B111" s="35"/>
      <c r="C111" s="79">
        <f>C59</f>
        <v>0</v>
      </c>
      <c r="D111" s="80">
        <f t="shared" ref="D111:D116" si="40">IFERROR(C111/C$28,0)</f>
        <v>0</v>
      </c>
      <c r="E111" s="79">
        <f>E59</f>
        <v>0</v>
      </c>
      <c r="F111" s="80">
        <f t="shared" ref="F111:F116" si="41">IFERROR(E111/E$28,0)</f>
        <v>0</v>
      </c>
      <c r="G111" s="79">
        <f>G59</f>
        <v>0</v>
      </c>
      <c r="H111" s="80">
        <f t="shared" ref="H111:H116" si="42">IFERROR(G111/G$28,0)</f>
        <v>0</v>
      </c>
      <c r="I111" s="79">
        <f>I59</f>
        <v>0</v>
      </c>
      <c r="J111" s="80">
        <f t="shared" ref="J111:J116" si="43">IFERROR(I111/I$28,0)</f>
        <v>0</v>
      </c>
      <c r="K111" s="79">
        <f>K59</f>
        <v>0</v>
      </c>
      <c r="L111" s="80">
        <f t="shared" ref="L111:L116" si="44">IFERROR(K111/K$28,0)</f>
        <v>0</v>
      </c>
      <c r="M111" s="79">
        <f>M59</f>
        <v>0</v>
      </c>
      <c r="N111" s="80">
        <f t="shared" ref="N111:N116" si="45">IFERROR(M111/M$28,0)</f>
        <v>0</v>
      </c>
      <c r="O111" s="79">
        <f>O59</f>
        <v>0</v>
      </c>
      <c r="P111" s="80">
        <f t="shared" ref="P111:P116" si="46">IFERROR(O111/O$28,0)</f>
        <v>0</v>
      </c>
      <c r="Q111" s="79">
        <f>Q59</f>
        <v>0</v>
      </c>
      <c r="R111" s="80">
        <f t="shared" ref="R111:R116" si="47">IFERROR(Q111/Q$28,0)</f>
        <v>0</v>
      </c>
      <c r="S111" s="79">
        <f>S59</f>
        <v>0</v>
      </c>
      <c r="T111" s="80">
        <f t="shared" ref="T111:T116" si="48">IFERROR(S111/S$28,0)</f>
        <v>0</v>
      </c>
      <c r="U111" s="79">
        <f>U59</f>
        <v>0</v>
      </c>
      <c r="V111" s="80">
        <f t="shared" ref="V111:V116" si="49">IFERROR(U111/U$28,0)</f>
        <v>0</v>
      </c>
    </row>
    <row r="112" spans="1:24" ht="12.75" customHeight="1">
      <c r="A112" s="2" t="s">
        <v>450</v>
      </c>
      <c r="B112" s="35"/>
      <c r="C112" s="79">
        <f>C62</f>
        <v>0</v>
      </c>
      <c r="D112" s="80">
        <f t="shared" si="40"/>
        <v>0</v>
      </c>
      <c r="E112" s="79">
        <f>E62</f>
        <v>0</v>
      </c>
      <c r="F112" s="80">
        <f t="shared" si="41"/>
        <v>0</v>
      </c>
      <c r="G112" s="79">
        <f>G62</f>
        <v>0</v>
      </c>
      <c r="H112" s="80">
        <f t="shared" si="42"/>
        <v>0</v>
      </c>
      <c r="I112" s="79">
        <f>I62</f>
        <v>0</v>
      </c>
      <c r="J112" s="80">
        <f t="shared" si="43"/>
        <v>0</v>
      </c>
      <c r="K112" s="79">
        <f>K62</f>
        <v>0</v>
      </c>
      <c r="L112" s="80">
        <f t="shared" si="44"/>
        <v>0</v>
      </c>
      <c r="M112" s="79">
        <f>M62</f>
        <v>0</v>
      </c>
      <c r="N112" s="80">
        <f t="shared" si="45"/>
        <v>0</v>
      </c>
      <c r="O112" s="79">
        <f>O62</f>
        <v>0</v>
      </c>
      <c r="P112" s="80">
        <f t="shared" si="46"/>
        <v>0</v>
      </c>
      <c r="Q112" s="79">
        <f>Q62</f>
        <v>0</v>
      </c>
      <c r="R112" s="80">
        <f t="shared" si="47"/>
        <v>0</v>
      </c>
      <c r="S112" s="79">
        <f>S62</f>
        <v>0</v>
      </c>
      <c r="T112" s="80">
        <f t="shared" si="48"/>
        <v>0</v>
      </c>
      <c r="U112" s="79">
        <f>U62</f>
        <v>0</v>
      </c>
      <c r="V112" s="80">
        <f t="shared" si="49"/>
        <v>0</v>
      </c>
    </row>
    <row r="113" spans="1:22" ht="12.75" customHeight="1">
      <c r="A113" s="117" t="s">
        <v>446</v>
      </c>
      <c r="B113" s="41"/>
      <c r="C113" s="111">
        <v>0</v>
      </c>
      <c r="D113" s="80">
        <f t="shared" si="40"/>
        <v>0</v>
      </c>
      <c r="E113" s="111">
        <v>0</v>
      </c>
      <c r="F113" s="80">
        <f t="shared" si="41"/>
        <v>0</v>
      </c>
      <c r="G113" s="111">
        <v>0</v>
      </c>
      <c r="H113" s="80">
        <f t="shared" si="42"/>
        <v>0</v>
      </c>
      <c r="I113" s="111">
        <v>0</v>
      </c>
      <c r="J113" s="80">
        <f t="shared" si="43"/>
        <v>0</v>
      </c>
      <c r="K113" s="111">
        <v>0</v>
      </c>
      <c r="L113" s="80">
        <f t="shared" si="44"/>
        <v>0</v>
      </c>
      <c r="M113" s="111">
        <v>0</v>
      </c>
      <c r="N113" s="80">
        <f t="shared" si="45"/>
        <v>0</v>
      </c>
      <c r="O113" s="111">
        <v>0</v>
      </c>
      <c r="P113" s="80">
        <f t="shared" si="46"/>
        <v>0</v>
      </c>
      <c r="Q113" s="111">
        <v>0</v>
      </c>
      <c r="R113" s="80">
        <f t="shared" si="47"/>
        <v>0</v>
      </c>
      <c r="S113" s="111">
        <v>0</v>
      </c>
      <c r="T113" s="80">
        <f t="shared" si="48"/>
        <v>0</v>
      </c>
      <c r="U113" s="111">
        <v>0</v>
      </c>
      <c r="V113" s="80">
        <f t="shared" si="49"/>
        <v>0</v>
      </c>
    </row>
    <row r="114" spans="1:22" ht="12.75" customHeight="1">
      <c r="A114" s="117" t="s">
        <v>446</v>
      </c>
      <c r="B114" s="41"/>
      <c r="C114" s="111">
        <v>0</v>
      </c>
      <c r="D114" s="80">
        <f t="shared" si="40"/>
        <v>0</v>
      </c>
      <c r="E114" s="111">
        <v>0</v>
      </c>
      <c r="F114" s="80">
        <f t="shared" si="41"/>
        <v>0</v>
      </c>
      <c r="G114" s="111">
        <v>0</v>
      </c>
      <c r="H114" s="80">
        <f t="shared" si="42"/>
        <v>0</v>
      </c>
      <c r="I114" s="111">
        <v>0</v>
      </c>
      <c r="J114" s="80">
        <f t="shared" si="43"/>
        <v>0</v>
      </c>
      <c r="K114" s="111">
        <v>0</v>
      </c>
      <c r="L114" s="80">
        <f t="shared" si="44"/>
        <v>0</v>
      </c>
      <c r="M114" s="111">
        <v>0</v>
      </c>
      <c r="N114" s="80">
        <f t="shared" si="45"/>
        <v>0</v>
      </c>
      <c r="O114" s="111">
        <v>0</v>
      </c>
      <c r="P114" s="80">
        <f t="shared" si="46"/>
        <v>0</v>
      </c>
      <c r="Q114" s="111">
        <v>0</v>
      </c>
      <c r="R114" s="80">
        <f t="shared" si="47"/>
        <v>0</v>
      </c>
      <c r="S114" s="111">
        <v>0</v>
      </c>
      <c r="T114" s="80">
        <f t="shared" si="48"/>
        <v>0</v>
      </c>
      <c r="U114" s="111">
        <v>0</v>
      </c>
      <c r="V114" s="80">
        <f t="shared" si="49"/>
        <v>0</v>
      </c>
    </row>
    <row r="115" spans="1:22" ht="12.75" customHeight="1">
      <c r="A115" s="117" t="s">
        <v>446</v>
      </c>
      <c r="B115" s="41"/>
      <c r="C115" s="112">
        <v>0</v>
      </c>
      <c r="D115" s="80">
        <f t="shared" si="40"/>
        <v>0</v>
      </c>
      <c r="E115" s="112">
        <v>0</v>
      </c>
      <c r="F115" s="80">
        <f t="shared" si="41"/>
        <v>0</v>
      </c>
      <c r="G115" s="112">
        <v>0</v>
      </c>
      <c r="H115" s="80">
        <f t="shared" si="42"/>
        <v>0</v>
      </c>
      <c r="I115" s="112">
        <v>0</v>
      </c>
      <c r="J115" s="80">
        <f t="shared" si="43"/>
        <v>0</v>
      </c>
      <c r="K115" s="112">
        <v>0</v>
      </c>
      <c r="L115" s="80">
        <f t="shared" si="44"/>
        <v>0</v>
      </c>
      <c r="M115" s="112">
        <v>0</v>
      </c>
      <c r="N115" s="80">
        <f t="shared" si="45"/>
        <v>0</v>
      </c>
      <c r="O115" s="112">
        <v>0</v>
      </c>
      <c r="P115" s="80">
        <f t="shared" si="46"/>
        <v>0</v>
      </c>
      <c r="Q115" s="112">
        <v>0</v>
      </c>
      <c r="R115" s="80">
        <f t="shared" si="47"/>
        <v>0</v>
      </c>
      <c r="S115" s="112">
        <v>0</v>
      </c>
      <c r="T115" s="80">
        <f t="shared" si="48"/>
        <v>0</v>
      </c>
      <c r="U115" s="112">
        <v>0</v>
      </c>
      <c r="V115" s="80">
        <f t="shared" si="49"/>
        <v>0</v>
      </c>
    </row>
    <row r="116" spans="1:22" ht="12.75" customHeight="1">
      <c r="A116" s="40" t="s">
        <v>451</v>
      </c>
      <c r="B116" s="42"/>
      <c r="C116" s="85">
        <f>SUM(C111:C115)</f>
        <v>0</v>
      </c>
      <c r="D116" s="83">
        <f t="shared" si="40"/>
        <v>0</v>
      </c>
      <c r="E116" s="85">
        <f>SUM(E111:E115)</f>
        <v>0</v>
      </c>
      <c r="F116" s="83">
        <f t="shared" si="41"/>
        <v>0</v>
      </c>
      <c r="G116" s="85">
        <f>SUM(G111:G115)</f>
        <v>0</v>
      </c>
      <c r="H116" s="83">
        <f t="shared" si="42"/>
        <v>0</v>
      </c>
      <c r="I116" s="85">
        <f>SUM(I111:I115)</f>
        <v>0</v>
      </c>
      <c r="J116" s="83">
        <f t="shared" si="43"/>
        <v>0</v>
      </c>
      <c r="K116" s="85">
        <f>SUM(K111:K115)</f>
        <v>0</v>
      </c>
      <c r="L116" s="83">
        <f t="shared" si="44"/>
        <v>0</v>
      </c>
      <c r="M116" s="85">
        <f>SUM(M111:M115)</f>
        <v>0</v>
      </c>
      <c r="N116" s="83">
        <f t="shared" si="45"/>
        <v>0</v>
      </c>
      <c r="O116" s="85">
        <f>SUM(O111:O115)</f>
        <v>0</v>
      </c>
      <c r="P116" s="83">
        <f t="shared" si="46"/>
        <v>0</v>
      </c>
      <c r="Q116" s="85">
        <f>SUM(Q111:Q115)</f>
        <v>0</v>
      </c>
      <c r="R116" s="83">
        <f t="shared" si="47"/>
        <v>0</v>
      </c>
      <c r="S116" s="85">
        <f>SUM(S111:S115)</f>
        <v>0</v>
      </c>
      <c r="T116" s="83">
        <f t="shared" si="48"/>
        <v>0</v>
      </c>
      <c r="U116" s="85">
        <f>SUM(U111:U115)</f>
        <v>0</v>
      </c>
      <c r="V116" s="83">
        <f t="shared" si="49"/>
        <v>0</v>
      </c>
    </row>
    <row r="118" spans="1:22" ht="12.75" customHeight="1">
      <c r="A118" s="43" t="s">
        <v>452</v>
      </c>
      <c r="B118" s="43"/>
    </row>
    <row r="119" spans="1:22" ht="12.75" customHeight="1">
      <c r="A119" s="47" t="s">
        <v>453</v>
      </c>
      <c r="B119" s="47"/>
    </row>
    <row r="120" spans="1:22" ht="12.75" customHeight="1">
      <c r="A120" s="2" t="s">
        <v>478</v>
      </c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7" tint="0.59999389629810485"/>
  </sheetPr>
  <dimension ref="A1:X119"/>
  <sheetViews>
    <sheetView topLeftCell="A9" zoomScale="70" zoomScaleNormal="70" workbookViewId="0" xr3:uid="{BF3E6036-5CFF-541C-9DD1-8B260238869F}">
      <selection activeCell="W59" sqref="W59"/>
    </sheetView>
  </sheetViews>
  <sheetFormatPr defaultColWidth="9.140625" defaultRowHeight="12.75" customHeight="1"/>
  <cols>
    <col min="1" max="1" width="9.5703125" style="2" customWidth="1"/>
    <col min="2" max="2" width="36.140625" style="2" customWidth="1"/>
    <col min="3" max="3" width="12.7109375" style="2" customWidth="1"/>
    <col min="4" max="4" width="8.7109375" style="2" customWidth="1"/>
    <col min="5" max="5" width="12.7109375" style="2" customWidth="1"/>
    <col min="6" max="6" width="8.7109375" style="2" customWidth="1"/>
    <col min="7" max="7" width="12.710937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355</v>
      </c>
      <c r="G2" s="33" t="s">
        <v>479</v>
      </c>
      <c r="H2" s="34"/>
      <c r="I2" s="34"/>
      <c r="V2" s="32"/>
    </row>
    <row r="3" spans="1:22" ht="12.75" customHeight="1">
      <c r="A3" s="1" t="s">
        <v>357</v>
      </c>
      <c r="D3" s="118" t="s">
        <v>358</v>
      </c>
      <c r="G3" s="115" t="str">
        <f>+G2</f>
        <v>Half Moon Empanadas (Parking Garage 5)</v>
      </c>
      <c r="H3" s="116"/>
      <c r="I3" s="116"/>
      <c r="V3" s="32"/>
    </row>
    <row r="4" spans="1:22" ht="12.75" customHeight="1">
      <c r="A4" s="1" t="s">
        <v>359</v>
      </c>
      <c r="B4" s="109" t="s">
        <v>221</v>
      </c>
      <c r="D4" s="118" t="s">
        <v>360</v>
      </c>
      <c r="G4" s="115" t="s">
        <v>36</v>
      </c>
      <c r="H4" s="116"/>
      <c r="I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361</v>
      </c>
      <c r="B7" s="1"/>
    </row>
    <row r="8" spans="1:22" ht="12.75" customHeight="1">
      <c r="A8" s="2" t="s">
        <v>362</v>
      </c>
      <c r="C8" s="109"/>
      <c r="E8" s="109">
        <f>+C8</f>
        <v>0</v>
      </c>
      <c r="G8" s="109">
        <f>+E8</f>
        <v>0</v>
      </c>
      <c r="I8" s="109">
        <f>+G8</f>
        <v>0</v>
      </c>
      <c r="K8" s="109">
        <f>+I8</f>
        <v>0</v>
      </c>
      <c r="M8" s="109">
        <f>+K8</f>
        <v>0</v>
      </c>
      <c r="O8" s="109">
        <f>+M8</f>
        <v>0</v>
      </c>
      <c r="Q8" s="109">
        <f>+O8</f>
        <v>0</v>
      </c>
      <c r="S8" s="109">
        <f>+Q8</f>
        <v>0</v>
      </c>
      <c r="U8" s="109">
        <f>+S8</f>
        <v>0</v>
      </c>
    </row>
    <row r="10" spans="1:22" ht="12.75" customHeight="1">
      <c r="A10" s="2" t="s">
        <v>462</v>
      </c>
      <c r="C10" s="109"/>
      <c r="E10" s="109"/>
      <c r="G10" s="109"/>
      <c r="I10" s="109"/>
      <c r="K10" s="109"/>
      <c r="M10" s="109"/>
      <c r="O10" s="109"/>
      <c r="Q10" s="109"/>
      <c r="S10" s="109"/>
      <c r="U10" s="109"/>
    </row>
    <row r="12" spans="1:22" ht="12.75" customHeight="1">
      <c r="A12" s="2" t="s">
        <v>463</v>
      </c>
      <c r="C12" s="110"/>
      <c r="E12" s="110"/>
      <c r="G12" s="110"/>
      <c r="I12" s="110"/>
      <c r="K12" s="110"/>
      <c r="M12" s="110"/>
      <c r="O12" s="110"/>
      <c r="Q12" s="110"/>
      <c r="S12" s="110"/>
      <c r="U12" s="110"/>
    </row>
    <row r="14" spans="1:22" ht="12.75" customHeight="1">
      <c r="A14" s="2" t="s">
        <v>464</v>
      </c>
      <c r="C14" s="121">
        <f>C12*C10*C8</f>
        <v>0</v>
      </c>
      <c r="E14" s="121">
        <f>E12*E10*E8</f>
        <v>0</v>
      </c>
      <c r="G14" s="121">
        <f>G12*G10*G8</f>
        <v>0</v>
      </c>
      <c r="I14" s="121">
        <f>I12*I10*I8</f>
        <v>0</v>
      </c>
      <c r="K14" s="121">
        <f>K12*K10*K8</f>
        <v>0</v>
      </c>
      <c r="M14" s="121">
        <f>M12*M10*M8</f>
        <v>0</v>
      </c>
      <c r="O14" s="121">
        <f>O12*O10*O8</f>
        <v>0</v>
      </c>
      <c r="Q14" s="121">
        <f>Q12*Q10*Q8</f>
        <v>0</v>
      </c>
      <c r="S14" s="121">
        <f>S12*S10*S8</f>
        <v>0</v>
      </c>
      <c r="U14" s="121">
        <f>U12*U10*U8</f>
        <v>0</v>
      </c>
    </row>
    <row r="15" spans="1:22" ht="12.75" customHeight="1">
      <c r="A15" s="39">
        <v>0.1</v>
      </c>
    </row>
    <row r="16" spans="1:22" ht="12.75" customHeight="1">
      <c r="B16" s="35"/>
      <c r="C16" s="86" t="str">
        <f>C6</f>
        <v>FY 2018-19</v>
      </c>
      <c r="D16" s="86" t="s">
        <v>366</v>
      </c>
      <c r="E16" s="86" t="str">
        <f>E6</f>
        <v>FY 2019-20</v>
      </c>
      <c r="F16" s="86" t="s">
        <v>366</v>
      </c>
      <c r="G16" s="86" t="str">
        <f>G6</f>
        <v>FY 2020-21</v>
      </c>
      <c r="H16" s="86" t="s">
        <v>366</v>
      </c>
      <c r="I16" s="86" t="str">
        <f>I6</f>
        <v>FY 2021-22</v>
      </c>
      <c r="J16" s="86" t="s">
        <v>366</v>
      </c>
      <c r="K16" s="86" t="str">
        <f>K6</f>
        <v>FY 2022-23</v>
      </c>
      <c r="L16" s="86" t="s">
        <v>366</v>
      </c>
      <c r="M16" s="86" t="str">
        <f>M6</f>
        <v>FY 2023-24</v>
      </c>
      <c r="N16" s="86" t="s">
        <v>366</v>
      </c>
      <c r="O16" s="86" t="str">
        <f>O6</f>
        <v>FY 2024-25</v>
      </c>
      <c r="P16" s="86" t="s">
        <v>366</v>
      </c>
      <c r="Q16" s="86" t="str">
        <f>Q6</f>
        <v>FY 2025-26</v>
      </c>
      <c r="R16" s="86" t="s">
        <v>366</v>
      </c>
      <c r="S16" s="86" t="str">
        <f>S6</f>
        <v>FY 2026-27</v>
      </c>
      <c r="T16" s="86" t="s">
        <v>366</v>
      </c>
      <c r="U16" s="86" t="str">
        <f>U6</f>
        <v>FY 2027-28</v>
      </c>
      <c r="V16" s="86" t="s">
        <v>366</v>
      </c>
    </row>
    <row r="17" spans="1:24" ht="12.75" customHeight="1">
      <c r="A17" s="1" t="s">
        <v>367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368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369</v>
      </c>
      <c r="B19" s="35"/>
      <c r="C19" s="200">
        <f>+C14-C20</f>
        <v>0</v>
      </c>
      <c r="D19" s="80">
        <f>IFERROR(C19/C$28,0)</f>
        <v>0</v>
      </c>
      <c r="E19" s="200">
        <f>+E14-E20</f>
        <v>0</v>
      </c>
      <c r="F19" s="80">
        <f>IFERROR(E19/E$28,0)</f>
        <v>0</v>
      </c>
      <c r="G19" s="200">
        <f>+G14-G20</f>
        <v>0</v>
      </c>
      <c r="H19" s="80">
        <f>IFERROR(G19/G$28,0)</f>
        <v>0</v>
      </c>
      <c r="I19" s="200">
        <f>+I14-I20</f>
        <v>0</v>
      </c>
      <c r="J19" s="80">
        <f>IFERROR(I19/I$28,0)</f>
        <v>0</v>
      </c>
      <c r="K19" s="200">
        <f>+K14-K20</f>
        <v>0</v>
      </c>
      <c r="L19" s="80">
        <f>IFERROR(K19/K$28,0)</f>
        <v>0</v>
      </c>
      <c r="M19" s="200">
        <f>+M14-M20</f>
        <v>0</v>
      </c>
      <c r="N19" s="80">
        <f>IFERROR(M19/M$28,0)</f>
        <v>0</v>
      </c>
      <c r="O19" s="200">
        <f>+O14-O20</f>
        <v>0</v>
      </c>
      <c r="P19" s="80">
        <f>IFERROR(O19/O$28,0)</f>
        <v>0</v>
      </c>
      <c r="Q19" s="200">
        <f>+Q14-Q20</f>
        <v>0</v>
      </c>
      <c r="R19" s="80">
        <f>IFERROR(Q19/Q$28,0)</f>
        <v>0</v>
      </c>
      <c r="S19" s="200">
        <f>+S14-S20</f>
        <v>0</v>
      </c>
      <c r="T19" s="80">
        <f>IFERROR(S19/S$28,0)</f>
        <v>0</v>
      </c>
      <c r="U19" s="200">
        <f>+U14-U20</f>
        <v>0</v>
      </c>
      <c r="V19" s="80">
        <f>IFERROR(U19/U$28,0)</f>
        <v>0</v>
      </c>
    </row>
    <row r="20" spans="1:24" ht="12.75" customHeight="1">
      <c r="A20" s="2" t="s">
        <v>370</v>
      </c>
      <c r="B20" s="35"/>
      <c r="C20" s="111">
        <f>+C14*12.38%</f>
        <v>0</v>
      </c>
      <c r="D20" s="80">
        <f>IFERROR(C20/C$28,0)</f>
        <v>0</v>
      </c>
      <c r="E20" s="111">
        <f>+E14*53.27%</f>
        <v>0</v>
      </c>
      <c r="F20" s="80">
        <f>IFERROR(E20/E$28,0)</f>
        <v>0</v>
      </c>
      <c r="G20" s="111">
        <f t="shared" ref="G20:U21" si="0">E20*1.02</f>
        <v>0</v>
      </c>
      <c r="H20" s="80">
        <f>IFERROR(G20/G$28,0)</f>
        <v>0</v>
      </c>
      <c r="I20" s="111">
        <f t="shared" si="0"/>
        <v>0</v>
      </c>
      <c r="J20" s="80">
        <f>IFERROR(I20/I$28,0)</f>
        <v>0</v>
      </c>
      <c r="K20" s="111">
        <f t="shared" si="0"/>
        <v>0</v>
      </c>
      <c r="L20" s="80">
        <f>IFERROR(K20/K$28,0)</f>
        <v>0</v>
      </c>
      <c r="M20" s="111">
        <f t="shared" si="0"/>
        <v>0</v>
      </c>
      <c r="N20" s="80">
        <f>IFERROR(M20/M$28,0)</f>
        <v>0</v>
      </c>
      <c r="O20" s="111">
        <f t="shared" si="0"/>
        <v>0</v>
      </c>
      <c r="P20" s="80">
        <f>IFERROR(O20/O$28,0)</f>
        <v>0</v>
      </c>
      <c r="Q20" s="111">
        <f t="shared" si="0"/>
        <v>0</v>
      </c>
      <c r="R20" s="80">
        <f>IFERROR(Q20/Q$28,0)</f>
        <v>0</v>
      </c>
      <c r="S20" s="111">
        <f t="shared" si="0"/>
        <v>0</v>
      </c>
      <c r="T20" s="80">
        <f>IFERROR(S20/S$28,0)</f>
        <v>0</v>
      </c>
      <c r="U20" s="111">
        <f t="shared" si="0"/>
        <v>0</v>
      </c>
      <c r="V20" s="80">
        <f>IFERROR(U20/U$28,0)</f>
        <v>0</v>
      </c>
    </row>
    <row r="21" spans="1:24" ht="12.75" customHeight="1">
      <c r="A21" s="2" t="s">
        <v>371</v>
      </c>
      <c r="B21" s="35"/>
      <c r="C21" s="111"/>
      <c r="D21" s="80">
        <f>IFERROR(C21/C$28,0)</f>
        <v>0</v>
      </c>
      <c r="E21" s="111">
        <v>0</v>
      </c>
      <c r="F21" s="80">
        <f>IFERROR(E21/E$28,0)</f>
        <v>0</v>
      </c>
      <c r="G21" s="111">
        <f t="shared" si="0"/>
        <v>0</v>
      </c>
      <c r="H21" s="80">
        <f>IFERROR(G21/G$28,0)</f>
        <v>0</v>
      </c>
      <c r="I21" s="111">
        <f t="shared" si="0"/>
        <v>0</v>
      </c>
      <c r="J21" s="80">
        <f>IFERROR(I21/I$28,0)</f>
        <v>0</v>
      </c>
      <c r="K21" s="111">
        <f t="shared" si="0"/>
        <v>0</v>
      </c>
      <c r="L21" s="80">
        <f>IFERROR(K21/K$28,0)</f>
        <v>0</v>
      </c>
      <c r="M21" s="111">
        <f t="shared" si="0"/>
        <v>0</v>
      </c>
      <c r="N21" s="80">
        <f>IFERROR(M21/M$28,0)</f>
        <v>0</v>
      </c>
      <c r="O21" s="111">
        <f t="shared" si="0"/>
        <v>0</v>
      </c>
      <c r="P21" s="80">
        <f>IFERROR(O21/O$28,0)</f>
        <v>0</v>
      </c>
      <c r="Q21" s="111">
        <f t="shared" si="0"/>
        <v>0</v>
      </c>
      <c r="R21" s="80">
        <f>IFERROR(Q21/Q$28,0)</f>
        <v>0</v>
      </c>
      <c r="S21" s="111">
        <f t="shared" si="0"/>
        <v>0</v>
      </c>
      <c r="T21" s="80">
        <f>IFERROR(S21/S$28,0)</f>
        <v>0</v>
      </c>
      <c r="U21" s="111">
        <f t="shared" si="0"/>
        <v>0</v>
      </c>
      <c r="V21" s="80">
        <f>IFERROR(U21/U$28,0)</f>
        <v>0</v>
      </c>
    </row>
    <row r="22" spans="1:24" ht="12.75" customHeight="1">
      <c r="A22" s="2" t="s">
        <v>372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373</v>
      </c>
      <c r="B23" s="123"/>
      <c r="C23" s="79"/>
      <c r="D23" s="80">
        <f t="shared" ref="D23:D28" si="1">IFERROR(C23/C$28,0)</f>
        <v>0</v>
      </c>
      <c r="E23" s="79"/>
      <c r="F23" s="80">
        <f t="shared" ref="F23:F28" si="2">IFERROR(E23/E$28,0)</f>
        <v>0</v>
      </c>
      <c r="G23" s="79"/>
      <c r="H23" s="80">
        <f t="shared" ref="H23:H28" si="3">IFERROR(G23/G$28,0)</f>
        <v>0</v>
      </c>
      <c r="I23" s="79"/>
      <c r="J23" s="80">
        <f t="shared" ref="J23:J28" si="4">IFERROR(I23/I$28,0)</f>
        <v>0</v>
      </c>
      <c r="K23" s="79"/>
      <c r="L23" s="80">
        <f t="shared" ref="L23:L28" si="5">IFERROR(K23/K$28,0)</f>
        <v>0</v>
      </c>
      <c r="M23" s="79"/>
      <c r="N23" s="80">
        <f t="shared" ref="N23:N28" si="6">IFERROR(M23/M$28,0)</f>
        <v>0</v>
      </c>
      <c r="O23" s="79"/>
      <c r="P23" s="80">
        <f t="shared" ref="P23:P28" si="7">IFERROR(O23/O$28,0)</f>
        <v>0</v>
      </c>
      <c r="Q23" s="79"/>
      <c r="R23" s="80">
        <f t="shared" ref="R23:R28" si="8">IFERROR(Q23/Q$28,0)</f>
        <v>0</v>
      </c>
      <c r="S23" s="79"/>
      <c r="T23" s="80">
        <f t="shared" ref="T23:T28" si="9">IFERROR(S23/S$28,0)</f>
        <v>0</v>
      </c>
      <c r="U23" s="79"/>
      <c r="V23" s="80">
        <f t="shared" ref="V23:V28" si="10">IFERROR(U23/U$28,0)</f>
        <v>0</v>
      </c>
    </row>
    <row r="24" spans="1:24" ht="12.75" customHeight="1">
      <c r="A24" s="122" t="s">
        <v>374</v>
      </c>
      <c r="B24" s="123"/>
      <c r="C24" s="79"/>
      <c r="D24" s="80">
        <f t="shared" si="1"/>
        <v>0</v>
      </c>
      <c r="E24" s="79"/>
      <c r="F24" s="80">
        <f t="shared" si="2"/>
        <v>0</v>
      </c>
      <c r="G24" s="79"/>
      <c r="H24" s="80">
        <f t="shared" si="3"/>
        <v>0</v>
      </c>
      <c r="I24" s="79"/>
      <c r="J24" s="80">
        <f t="shared" si="4"/>
        <v>0</v>
      </c>
      <c r="K24" s="79"/>
      <c r="L24" s="80">
        <f t="shared" si="5"/>
        <v>0</v>
      </c>
      <c r="M24" s="79"/>
      <c r="N24" s="80">
        <f t="shared" si="6"/>
        <v>0</v>
      </c>
      <c r="O24" s="79"/>
      <c r="P24" s="80">
        <f t="shared" si="7"/>
        <v>0</v>
      </c>
      <c r="Q24" s="79"/>
      <c r="R24" s="80">
        <f t="shared" si="8"/>
        <v>0</v>
      </c>
      <c r="S24" s="79"/>
      <c r="T24" s="80">
        <f t="shared" si="9"/>
        <v>0</v>
      </c>
      <c r="U24" s="79"/>
      <c r="V24" s="80">
        <f t="shared" si="10"/>
        <v>0</v>
      </c>
      <c r="X24" s="79"/>
    </row>
    <row r="25" spans="1:24" ht="12.75" customHeight="1">
      <c r="A25" s="2" t="s">
        <v>375</v>
      </c>
      <c r="B25" s="35"/>
      <c r="C25" s="111"/>
      <c r="D25" s="80">
        <f t="shared" si="1"/>
        <v>0</v>
      </c>
      <c r="E25" s="111"/>
      <c r="F25" s="80">
        <f t="shared" si="2"/>
        <v>0</v>
      </c>
      <c r="G25" s="111"/>
      <c r="H25" s="80">
        <f t="shared" si="3"/>
        <v>0</v>
      </c>
      <c r="I25" s="111"/>
      <c r="J25" s="80">
        <f t="shared" si="4"/>
        <v>0</v>
      </c>
      <c r="K25" s="111"/>
      <c r="L25" s="80">
        <f t="shared" si="5"/>
        <v>0</v>
      </c>
      <c r="M25" s="111"/>
      <c r="N25" s="80">
        <f t="shared" si="6"/>
        <v>0</v>
      </c>
      <c r="O25" s="111"/>
      <c r="P25" s="80">
        <f t="shared" si="7"/>
        <v>0</v>
      </c>
      <c r="Q25" s="111"/>
      <c r="R25" s="80">
        <f t="shared" si="8"/>
        <v>0</v>
      </c>
      <c r="S25" s="111"/>
      <c r="T25" s="80">
        <f t="shared" si="9"/>
        <v>0</v>
      </c>
      <c r="U25" s="111"/>
      <c r="V25" s="80">
        <f t="shared" si="10"/>
        <v>0</v>
      </c>
      <c r="X25" s="79"/>
    </row>
    <row r="26" spans="1:24" ht="12.75" customHeight="1">
      <c r="A26" s="122" t="s">
        <v>376</v>
      </c>
      <c r="B26" s="35"/>
      <c r="C26" s="79"/>
      <c r="D26" s="80">
        <f t="shared" si="1"/>
        <v>0</v>
      </c>
      <c r="E26" s="79"/>
      <c r="F26" s="80">
        <f t="shared" si="2"/>
        <v>0</v>
      </c>
      <c r="G26" s="79"/>
      <c r="H26" s="80">
        <f t="shared" si="3"/>
        <v>0</v>
      </c>
      <c r="I26" s="79"/>
      <c r="J26" s="80">
        <f t="shared" si="4"/>
        <v>0</v>
      </c>
      <c r="K26" s="79"/>
      <c r="L26" s="80">
        <f t="shared" si="5"/>
        <v>0</v>
      </c>
      <c r="M26" s="79"/>
      <c r="N26" s="80">
        <f t="shared" si="6"/>
        <v>0</v>
      </c>
      <c r="O26" s="79"/>
      <c r="P26" s="80">
        <f t="shared" si="7"/>
        <v>0</v>
      </c>
      <c r="Q26" s="79"/>
      <c r="R26" s="80">
        <f t="shared" si="8"/>
        <v>0</v>
      </c>
      <c r="S26" s="79"/>
      <c r="T26" s="80">
        <f t="shared" si="9"/>
        <v>0</v>
      </c>
      <c r="U26" s="79"/>
      <c r="V26" s="80">
        <f t="shared" si="10"/>
        <v>0</v>
      </c>
    </row>
    <row r="27" spans="1:24" ht="12.75" customHeight="1">
      <c r="A27" s="2" t="s">
        <v>474</v>
      </c>
      <c r="B27" s="35"/>
      <c r="C27" s="112">
        <f>20000+37500</f>
        <v>57500</v>
      </c>
      <c r="D27" s="80">
        <f t="shared" si="1"/>
        <v>1</v>
      </c>
      <c r="E27" s="112">
        <f>+C27*1.1</f>
        <v>63250.000000000007</v>
      </c>
      <c r="F27" s="80">
        <f t="shared" si="2"/>
        <v>1</v>
      </c>
      <c r="G27" s="112">
        <f>+E27*1.02</f>
        <v>64515.000000000007</v>
      </c>
      <c r="H27" s="80">
        <f t="shared" si="3"/>
        <v>1</v>
      </c>
      <c r="I27" s="112">
        <f>+G27*1.02</f>
        <v>65805.3</v>
      </c>
      <c r="J27" s="80">
        <f t="shared" si="4"/>
        <v>1</v>
      </c>
      <c r="K27" s="112">
        <f>+I27*1.02</f>
        <v>67121.406000000003</v>
      </c>
      <c r="L27" s="80">
        <f t="shared" si="5"/>
        <v>1</v>
      </c>
      <c r="M27" s="112">
        <f>+K27*1.02</f>
        <v>68463.83412</v>
      </c>
      <c r="N27" s="80">
        <f t="shared" si="6"/>
        <v>1</v>
      </c>
      <c r="O27" s="112">
        <f>+M27*1.02</f>
        <v>69833.110802399999</v>
      </c>
      <c r="P27" s="80">
        <f t="shared" si="7"/>
        <v>1</v>
      </c>
      <c r="Q27" s="112">
        <f>+O27*1.02</f>
        <v>71229.773018448002</v>
      </c>
      <c r="R27" s="80">
        <f t="shared" si="8"/>
        <v>1</v>
      </c>
      <c r="S27" s="112">
        <f>+Q27*1.02</f>
        <v>72654.368478816963</v>
      </c>
      <c r="T27" s="80">
        <f t="shared" si="9"/>
        <v>1</v>
      </c>
      <c r="U27" s="112">
        <f>+S27*1.02</f>
        <v>74107.455848393307</v>
      </c>
      <c r="V27" s="80">
        <f t="shared" si="10"/>
        <v>1</v>
      </c>
    </row>
    <row r="28" spans="1:24" ht="12.75" customHeight="1">
      <c r="A28" s="1" t="s">
        <v>378</v>
      </c>
      <c r="B28" s="53"/>
      <c r="C28" s="82">
        <f>SUM(C19:C27)</f>
        <v>57500</v>
      </c>
      <c r="D28" s="83">
        <f t="shared" si="1"/>
        <v>1</v>
      </c>
      <c r="E28" s="82">
        <f>SUM(E19:E27)</f>
        <v>63250.000000000007</v>
      </c>
      <c r="F28" s="83">
        <f t="shared" si="2"/>
        <v>1</v>
      </c>
      <c r="G28" s="82">
        <f>SUM(G19:G27)</f>
        <v>64515.000000000007</v>
      </c>
      <c r="H28" s="83">
        <f t="shared" si="3"/>
        <v>1</v>
      </c>
      <c r="I28" s="82">
        <f>SUM(I19:I27)</f>
        <v>65805.3</v>
      </c>
      <c r="J28" s="83">
        <f t="shared" si="4"/>
        <v>1</v>
      </c>
      <c r="K28" s="82">
        <f>SUM(K19:K27)</f>
        <v>67121.406000000003</v>
      </c>
      <c r="L28" s="83">
        <f t="shared" si="5"/>
        <v>1</v>
      </c>
      <c r="M28" s="82">
        <f>SUM(M19:M27)</f>
        <v>68463.83412</v>
      </c>
      <c r="N28" s="83">
        <f t="shared" si="6"/>
        <v>1</v>
      </c>
      <c r="O28" s="82">
        <f>SUM(O19:O27)</f>
        <v>69833.110802399999</v>
      </c>
      <c r="P28" s="83">
        <f t="shared" si="7"/>
        <v>1</v>
      </c>
      <c r="Q28" s="82">
        <f>SUM(Q19:Q27)</f>
        <v>71229.773018448002</v>
      </c>
      <c r="R28" s="83">
        <f t="shared" si="8"/>
        <v>1</v>
      </c>
      <c r="S28" s="82">
        <f>SUM(S19:S27)</f>
        <v>72654.368478816963</v>
      </c>
      <c r="T28" s="83">
        <f t="shared" si="9"/>
        <v>1</v>
      </c>
      <c r="U28" s="82">
        <f>SUM(U19:U27)</f>
        <v>74107.455848393307</v>
      </c>
      <c r="V28" s="83">
        <f t="shared" si="10"/>
        <v>1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379</v>
      </c>
      <c r="B30" s="53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380</v>
      </c>
      <c r="B31" s="35"/>
      <c r="C31" s="178">
        <f>$C$30*C14</f>
        <v>0</v>
      </c>
      <c r="D31" s="80">
        <f>IFERROR(C31/C$28,0)</f>
        <v>0</v>
      </c>
      <c r="E31" s="178">
        <f>$C$30*E14</f>
        <v>0</v>
      </c>
      <c r="F31" s="80">
        <f>IFERROR(E31/E$28,0)</f>
        <v>0</v>
      </c>
      <c r="G31" s="178">
        <f>$C$30*G14</f>
        <v>0</v>
      </c>
      <c r="H31" s="80">
        <f>IFERROR(G31/G$28,0)</f>
        <v>0</v>
      </c>
      <c r="I31" s="178">
        <f>$C$30*I14</f>
        <v>0</v>
      </c>
      <c r="J31" s="80">
        <f>IFERROR(I31/I$28,0)</f>
        <v>0</v>
      </c>
      <c r="K31" s="178">
        <f>$C$30*K14</f>
        <v>0</v>
      </c>
      <c r="L31" s="80">
        <f>IFERROR(K31/K$28,0)</f>
        <v>0</v>
      </c>
      <c r="M31" s="178">
        <f>$C$30*M14</f>
        <v>0</v>
      </c>
      <c r="N31" s="80">
        <f>IFERROR(M31/M$28,0)</f>
        <v>0</v>
      </c>
      <c r="O31" s="178">
        <f>$C$30*O14</f>
        <v>0</v>
      </c>
      <c r="P31" s="80">
        <f>IFERROR(O31/O$28,0)</f>
        <v>0</v>
      </c>
      <c r="Q31" s="178">
        <f>$C$30*Q14</f>
        <v>0</v>
      </c>
      <c r="R31" s="80">
        <f>IFERROR(Q31/Q$28,0)</f>
        <v>0</v>
      </c>
      <c r="S31" s="178">
        <f>$C$30*S14</f>
        <v>0</v>
      </c>
      <c r="T31" s="80">
        <f>IFERROR(S31/S$28,0)</f>
        <v>0</v>
      </c>
      <c r="U31" s="178">
        <f>$C$30*U14</f>
        <v>0</v>
      </c>
      <c r="V31" s="80">
        <f>IFERROR(U31/U$28,0)</f>
        <v>0</v>
      </c>
    </row>
    <row r="32" spans="1:24" ht="12.75" customHeight="1">
      <c r="A32" s="8" t="s">
        <v>381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382</v>
      </c>
      <c r="B33" s="53"/>
      <c r="C33" s="82">
        <f>SUM(C31:C32)</f>
        <v>0</v>
      </c>
      <c r="D33" s="83">
        <f>IFERROR(C33/C$28,0)</f>
        <v>0</v>
      </c>
      <c r="E33" s="82">
        <f>SUM(E31:E32)</f>
        <v>0</v>
      </c>
      <c r="F33" s="83">
        <f>IFERROR(E33/E$28,0)</f>
        <v>0</v>
      </c>
      <c r="G33" s="82">
        <f>SUM(G31:G32)</f>
        <v>0</v>
      </c>
      <c r="H33" s="83">
        <f>IFERROR(G33/G$28,0)</f>
        <v>0</v>
      </c>
      <c r="I33" s="82">
        <f>SUM(I31:I32)</f>
        <v>0</v>
      </c>
      <c r="J33" s="83">
        <f>IFERROR(I33/I$28,0)</f>
        <v>0</v>
      </c>
      <c r="K33" s="82">
        <f>SUM(K31:K32)</f>
        <v>0</v>
      </c>
      <c r="L33" s="83">
        <f>IFERROR(K33/K$28,0)</f>
        <v>0</v>
      </c>
      <c r="M33" s="82">
        <f>SUM(M31:M32)</f>
        <v>0</v>
      </c>
      <c r="N33" s="83">
        <f>IFERROR(M33/M$28,0)</f>
        <v>0</v>
      </c>
      <c r="O33" s="82">
        <f>SUM(O31:O32)</f>
        <v>0</v>
      </c>
      <c r="P33" s="83">
        <f>IFERROR(O33/O$28,0)</f>
        <v>0</v>
      </c>
      <c r="Q33" s="82">
        <f>SUM(Q31:Q32)</f>
        <v>0</v>
      </c>
      <c r="R33" s="83">
        <f>IFERROR(Q33/Q$28,0)</f>
        <v>0</v>
      </c>
      <c r="S33" s="82">
        <f>SUM(S31:S32)</f>
        <v>0</v>
      </c>
      <c r="T33" s="83">
        <f>IFERROR(S33/S$28,0)</f>
        <v>0</v>
      </c>
      <c r="U33" s="82">
        <f>SUM(U31:U32)</f>
        <v>0</v>
      </c>
      <c r="V33" s="83">
        <f>IFERROR(U33/U$28,0)</f>
        <v>0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383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384</v>
      </c>
      <c r="B36" s="35"/>
      <c r="C36" s="113"/>
      <c r="D36" s="80">
        <f t="shared" ref="D36:D46" si="11">IFERROR(C36/C$28,0)</f>
        <v>0</v>
      </c>
      <c r="E36" s="178"/>
      <c r="F36" s="80">
        <f t="shared" ref="F36:F46" si="12">IFERROR(E36/E$28,0)</f>
        <v>0</v>
      </c>
      <c r="G36" s="178"/>
      <c r="H36" s="80">
        <f t="shared" ref="H36:H46" si="13">IFERROR(G36/G$28,0)</f>
        <v>0</v>
      </c>
      <c r="I36" s="178"/>
      <c r="J36" s="80">
        <f t="shared" ref="J36:J46" si="14">IFERROR(I36/I$28,0)</f>
        <v>0</v>
      </c>
      <c r="K36" s="178"/>
      <c r="L36" s="80">
        <f t="shared" ref="L36:L46" si="15">IFERROR(K36/K$28,0)</f>
        <v>0</v>
      </c>
      <c r="M36" s="178"/>
      <c r="N36" s="80">
        <f t="shared" ref="N36:N46" si="16">IFERROR(M36/M$28,0)</f>
        <v>0</v>
      </c>
      <c r="O36" s="178"/>
      <c r="P36" s="80">
        <f t="shared" ref="P36:P46" si="17">IFERROR(O36/O$28,0)</f>
        <v>0</v>
      </c>
      <c r="Q36" s="178"/>
      <c r="R36" s="80">
        <f t="shared" ref="R36:R46" si="18">IFERROR(Q36/Q$28,0)</f>
        <v>0</v>
      </c>
      <c r="S36" s="178"/>
      <c r="T36" s="80">
        <f t="shared" ref="T36:T46" si="19">IFERROR(S36/S$28,0)</f>
        <v>0</v>
      </c>
      <c r="U36" s="178"/>
      <c r="V36" s="80">
        <f t="shared" ref="V36:V46" si="20">IFERROR(U36/U$28,0)</f>
        <v>0</v>
      </c>
    </row>
    <row r="37" spans="1:22" ht="12.75" customHeight="1">
      <c r="A37" s="2" t="s">
        <v>385</v>
      </c>
      <c r="B37" s="35"/>
      <c r="C37" s="113"/>
      <c r="D37" s="80">
        <f t="shared" si="11"/>
        <v>0</v>
      </c>
      <c r="E37" s="178">
        <f>+C37*1.112</f>
        <v>0</v>
      </c>
      <c r="F37" s="80">
        <f t="shared" si="12"/>
        <v>0</v>
      </c>
      <c r="G37" s="178">
        <f>+E37*1.035</f>
        <v>0</v>
      </c>
      <c r="H37" s="80">
        <f t="shared" si="13"/>
        <v>0</v>
      </c>
      <c r="I37" s="178">
        <f>+G37*1.032</f>
        <v>0</v>
      </c>
      <c r="J37" s="80">
        <f t="shared" si="14"/>
        <v>0</v>
      </c>
      <c r="K37" s="178">
        <f>+I37*1.025</f>
        <v>0</v>
      </c>
      <c r="L37" s="80">
        <f t="shared" si="15"/>
        <v>0</v>
      </c>
      <c r="M37" s="178">
        <f>+K37*1.025</f>
        <v>0</v>
      </c>
      <c r="N37" s="80">
        <f t="shared" si="16"/>
        <v>0</v>
      </c>
      <c r="O37" s="178">
        <f>+M37*1.025</f>
        <v>0</v>
      </c>
      <c r="P37" s="80">
        <f t="shared" si="17"/>
        <v>0</v>
      </c>
      <c r="Q37" s="178">
        <f>+O37*1.025</f>
        <v>0</v>
      </c>
      <c r="R37" s="80">
        <f t="shared" si="18"/>
        <v>0</v>
      </c>
      <c r="S37" s="178">
        <f>+Q37*1.025</f>
        <v>0</v>
      </c>
      <c r="T37" s="80">
        <f t="shared" si="19"/>
        <v>0</v>
      </c>
      <c r="U37" s="178">
        <f>+S37*1.025</f>
        <v>0</v>
      </c>
      <c r="V37" s="80">
        <f t="shared" si="20"/>
        <v>0</v>
      </c>
    </row>
    <row r="38" spans="1:22" ht="12.75" customHeight="1">
      <c r="A38" s="2" t="s">
        <v>386</v>
      </c>
      <c r="B38" s="35"/>
      <c r="C38" s="113"/>
      <c r="D38" s="80">
        <f t="shared" si="11"/>
        <v>0</v>
      </c>
      <c r="E38" s="178">
        <f t="shared" ref="E38:E39" si="21">+C38*1.112</f>
        <v>0</v>
      </c>
      <c r="F38" s="80">
        <f t="shared" si="12"/>
        <v>0</v>
      </c>
      <c r="G38" s="178">
        <f>+E38*1.035</f>
        <v>0</v>
      </c>
      <c r="H38" s="80">
        <f t="shared" si="13"/>
        <v>0</v>
      </c>
      <c r="I38" s="178">
        <f>+G38*1.032</f>
        <v>0</v>
      </c>
      <c r="J38" s="80">
        <f t="shared" si="14"/>
        <v>0</v>
      </c>
      <c r="K38" s="178">
        <f>+I38*1.025</f>
        <v>0</v>
      </c>
      <c r="L38" s="80">
        <f t="shared" si="15"/>
        <v>0</v>
      </c>
      <c r="M38" s="178">
        <f>+K38*1.025</f>
        <v>0</v>
      </c>
      <c r="N38" s="80">
        <f t="shared" si="16"/>
        <v>0</v>
      </c>
      <c r="O38" s="178">
        <f>+M38*1.025</f>
        <v>0</v>
      </c>
      <c r="P38" s="80">
        <f t="shared" si="17"/>
        <v>0</v>
      </c>
      <c r="Q38" s="178">
        <f>+O38*1.025</f>
        <v>0</v>
      </c>
      <c r="R38" s="80">
        <f t="shared" si="18"/>
        <v>0</v>
      </c>
      <c r="S38" s="178">
        <f>+Q38*1.025</f>
        <v>0</v>
      </c>
      <c r="T38" s="80">
        <f t="shared" si="19"/>
        <v>0</v>
      </c>
      <c r="U38" s="178">
        <f>+S38*1.025</f>
        <v>0</v>
      </c>
      <c r="V38" s="80">
        <f t="shared" si="20"/>
        <v>0</v>
      </c>
    </row>
    <row r="39" spans="1:22" ht="12.75" customHeight="1">
      <c r="A39" s="2" t="s">
        <v>387</v>
      </c>
      <c r="B39" s="35"/>
      <c r="C39" s="113"/>
      <c r="D39" s="80">
        <f t="shared" si="11"/>
        <v>0</v>
      </c>
      <c r="E39" s="178">
        <f t="shared" si="21"/>
        <v>0</v>
      </c>
      <c r="F39" s="80">
        <f t="shared" si="12"/>
        <v>0</v>
      </c>
      <c r="G39" s="178">
        <f>+E39*1.035</f>
        <v>0</v>
      </c>
      <c r="H39" s="80">
        <f t="shared" si="13"/>
        <v>0</v>
      </c>
      <c r="I39" s="178">
        <f>+G39*1.032</f>
        <v>0</v>
      </c>
      <c r="J39" s="80">
        <f t="shared" si="14"/>
        <v>0</v>
      </c>
      <c r="K39" s="178">
        <f>+I39*1.025</f>
        <v>0</v>
      </c>
      <c r="L39" s="80">
        <f t="shared" si="15"/>
        <v>0</v>
      </c>
      <c r="M39" s="178">
        <f>+K39*1.025</f>
        <v>0</v>
      </c>
      <c r="N39" s="80">
        <f t="shared" si="16"/>
        <v>0</v>
      </c>
      <c r="O39" s="178">
        <f>+M39*1.025</f>
        <v>0</v>
      </c>
      <c r="P39" s="80">
        <f t="shared" si="17"/>
        <v>0</v>
      </c>
      <c r="Q39" s="178">
        <f>+O39*1.025</f>
        <v>0</v>
      </c>
      <c r="R39" s="80">
        <f t="shared" si="18"/>
        <v>0</v>
      </c>
      <c r="S39" s="178">
        <f>+Q39*1.025</f>
        <v>0</v>
      </c>
      <c r="T39" s="80">
        <f t="shared" si="19"/>
        <v>0</v>
      </c>
      <c r="U39" s="178">
        <f>+S39*1.025</f>
        <v>0</v>
      </c>
      <c r="V39" s="80">
        <f t="shared" si="20"/>
        <v>0</v>
      </c>
    </row>
    <row r="40" spans="1:22" ht="12.75" customHeight="1">
      <c r="A40" s="2" t="s">
        <v>388</v>
      </c>
      <c r="B40" s="35"/>
      <c r="C40" s="113">
        <f>C36*0.124</f>
        <v>0</v>
      </c>
      <c r="D40" s="80">
        <f t="shared" si="11"/>
        <v>0</v>
      </c>
      <c r="E40" s="113">
        <f>E36*0.124</f>
        <v>0</v>
      </c>
      <c r="F40" s="80">
        <f t="shared" si="12"/>
        <v>0</v>
      </c>
      <c r="G40" s="113">
        <f>G36*0.124</f>
        <v>0</v>
      </c>
      <c r="H40" s="80">
        <f t="shared" si="13"/>
        <v>0</v>
      </c>
      <c r="I40" s="113">
        <f>I36*0.124</f>
        <v>0</v>
      </c>
      <c r="J40" s="80">
        <f t="shared" si="14"/>
        <v>0</v>
      </c>
      <c r="K40" s="113">
        <f>K36*0.124</f>
        <v>0</v>
      </c>
      <c r="L40" s="80">
        <f t="shared" si="15"/>
        <v>0</v>
      </c>
      <c r="M40" s="113">
        <f>M36*0.124</f>
        <v>0</v>
      </c>
      <c r="N40" s="80">
        <f t="shared" si="16"/>
        <v>0</v>
      </c>
      <c r="O40" s="113">
        <f>O36*0.124</f>
        <v>0</v>
      </c>
      <c r="P40" s="80">
        <f t="shared" si="17"/>
        <v>0</v>
      </c>
      <c r="Q40" s="113">
        <f>Q36*0.124</f>
        <v>0</v>
      </c>
      <c r="R40" s="80">
        <f t="shared" si="18"/>
        <v>0</v>
      </c>
      <c r="S40" s="113">
        <f>S36*0.124</f>
        <v>0</v>
      </c>
      <c r="T40" s="80">
        <f t="shared" si="19"/>
        <v>0</v>
      </c>
      <c r="U40" s="113">
        <f>U36*0.124</f>
        <v>0</v>
      </c>
      <c r="V40" s="80">
        <f t="shared" si="20"/>
        <v>0</v>
      </c>
    </row>
    <row r="41" spans="1:22" ht="12.75" customHeight="1">
      <c r="A41" s="2" t="s">
        <v>389</v>
      </c>
      <c r="B41" s="35"/>
      <c r="C41" s="113">
        <f>C37*0.124</f>
        <v>0</v>
      </c>
      <c r="D41" s="80">
        <f t="shared" si="11"/>
        <v>0</v>
      </c>
      <c r="E41" s="113">
        <f>E37*0.124</f>
        <v>0</v>
      </c>
      <c r="F41" s="80">
        <f t="shared" si="12"/>
        <v>0</v>
      </c>
      <c r="G41" s="113">
        <f>G37*0.124</f>
        <v>0</v>
      </c>
      <c r="H41" s="80">
        <f t="shared" si="13"/>
        <v>0</v>
      </c>
      <c r="I41" s="113">
        <f>I37*0.124</f>
        <v>0</v>
      </c>
      <c r="J41" s="80">
        <f t="shared" si="14"/>
        <v>0</v>
      </c>
      <c r="K41" s="113">
        <f>K37*0.124</f>
        <v>0</v>
      </c>
      <c r="L41" s="80">
        <f t="shared" si="15"/>
        <v>0</v>
      </c>
      <c r="M41" s="113">
        <f>M37*0.124</f>
        <v>0</v>
      </c>
      <c r="N41" s="80">
        <f t="shared" si="16"/>
        <v>0</v>
      </c>
      <c r="O41" s="113">
        <f>O37*0.124</f>
        <v>0</v>
      </c>
      <c r="P41" s="80">
        <f t="shared" si="17"/>
        <v>0</v>
      </c>
      <c r="Q41" s="113">
        <f>Q37*0.124</f>
        <v>0</v>
      </c>
      <c r="R41" s="80">
        <f t="shared" si="18"/>
        <v>0</v>
      </c>
      <c r="S41" s="113">
        <f>S37*0.124</f>
        <v>0</v>
      </c>
      <c r="T41" s="80">
        <f t="shared" si="19"/>
        <v>0</v>
      </c>
      <c r="U41" s="113">
        <f>U37*0.124</f>
        <v>0</v>
      </c>
      <c r="V41" s="80">
        <f t="shared" si="20"/>
        <v>0</v>
      </c>
    </row>
    <row r="42" spans="1:22" ht="12.75" customHeight="1">
      <c r="A42" s="2" t="s">
        <v>390</v>
      </c>
      <c r="B42" s="35"/>
      <c r="C42" s="113"/>
      <c r="D42" s="80">
        <f t="shared" si="11"/>
        <v>0</v>
      </c>
      <c r="E42" s="178"/>
      <c r="F42" s="80">
        <f t="shared" si="12"/>
        <v>0</v>
      </c>
      <c r="G42" s="178"/>
      <c r="H42" s="80">
        <f t="shared" si="13"/>
        <v>0</v>
      </c>
      <c r="I42" s="178"/>
      <c r="J42" s="80">
        <f t="shared" si="14"/>
        <v>0</v>
      </c>
      <c r="K42" s="178"/>
      <c r="L42" s="80">
        <f t="shared" si="15"/>
        <v>0</v>
      </c>
      <c r="M42" s="178"/>
      <c r="N42" s="80">
        <f t="shared" si="16"/>
        <v>0</v>
      </c>
      <c r="O42" s="178"/>
      <c r="P42" s="80">
        <f t="shared" si="17"/>
        <v>0</v>
      </c>
      <c r="Q42" s="178"/>
      <c r="R42" s="80">
        <f t="shared" si="18"/>
        <v>0</v>
      </c>
      <c r="S42" s="178"/>
      <c r="T42" s="80">
        <f t="shared" si="19"/>
        <v>0</v>
      </c>
      <c r="U42" s="178"/>
      <c r="V42" s="80">
        <f t="shared" si="20"/>
        <v>0</v>
      </c>
    </row>
    <row r="43" spans="1:22" ht="12.75" customHeight="1">
      <c r="A43" s="2" t="s">
        <v>391</v>
      </c>
      <c r="B43" s="35"/>
      <c r="C43" s="113"/>
      <c r="D43" s="80">
        <f t="shared" si="11"/>
        <v>0</v>
      </c>
      <c r="E43" s="178"/>
      <c r="F43" s="80">
        <f t="shared" si="12"/>
        <v>0</v>
      </c>
      <c r="G43" s="178"/>
      <c r="H43" s="80">
        <f t="shared" si="13"/>
        <v>0</v>
      </c>
      <c r="I43" s="178"/>
      <c r="J43" s="80">
        <f t="shared" si="14"/>
        <v>0</v>
      </c>
      <c r="K43" s="178"/>
      <c r="L43" s="80">
        <f t="shared" si="15"/>
        <v>0</v>
      </c>
      <c r="M43" s="178"/>
      <c r="N43" s="80">
        <f t="shared" si="16"/>
        <v>0</v>
      </c>
      <c r="O43" s="178"/>
      <c r="P43" s="80">
        <f t="shared" si="17"/>
        <v>0</v>
      </c>
      <c r="Q43" s="178"/>
      <c r="R43" s="80">
        <f t="shared" si="18"/>
        <v>0</v>
      </c>
      <c r="S43" s="178"/>
      <c r="T43" s="80">
        <f t="shared" si="19"/>
        <v>0</v>
      </c>
      <c r="U43" s="178"/>
      <c r="V43" s="80">
        <f t="shared" si="20"/>
        <v>0</v>
      </c>
    </row>
    <row r="44" spans="1:22" ht="12.75" customHeight="1">
      <c r="A44" s="2" t="s">
        <v>392</v>
      </c>
      <c r="B44" s="35"/>
      <c r="C44" s="113"/>
      <c r="D44" s="80">
        <f t="shared" si="11"/>
        <v>0</v>
      </c>
      <c r="E44" s="178"/>
      <c r="F44" s="80">
        <f t="shared" si="12"/>
        <v>0</v>
      </c>
      <c r="G44" s="178"/>
      <c r="H44" s="80">
        <f t="shared" si="13"/>
        <v>0</v>
      </c>
      <c r="I44" s="178"/>
      <c r="J44" s="80">
        <f t="shared" si="14"/>
        <v>0</v>
      </c>
      <c r="K44" s="178"/>
      <c r="L44" s="80">
        <f t="shared" si="15"/>
        <v>0</v>
      </c>
      <c r="M44" s="178"/>
      <c r="N44" s="80">
        <f t="shared" si="16"/>
        <v>0</v>
      </c>
      <c r="O44" s="178"/>
      <c r="P44" s="80">
        <f t="shared" si="17"/>
        <v>0</v>
      </c>
      <c r="Q44" s="178"/>
      <c r="R44" s="80">
        <f t="shared" si="18"/>
        <v>0</v>
      </c>
      <c r="S44" s="178"/>
      <c r="T44" s="80">
        <f t="shared" si="19"/>
        <v>0</v>
      </c>
      <c r="U44" s="178"/>
      <c r="V44" s="80">
        <f t="shared" si="20"/>
        <v>0</v>
      </c>
    </row>
    <row r="45" spans="1:22" ht="12.75" customHeight="1">
      <c r="A45" s="2" t="s">
        <v>393</v>
      </c>
      <c r="B45" s="35"/>
      <c r="C45" s="114">
        <f>SUM(C36:C39)*0.094</f>
        <v>0</v>
      </c>
      <c r="D45" s="80">
        <f t="shared" si="11"/>
        <v>0</v>
      </c>
      <c r="E45" s="114">
        <f>SUM(E36:E39)*0.094</f>
        <v>0</v>
      </c>
      <c r="F45" s="80">
        <f t="shared" si="12"/>
        <v>0</v>
      </c>
      <c r="G45" s="114">
        <f>SUM(G36:G39)*0.094</f>
        <v>0</v>
      </c>
      <c r="H45" s="80">
        <f t="shared" si="13"/>
        <v>0</v>
      </c>
      <c r="I45" s="114">
        <f>SUM(I36:I39)*0.094</f>
        <v>0</v>
      </c>
      <c r="J45" s="80">
        <f t="shared" si="14"/>
        <v>0</v>
      </c>
      <c r="K45" s="114">
        <f>SUM(K36:K39)*0.094</f>
        <v>0</v>
      </c>
      <c r="L45" s="80">
        <f t="shared" si="15"/>
        <v>0</v>
      </c>
      <c r="M45" s="114">
        <f>SUM(M36:M39)*0.094</f>
        <v>0</v>
      </c>
      <c r="N45" s="80">
        <f t="shared" si="16"/>
        <v>0</v>
      </c>
      <c r="O45" s="114">
        <f>SUM(O36:O39)*0.094</f>
        <v>0</v>
      </c>
      <c r="P45" s="80">
        <f t="shared" si="17"/>
        <v>0</v>
      </c>
      <c r="Q45" s="114">
        <f>SUM(Q36:Q39)*0.094</f>
        <v>0</v>
      </c>
      <c r="R45" s="80">
        <f t="shared" si="18"/>
        <v>0</v>
      </c>
      <c r="S45" s="114">
        <f>SUM(S36:S39)*0.094</f>
        <v>0</v>
      </c>
      <c r="T45" s="80">
        <f t="shared" si="19"/>
        <v>0</v>
      </c>
      <c r="U45" s="114">
        <f>SUM(U36:U39)*0.094</f>
        <v>0</v>
      </c>
      <c r="V45" s="80">
        <f t="shared" si="20"/>
        <v>0</v>
      </c>
    </row>
    <row r="46" spans="1:22" ht="12.75" customHeight="1">
      <c r="A46" s="1" t="s">
        <v>394</v>
      </c>
      <c r="B46" s="53"/>
      <c r="C46" s="82">
        <f>SUM(C36:C45)</f>
        <v>0</v>
      </c>
      <c r="D46" s="83">
        <f t="shared" si="11"/>
        <v>0</v>
      </c>
      <c r="E46" s="82">
        <f>SUM(E36:E45)</f>
        <v>0</v>
      </c>
      <c r="F46" s="83">
        <f t="shared" si="12"/>
        <v>0</v>
      </c>
      <c r="G46" s="82">
        <f>SUM(G36:G45)</f>
        <v>0</v>
      </c>
      <c r="H46" s="83">
        <f t="shared" si="13"/>
        <v>0</v>
      </c>
      <c r="I46" s="82">
        <f>SUM(I36:I45)</f>
        <v>0</v>
      </c>
      <c r="J46" s="83">
        <f t="shared" si="14"/>
        <v>0</v>
      </c>
      <c r="K46" s="82">
        <f>SUM(K36:K45)</f>
        <v>0</v>
      </c>
      <c r="L46" s="83">
        <f t="shared" si="15"/>
        <v>0</v>
      </c>
      <c r="M46" s="82">
        <f>SUM(M36:M45)</f>
        <v>0</v>
      </c>
      <c r="N46" s="83">
        <f t="shared" si="16"/>
        <v>0</v>
      </c>
      <c r="O46" s="82">
        <f>SUM(O36:O45)</f>
        <v>0</v>
      </c>
      <c r="P46" s="83">
        <f t="shared" si="17"/>
        <v>0</v>
      </c>
      <c r="Q46" s="82">
        <f>SUM(Q36:Q45)</f>
        <v>0</v>
      </c>
      <c r="R46" s="83">
        <f t="shared" si="18"/>
        <v>0</v>
      </c>
      <c r="S46" s="82">
        <f>SUM(S36:S45)</f>
        <v>0</v>
      </c>
      <c r="T46" s="83">
        <f t="shared" si="19"/>
        <v>0</v>
      </c>
      <c r="U46" s="82">
        <f>SUM(U36:U45)</f>
        <v>0</v>
      </c>
      <c r="V46" s="83">
        <f t="shared" si="20"/>
        <v>0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366</v>
      </c>
      <c r="E50" s="86" t="str">
        <f>E6</f>
        <v>FY 2019-20</v>
      </c>
      <c r="F50" s="86" t="s">
        <v>366</v>
      </c>
      <c r="G50" s="86" t="str">
        <f>G6</f>
        <v>FY 2020-21</v>
      </c>
      <c r="H50" s="86" t="s">
        <v>366</v>
      </c>
      <c r="I50" s="86" t="str">
        <f>I6</f>
        <v>FY 2021-22</v>
      </c>
      <c r="J50" s="86" t="s">
        <v>366</v>
      </c>
      <c r="K50" s="86" t="str">
        <f>K6</f>
        <v>FY 2022-23</v>
      </c>
      <c r="L50" s="86" t="s">
        <v>366</v>
      </c>
      <c r="M50" s="86" t="str">
        <f>M6</f>
        <v>FY 2023-24</v>
      </c>
      <c r="N50" s="86" t="s">
        <v>366</v>
      </c>
      <c r="O50" s="86" t="str">
        <f>O6</f>
        <v>FY 2024-25</v>
      </c>
      <c r="P50" s="86" t="s">
        <v>366</v>
      </c>
      <c r="Q50" s="86" t="str">
        <f>Q6</f>
        <v>FY 2025-26</v>
      </c>
      <c r="R50" s="86" t="s">
        <v>366</v>
      </c>
      <c r="S50" s="86" t="str">
        <f>S6</f>
        <v>FY 2026-27</v>
      </c>
      <c r="T50" s="86" t="s">
        <v>366</v>
      </c>
      <c r="U50" s="86" t="str">
        <f>U6</f>
        <v>FY 2027-28</v>
      </c>
      <c r="V50" s="86" t="s">
        <v>366</v>
      </c>
    </row>
    <row r="51" spans="1:24" ht="12.75" customHeight="1">
      <c r="A51" s="1" t="s">
        <v>395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396</v>
      </c>
      <c r="B52" s="35"/>
      <c r="C52" s="178">
        <v>0</v>
      </c>
      <c r="D52" s="80">
        <f t="shared" ref="D52:D83" si="22">IFERROR(C52/C$28,0)</f>
        <v>0</v>
      </c>
      <c r="E52" s="178">
        <v>0</v>
      </c>
      <c r="F52" s="80">
        <f t="shared" ref="F52:F105" si="23">IFERROR(E52/E$28,0)</f>
        <v>0</v>
      </c>
      <c r="G52" s="178">
        <v>0</v>
      </c>
      <c r="H52" s="80">
        <f t="shared" ref="H52:H105" si="24">IFERROR(G52/G$28,0)</f>
        <v>0</v>
      </c>
      <c r="I52" s="178">
        <v>0</v>
      </c>
      <c r="J52" s="80">
        <f t="shared" ref="J52:J105" si="25">IFERROR(I52/I$28,0)</f>
        <v>0</v>
      </c>
      <c r="K52" s="178">
        <v>0</v>
      </c>
      <c r="L52" s="80">
        <f t="shared" ref="L52:L105" si="26">IFERROR(K52/K$28,0)</f>
        <v>0</v>
      </c>
      <c r="M52" s="178">
        <v>0</v>
      </c>
      <c r="N52" s="80">
        <f t="shared" ref="N52:N105" si="27">IFERROR(M52/M$28,0)</f>
        <v>0</v>
      </c>
      <c r="O52" s="178">
        <v>0</v>
      </c>
      <c r="P52" s="80">
        <f t="shared" ref="P52:P105" si="28">IFERROR(O52/O$28,0)</f>
        <v>0</v>
      </c>
      <c r="Q52" s="178">
        <v>0</v>
      </c>
      <c r="R52" s="80">
        <f t="shared" ref="R52:R105" si="29">IFERROR(Q52/Q$28,0)</f>
        <v>0</v>
      </c>
      <c r="S52" s="178">
        <v>0</v>
      </c>
      <c r="T52" s="80">
        <f t="shared" ref="T52:T105" si="30">IFERROR(S52/S$28,0)</f>
        <v>0</v>
      </c>
      <c r="U52" s="178">
        <v>0</v>
      </c>
      <c r="V52" s="80">
        <f t="shared" ref="V52:V105" si="31">IFERROR(U52/U$28,0)</f>
        <v>0</v>
      </c>
      <c r="X52" s="192"/>
    </row>
    <row r="53" spans="1:24" ht="12.75" customHeight="1">
      <c r="A53" s="2" t="s">
        <v>397</v>
      </c>
      <c r="B53" s="35"/>
      <c r="C53" s="178">
        <v>0</v>
      </c>
      <c r="D53" s="80">
        <f t="shared" si="22"/>
        <v>0</v>
      </c>
      <c r="E53" s="178">
        <v>0</v>
      </c>
      <c r="F53" s="80">
        <f t="shared" si="23"/>
        <v>0</v>
      </c>
      <c r="G53" s="178">
        <v>0</v>
      </c>
      <c r="H53" s="80">
        <f t="shared" si="24"/>
        <v>0</v>
      </c>
      <c r="I53" s="178">
        <v>0</v>
      </c>
      <c r="J53" s="80">
        <f t="shared" si="25"/>
        <v>0</v>
      </c>
      <c r="K53" s="178">
        <v>0</v>
      </c>
      <c r="L53" s="80">
        <f t="shared" si="26"/>
        <v>0</v>
      </c>
      <c r="M53" s="178">
        <v>0</v>
      </c>
      <c r="N53" s="80">
        <f t="shared" si="27"/>
        <v>0</v>
      </c>
      <c r="O53" s="178">
        <v>0</v>
      </c>
      <c r="P53" s="80">
        <f t="shared" si="28"/>
        <v>0</v>
      </c>
      <c r="Q53" s="178">
        <v>0</v>
      </c>
      <c r="R53" s="80">
        <f t="shared" si="29"/>
        <v>0</v>
      </c>
      <c r="S53" s="178">
        <v>0</v>
      </c>
      <c r="T53" s="80">
        <f t="shared" si="30"/>
        <v>0</v>
      </c>
      <c r="U53" s="178">
        <v>0</v>
      </c>
      <c r="V53" s="80">
        <f t="shared" si="31"/>
        <v>0</v>
      </c>
      <c r="X53" s="192"/>
    </row>
    <row r="54" spans="1:24" ht="12.75" customHeight="1">
      <c r="A54" s="2" t="s">
        <v>398</v>
      </c>
      <c r="B54" s="35"/>
      <c r="C54" s="178">
        <v>0</v>
      </c>
      <c r="D54" s="80">
        <f t="shared" si="22"/>
        <v>0</v>
      </c>
      <c r="E54" s="178">
        <v>0</v>
      </c>
      <c r="F54" s="80">
        <f t="shared" si="23"/>
        <v>0</v>
      </c>
      <c r="G54" s="178">
        <v>0</v>
      </c>
      <c r="H54" s="80">
        <f t="shared" si="24"/>
        <v>0</v>
      </c>
      <c r="I54" s="178">
        <v>0</v>
      </c>
      <c r="J54" s="80">
        <f t="shared" si="25"/>
        <v>0</v>
      </c>
      <c r="K54" s="178">
        <v>0</v>
      </c>
      <c r="L54" s="80">
        <f t="shared" si="26"/>
        <v>0</v>
      </c>
      <c r="M54" s="178">
        <v>0</v>
      </c>
      <c r="N54" s="80">
        <f t="shared" si="27"/>
        <v>0</v>
      </c>
      <c r="O54" s="178">
        <v>0</v>
      </c>
      <c r="P54" s="80">
        <f t="shared" si="28"/>
        <v>0</v>
      </c>
      <c r="Q54" s="178">
        <v>0</v>
      </c>
      <c r="R54" s="80">
        <f t="shared" si="29"/>
        <v>0</v>
      </c>
      <c r="S54" s="178">
        <v>0</v>
      </c>
      <c r="T54" s="80">
        <f t="shared" si="30"/>
        <v>0</v>
      </c>
      <c r="U54" s="178">
        <v>0</v>
      </c>
      <c r="V54" s="80">
        <f t="shared" si="31"/>
        <v>0</v>
      </c>
      <c r="X54" s="192"/>
    </row>
    <row r="55" spans="1:24" ht="12.75" customHeight="1">
      <c r="A55" s="2" t="s">
        <v>399</v>
      </c>
      <c r="B55" s="35"/>
      <c r="C55" s="178">
        <v>0</v>
      </c>
      <c r="D55" s="80">
        <f t="shared" si="22"/>
        <v>0</v>
      </c>
      <c r="E55" s="178">
        <v>0</v>
      </c>
      <c r="F55" s="80">
        <f t="shared" si="23"/>
        <v>0</v>
      </c>
      <c r="G55" s="178">
        <v>0</v>
      </c>
      <c r="H55" s="80">
        <f t="shared" si="24"/>
        <v>0</v>
      </c>
      <c r="I55" s="178">
        <v>0</v>
      </c>
      <c r="J55" s="80">
        <f t="shared" si="25"/>
        <v>0</v>
      </c>
      <c r="K55" s="178">
        <v>0</v>
      </c>
      <c r="L55" s="80">
        <f t="shared" si="26"/>
        <v>0</v>
      </c>
      <c r="M55" s="178">
        <v>0</v>
      </c>
      <c r="N55" s="80">
        <f t="shared" si="27"/>
        <v>0</v>
      </c>
      <c r="O55" s="178">
        <v>0</v>
      </c>
      <c r="P55" s="80">
        <f t="shared" si="28"/>
        <v>0</v>
      </c>
      <c r="Q55" s="178">
        <v>0</v>
      </c>
      <c r="R55" s="80">
        <f t="shared" si="29"/>
        <v>0</v>
      </c>
      <c r="S55" s="178">
        <v>0</v>
      </c>
      <c r="T55" s="80">
        <f t="shared" si="30"/>
        <v>0</v>
      </c>
      <c r="U55" s="178">
        <v>0</v>
      </c>
      <c r="V55" s="80">
        <f t="shared" si="31"/>
        <v>0</v>
      </c>
      <c r="X55" s="192"/>
    </row>
    <row r="56" spans="1:24" ht="12.75" customHeight="1">
      <c r="A56" s="2" t="s">
        <v>400</v>
      </c>
      <c r="B56" s="35"/>
      <c r="C56" s="178">
        <v>0</v>
      </c>
      <c r="D56" s="80">
        <f t="shared" si="22"/>
        <v>0</v>
      </c>
      <c r="E56" s="178">
        <v>0</v>
      </c>
      <c r="F56" s="80">
        <f t="shared" si="23"/>
        <v>0</v>
      </c>
      <c r="G56" s="178">
        <v>0</v>
      </c>
      <c r="H56" s="80">
        <f t="shared" si="24"/>
        <v>0</v>
      </c>
      <c r="I56" s="178">
        <v>0</v>
      </c>
      <c r="J56" s="80">
        <f t="shared" si="25"/>
        <v>0</v>
      </c>
      <c r="K56" s="178">
        <v>0</v>
      </c>
      <c r="L56" s="80">
        <f t="shared" si="26"/>
        <v>0</v>
      </c>
      <c r="M56" s="178">
        <v>0</v>
      </c>
      <c r="N56" s="80">
        <f t="shared" si="27"/>
        <v>0</v>
      </c>
      <c r="O56" s="178">
        <v>0</v>
      </c>
      <c r="P56" s="80">
        <f t="shared" si="28"/>
        <v>0</v>
      </c>
      <c r="Q56" s="178">
        <v>0</v>
      </c>
      <c r="R56" s="80">
        <f t="shared" si="29"/>
        <v>0</v>
      </c>
      <c r="S56" s="178">
        <v>0</v>
      </c>
      <c r="T56" s="80">
        <f t="shared" si="30"/>
        <v>0</v>
      </c>
      <c r="U56" s="178">
        <v>0</v>
      </c>
      <c r="V56" s="80">
        <f t="shared" si="31"/>
        <v>0</v>
      </c>
      <c r="X56" s="192"/>
    </row>
    <row r="57" spans="1:24" ht="12.75" customHeight="1">
      <c r="A57" s="2" t="s">
        <v>401</v>
      </c>
      <c r="B57" s="35"/>
      <c r="C57" s="178">
        <v>0</v>
      </c>
      <c r="D57" s="80">
        <f t="shared" si="22"/>
        <v>0</v>
      </c>
      <c r="E57" s="178">
        <v>0</v>
      </c>
      <c r="F57" s="80">
        <f t="shared" si="23"/>
        <v>0</v>
      </c>
      <c r="G57" s="178">
        <v>0</v>
      </c>
      <c r="H57" s="80">
        <f t="shared" si="24"/>
        <v>0</v>
      </c>
      <c r="I57" s="178">
        <v>0</v>
      </c>
      <c r="J57" s="80">
        <f t="shared" si="25"/>
        <v>0</v>
      </c>
      <c r="K57" s="178">
        <v>0</v>
      </c>
      <c r="L57" s="80">
        <f t="shared" si="26"/>
        <v>0</v>
      </c>
      <c r="M57" s="178">
        <v>0</v>
      </c>
      <c r="N57" s="80">
        <f t="shared" si="27"/>
        <v>0</v>
      </c>
      <c r="O57" s="178">
        <v>0</v>
      </c>
      <c r="P57" s="80">
        <f t="shared" si="28"/>
        <v>0</v>
      </c>
      <c r="Q57" s="178">
        <v>0</v>
      </c>
      <c r="R57" s="80">
        <f t="shared" si="29"/>
        <v>0</v>
      </c>
      <c r="S57" s="178">
        <v>0</v>
      </c>
      <c r="T57" s="80">
        <f t="shared" si="30"/>
        <v>0</v>
      </c>
      <c r="U57" s="178">
        <v>0</v>
      </c>
      <c r="V57" s="80">
        <f t="shared" si="31"/>
        <v>0</v>
      </c>
      <c r="X57" s="192"/>
    </row>
    <row r="58" spans="1:24" ht="12.75" customHeight="1">
      <c r="A58" s="2" t="s">
        <v>402</v>
      </c>
      <c r="B58" s="35"/>
      <c r="C58" s="178">
        <v>0</v>
      </c>
      <c r="D58" s="80">
        <f t="shared" si="22"/>
        <v>0</v>
      </c>
      <c r="E58" s="178">
        <v>0</v>
      </c>
      <c r="F58" s="80">
        <f t="shared" si="23"/>
        <v>0</v>
      </c>
      <c r="G58" s="178">
        <v>0</v>
      </c>
      <c r="H58" s="80">
        <f t="shared" si="24"/>
        <v>0</v>
      </c>
      <c r="I58" s="178">
        <v>0</v>
      </c>
      <c r="J58" s="80">
        <f t="shared" si="25"/>
        <v>0</v>
      </c>
      <c r="K58" s="178">
        <v>0</v>
      </c>
      <c r="L58" s="80">
        <f t="shared" si="26"/>
        <v>0</v>
      </c>
      <c r="M58" s="178">
        <v>0</v>
      </c>
      <c r="N58" s="80">
        <f t="shared" si="27"/>
        <v>0</v>
      </c>
      <c r="O58" s="178">
        <v>0</v>
      </c>
      <c r="P58" s="80">
        <f t="shared" si="28"/>
        <v>0</v>
      </c>
      <c r="Q58" s="178">
        <v>0</v>
      </c>
      <c r="R58" s="80">
        <f t="shared" si="29"/>
        <v>0</v>
      </c>
      <c r="S58" s="178">
        <v>0</v>
      </c>
      <c r="T58" s="80">
        <f t="shared" si="30"/>
        <v>0</v>
      </c>
      <c r="U58" s="178">
        <v>0</v>
      </c>
      <c r="V58" s="80">
        <f t="shared" si="31"/>
        <v>0</v>
      </c>
      <c r="X58" s="192"/>
    </row>
    <row r="59" spans="1:24" ht="12.75" customHeight="1">
      <c r="A59" s="2" t="s">
        <v>403</v>
      </c>
      <c r="B59" s="35"/>
      <c r="C59" s="178"/>
      <c r="D59" s="80">
        <f t="shared" si="22"/>
        <v>0</v>
      </c>
      <c r="E59" s="178"/>
      <c r="F59" s="80">
        <f t="shared" si="23"/>
        <v>0</v>
      </c>
      <c r="G59" s="178"/>
      <c r="H59" s="80">
        <f t="shared" si="24"/>
        <v>0</v>
      </c>
      <c r="I59" s="178"/>
      <c r="J59" s="80">
        <f t="shared" si="25"/>
        <v>0</v>
      </c>
      <c r="K59" s="178"/>
      <c r="L59" s="80">
        <f t="shared" si="26"/>
        <v>0</v>
      </c>
      <c r="M59" s="178"/>
      <c r="N59" s="80">
        <f t="shared" si="27"/>
        <v>0</v>
      </c>
      <c r="O59" s="178"/>
      <c r="P59" s="80">
        <f t="shared" si="28"/>
        <v>0</v>
      </c>
      <c r="Q59" s="178"/>
      <c r="R59" s="80">
        <f t="shared" si="29"/>
        <v>0</v>
      </c>
      <c r="S59" s="178"/>
      <c r="T59" s="80">
        <f t="shared" si="30"/>
        <v>0</v>
      </c>
      <c r="U59" s="178"/>
      <c r="V59" s="80">
        <f t="shared" si="31"/>
        <v>0</v>
      </c>
      <c r="X59" s="192"/>
    </row>
    <row r="60" spans="1:24" ht="12.75" customHeight="1">
      <c r="A60" s="2" t="s">
        <v>404</v>
      </c>
      <c r="B60" s="35"/>
      <c r="C60" s="178">
        <v>0</v>
      </c>
      <c r="D60" s="80">
        <f t="shared" si="22"/>
        <v>0</v>
      </c>
      <c r="E60" s="178">
        <v>0</v>
      </c>
      <c r="F60" s="80">
        <f t="shared" si="23"/>
        <v>0</v>
      </c>
      <c r="G60" s="178">
        <v>0</v>
      </c>
      <c r="H60" s="80">
        <f t="shared" si="24"/>
        <v>0</v>
      </c>
      <c r="I60" s="178">
        <v>0</v>
      </c>
      <c r="J60" s="80">
        <f t="shared" si="25"/>
        <v>0</v>
      </c>
      <c r="K60" s="178">
        <v>0</v>
      </c>
      <c r="L60" s="80">
        <f t="shared" si="26"/>
        <v>0</v>
      </c>
      <c r="M60" s="178">
        <v>0</v>
      </c>
      <c r="N60" s="80">
        <f t="shared" si="27"/>
        <v>0</v>
      </c>
      <c r="O60" s="178">
        <v>0</v>
      </c>
      <c r="P60" s="80">
        <f t="shared" si="28"/>
        <v>0</v>
      </c>
      <c r="Q60" s="178">
        <v>0</v>
      </c>
      <c r="R60" s="80">
        <f t="shared" si="29"/>
        <v>0</v>
      </c>
      <c r="S60" s="178">
        <v>0</v>
      </c>
      <c r="T60" s="80">
        <f t="shared" si="30"/>
        <v>0</v>
      </c>
      <c r="U60" s="178">
        <v>0</v>
      </c>
      <c r="V60" s="80">
        <f t="shared" si="31"/>
        <v>0</v>
      </c>
      <c r="X60" s="192"/>
    </row>
    <row r="61" spans="1:24" ht="12.75" customHeight="1">
      <c r="A61" s="2" t="s">
        <v>405</v>
      </c>
      <c r="B61" s="35"/>
      <c r="C61" s="178">
        <v>0</v>
      </c>
      <c r="D61" s="80">
        <f t="shared" si="22"/>
        <v>0</v>
      </c>
      <c r="E61" s="178">
        <v>0</v>
      </c>
      <c r="F61" s="80">
        <f t="shared" si="23"/>
        <v>0</v>
      </c>
      <c r="G61" s="178">
        <v>0</v>
      </c>
      <c r="H61" s="80">
        <f t="shared" si="24"/>
        <v>0</v>
      </c>
      <c r="I61" s="178">
        <v>0</v>
      </c>
      <c r="J61" s="80">
        <f t="shared" si="25"/>
        <v>0</v>
      </c>
      <c r="K61" s="178">
        <v>0</v>
      </c>
      <c r="L61" s="80">
        <f t="shared" si="26"/>
        <v>0</v>
      </c>
      <c r="M61" s="178">
        <v>0</v>
      </c>
      <c r="N61" s="80">
        <f t="shared" si="27"/>
        <v>0</v>
      </c>
      <c r="O61" s="178">
        <v>0</v>
      </c>
      <c r="P61" s="80">
        <f t="shared" si="28"/>
        <v>0</v>
      </c>
      <c r="Q61" s="178">
        <v>0</v>
      </c>
      <c r="R61" s="80">
        <f t="shared" si="29"/>
        <v>0</v>
      </c>
      <c r="S61" s="178">
        <v>0</v>
      </c>
      <c r="T61" s="80">
        <f t="shared" si="30"/>
        <v>0</v>
      </c>
      <c r="U61" s="178">
        <v>0</v>
      </c>
      <c r="V61" s="80">
        <f t="shared" si="31"/>
        <v>0</v>
      </c>
      <c r="X61" s="192"/>
    </row>
    <row r="62" spans="1:24" ht="12.75" customHeight="1">
      <c r="A62" s="2" t="s">
        <v>406</v>
      </c>
      <c r="B62" s="35"/>
      <c r="C62" s="178">
        <v>0</v>
      </c>
      <c r="D62" s="80">
        <f t="shared" si="22"/>
        <v>0</v>
      </c>
      <c r="E62" s="178">
        <v>0</v>
      </c>
      <c r="F62" s="80">
        <f t="shared" si="23"/>
        <v>0</v>
      </c>
      <c r="G62" s="178">
        <v>0</v>
      </c>
      <c r="H62" s="80">
        <f t="shared" si="24"/>
        <v>0</v>
      </c>
      <c r="I62" s="178">
        <v>0</v>
      </c>
      <c r="J62" s="80">
        <f t="shared" si="25"/>
        <v>0</v>
      </c>
      <c r="K62" s="178">
        <v>0</v>
      </c>
      <c r="L62" s="80">
        <f t="shared" si="26"/>
        <v>0</v>
      </c>
      <c r="M62" s="178">
        <v>0</v>
      </c>
      <c r="N62" s="80">
        <f t="shared" si="27"/>
        <v>0</v>
      </c>
      <c r="O62" s="178">
        <v>0</v>
      </c>
      <c r="P62" s="80">
        <f t="shared" si="28"/>
        <v>0</v>
      </c>
      <c r="Q62" s="178">
        <v>0</v>
      </c>
      <c r="R62" s="80">
        <f t="shared" si="29"/>
        <v>0</v>
      </c>
      <c r="S62" s="178">
        <v>0</v>
      </c>
      <c r="T62" s="80">
        <f t="shared" si="30"/>
        <v>0</v>
      </c>
      <c r="U62" s="178">
        <v>0</v>
      </c>
      <c r="V62" s="80">
        <f t="shared" si="31"/>
        <v>0</v>
      </c>
      <c r="X62" s="192"/>
    </row>
    <row r="63" spans="1:24" ht="12.75" customHeight="1">
      <c r="A63" s="2" t="s">
        <v>407</v>
      </c>
      <c r="B63" s="35"/>
      <c r="C63" s="178">
        <v>0</v>
      </c>
      <c r="D63" s="80">
        <f t="shared" si="22"/>
        <v>0</v>
      </c>
      <c r="E63" s="178">
        <v>0</v>
      </c>
      <c r="F63" s="80">
        <f t="shared" si="23"/>
        <v>0</v>
      </c>
      <c r="G63" s="178">
        <v>0</v>
      </c>
      <c r="H63" s="80">
        <f t="shared" si="24"/>
        <v>0</v>
      </c>
      <c r="I63" s="178">
        <v>0</v>
      </c>
      <c r="J63" s="80">
        <f t="shared" si="25"/>
        <v>0</v>
      </c>
      <c r="K63" s="178">
        <v>0</v>
      </c>
      <c r="L63" s="80">
        <f t="shared" si="26"/>
        <v>0</v>
      </c>
      <c r="M63" s="178">
        <v>0</v>
      </c>
      <c r="N63" s="80">
        <f t="shared" si="27"/>
        <v>0</v>
      </c>
      <c r="O63" s="178">
        <v>0</v>
      </c>
      <c r="P63" s="80">
        <f t="shared" si="28"/>
        <v>0</v>
      </c>
      <c r="Q63" s="178">
        <v>0</v>
      </c>
      <c r="R63" s="80">
        <f t="shared" si="29"/>
        <v>0</v>
      </c>
      <c r="S63" s="178">
        <v>0</v>
      </c>
      <c r="T63" s="80">
        <f t="shared" si="30"/>
        <v>0</v>
      </c>
      <c r="U63" s="178">
        <v>0</v>
      </c>
      <c r="V63" s="80">
        <f t="shared" si="31"/>
        <v>0</v>
      </c>
      <c r="X63" s="192"/>
    </row>
    <row r="64" spans="1:24" ht="12.75" customHeight="1">
      <c r="A64" s="2" t="s">
        <v>408</v>
      </c>
      <c r="B64" s="35"/>
      <c r="C64" s="178">
        <v>0</v>
      </c>
      <c r="D64" s="80">
        <f t="shared" si="22"/>
        <v>0</v>
      </c>
      <c r="E64" s="178">
        <v>0</v>
      </c>
      <c r="F64" s="80">
        <f t="shared" si="23"/>
        <v>0</v>
      </c>
      <c r="G64" s="178">
        <v>0</v>
      </c>
      <c r="H64" s="80">
        <f t="shared" si="24"/>
        <v>0</v>
      </c>
      <c r="I64" s="178">
        <v>0</v>
      </c>
      <c r="J64" s="80">
        <f t="shared" si="25"/>
        <v>0</v>
      </c>
      <c r="K64" s="178">
        <v>0</v>
      </c>
      <c r="L64" s="80">
        <f t="shared" si="26"/>
        <v>0</v>
      </c>
      <c r="M64" s="178">
        <v>0</v>
      </c>
      <c r="N64" s="80">
        <f t="shared" si="27"/>
        <v>0</v>
      </c>
      <c r="O64" s="178">
        <v>0</v>
      </c>
      <c r="P64" s="80">
        <f t="shared" si="28"/>
        <v>0</v>
      </c>
      <c r="Q64" s="178">
        <v>0</v>
      </c>
      <c r="R64" s="80">
        <f t="shared" si="29"/>
        <v>0</v>
      </c>
      <c r="S64" s="178">
        <v>0</v>
      </c>
      <c r="T64" s="80">
        <f t="shared" si="30"/>
        <v>0</v>
      </c>
      <c r="U64" s="178">
        <v>0</v>
      </c>
      <c r="V64" s="80">
        <f t="shared" si="31"/>
        <v>0</v>
      </c>
      <c r="X64" s="192"/>
    </row>
    <row r="65" spans="1:24" ht="12.75" customHeight="1">
      <c r="A65" s="2" t="s">
        <v>409</v>
      </c>
      <c r="B65" s="35"/>
      <c r="C65" s="178">
        <v>0</v>
      </c>
      <c r="D65" s="80">
        <f t="shared" si="22"/>
        <v>0</v>
      </c>
      <c r="E65" s="178">
        <v>0</v>
      </c>
      <c r="F65" s="80">
        <f t="shared" si="23"/>
        <v>0</v>
      </c>
      <c r="G65" s="178">
        <v>0</v>
      </c>
      <c r="H65" s="80">
        <f t="shared" si="24"/>
        <v>0</v>
      </c>
      <c r="I65" s="178">
        <v>0</v>
      </c>
      <c r="J65" s="80">
        <f t="shared" si="25"/>
        <v>0</v>
      </c>
      <c r="K65" s="178">
        <v>0</v>
      </c>
      <c r="L65" s="80">
        <f t="shared" si="26"/>
        <v>0</v>
      </c>
      <c r="M65" s="178">
        <v>0</v>
      </c>
      <c r="N65" s="80">
        <f t="shared" si="27"/>
        <v>0</v>
      </c>
      <c r="O65" s="178">
        <v>0</v>
      </c>
      <c r="P65" s="80">
        <f t="shared" si="28"/>
        <v>0</v>
      </c>
      <c r="Q65" s="178">
        <v>0</v>
      </c>
      <c r="R65" s="80">
        <f t="shared" si="29"/>
        <v>0</v>
      </c>
      <c r="S65" s="178">
        <v>0</v>
      </c>
      <c r="T65" s="80">
        <f t="shared" si="30"/>
        <v>0</v>
      </c>
      <c r="U65" s="178">
        <v>0</v>
      </c>
      <c r="V65" s="80">
        <f t="shared" si="31"/>
        <v>0</v>
      </c>
      <c r="X65" s="192"/>
    </row>
    <row r="66" spans="1:24" ht="12.75" customHeight="1">
      <c r="A66" s="2" t="s">
        <v>410</v>
      </c>
      <c r="B66" s="35"/>
      <c r="C66" s="178">
        <v>0</v>
      </c>
      <c r="D66" s="80">
        <f t="shared" si="22"/>
        <v>0</v>
      </c>
      <c r="E66" s="178">
        <v>0</v>
      </c>
      <c r="F66" s="80">
        <f t="shared" si="23"/>
        <v>0</v>
      </c>
      <c r="G66" s="178">
        <v>0</v>
      </c>
      <c r="H66" s="80">
        <f t="shared" si="24"/>
        <v>0</v>
      </c>
      <c r="I66" s="178">
        <v>0</v>
      </c>
      <c r="J66" s="80">
        <f t="shared" si="25"/>
        <v>0</v>
      </c>
      <c r="K66" s="178">
        <v>0</v>
      </c>
      <c r="L66" s="80">
        <f t="shared" si="26"/>
        <v>0</v>
      </c>
      <c r="M66" s="178">
        <v>0</v>
      </c>
      <c r="N66" s="80">
        <f t="shared" si="27"/>
        <v>0</v>
      </c>
      <c r="O66" s="178">
        <v>0</v>
      </c>
      <c r="P66" s="80">
        <f t="shared" si="28"/>
        <v>0</v>
      </c>
      <c r="Q66" s="178">
        <v>0</v>
      </c>
      <c r="R66" s="80">
        <f t="shared" si="29"/>
        <v>0</v>
      </c>
      <c r="S66" s="178">
        <v>0</v>
      </c>
      <c r="T66" s="80">
        <f t="shared" si="30"/>
        <v>0</v>
      </c>
      <c r="U66" s="178">
        <v>0</v>
      </c>
      <c r="V66" s="80">
        <f t="shared" si="31"/>
        <v>0</v>
      </c>
      <c r="X66" s="192"/>
    </row>
    <row r="67" spans="1:24" ht="12.75" customHeight="1">
      <c r="A67" s="2" t="s">
        <v>411</v>
      </c>
      <c r="B67" s="35"/>
      <c r="C67" s="178">
        <v>0</v>
      </c>
      <c r="D67" s="80">
        <f t="shared" si="22"/>
        <v>0</v>
      </c>
      <c r="E67" s="178">
        <v>0</v>
      </c>
      <c r="F67" s="80">
        <f t="shared" si="23"/>
        <v>0</v>
      </c>
      <c r="G67" s="178">
        <v>0</v>
      </c>
      <c r="H67" s="80">
        <f t="shared" si="24"/>
        <v>0</v>
      </c>
      <c r="I67" s="178">
        <v>0</v>
      </c>
      <c r="J67" s="80">
        <f t="shared" si="25"/>
        <v>0</v>
      </c>
      <c r="K67" s="178">
        <v>0</v>
      </c>
      <c r="L67" s="80">
        <f t="shared" si="26"/>
        <v>0</v>
      </c>
      <c r="M67" s="178">
        <v>0</v>
      </c>
      <c r="N67" s="80">
        <f t="shared" si="27"/>
        <v>0</v>
      </c>
      <c r="O67" s="178">
        <v>0</v>
      </c>
      <c r="P67" s="80">
        <f t="shared" si="28"/>
        <v>0</v>
      </c>
      <c r="Q67" s="178">
        <v>0</v>
      </c>
      <c r="R67" s="80">
        <f t="shared" si="29"/>
        <v>0</v>
      </c>
      <c r="S67" s="178">
        <v>0</v>
      </c>
      <c r="T67" s="80">
        <f t="shared" si="30"/>
        <v>0</v>
      </c>
      <c r="U67" s="178">
        <v>0</v>
      </c>
      <c r="V67" s="80">
        <f t="shared" si="31"/>
        <v>0</v>
      </c>
      <c r="X67" s="192"/>
    </row>
    <row r="68" spans="1:24" ht="12.75" customHeight="1">
      <c r="A68" s="2" t="s">
        <v>412</v>
      </c>
      <c r="B68" s="35"/>
      <c r="C68" s="178">
        <v>0</v>
      </c>
      <c r="D68" s="80">
        <f t="shared" si="22"/>
        <v>0</v>
      </c>
      <c r="E68" s="178">
        <v>0</v>
      </c>
      <c r="F68" s="80">
        <f t="shared" si="23"/>
        <v>0</v>
      </c>
      <c r="G68" s="178">
        <v>0</v>
      </c>
      <c r="H68" s="80">
        <f t="shared" si="24"/>
        <v>0</v>
      </c>
      <c r="I68" s="178">
        <v>0</v>
      </c>
      <c r="J68" s="80">
        <f t="shared" si="25"/>
        <v>0</v>
      </c>
      <c r="K68" s="178">
        <v>0</v>
      </c>
      <c r="L68" s="80">
        <f t="shared" si="26"/>
        <v>0</v>
      </c>
      <c r="M68" s="178">
        <v>0</v>
      </c>
      <c r="N68" s="80">
        <f t="shared" si="27"/>
        <v>0</v>
      </c>
      <c r="O68" s="178">
        <v>0</v>
      </c>
      <c r="P68" s="80">
        <f t="shared" si="28"/>
        <v>0</v>
      </c>
      <c r="Q68" s="178">
        <v>0</v>
      </c>
      <c r="R68" s="80">
        <f t="shared" si="29"/>
        <v>0</v>
      </c>
      <c r="S68" s="178">
        <v>0</v>
      </c>
      <c r="T68" s="80">
        <f t="shared" si="30"/>
        <v>0</v>
      </c>
      <c r="U68" s="178">
        <v>0</v>
      </c>
      <c r="V68" s="80">
        <f t="shared" si="31"/>
        <v>0</v>
      </c>
      <c r="X68" s="192"/>
    </row>
    <row r="69" spans="1:24" ht="12.75" customHeight="1">
      <c r="A69" s="2" t="s">
        <v>413</v>
      </c>
      <c r="B69" s="35"/>
      <c r="C69" s="178">
        <v>0</v>
      </c>
      <c r="D69" s="80">
        <f t="shared" si="22"/>
        <v>0</v>
      </c>
      <c r="E69" s="178">
        <v>0</v>
      </c>
      <c r="F69" s="80">
        <f t="shared" si="23"/>
        <v>0</v>
      </c>
      <c r="G69" s="178">
        <v>0</v>
      </c>
      <c r="H69" s="80">
        <f t="shared" si="24"/>
        <v>0</v>
      </c>
      <c r="I69" s="178">
        <v>0</v>
      </c>
      <c r="J69" s="80">
        <f t="shared" si="25"/>
        <v>0</v>
      </c>
      <c r="K69" s="178">
        <v>0</v>
      </c>
      <c r="L69" s="80">
        <f t="shared" si="26"/>
        <v>0</v>
      </c>
      <c r="M69" s="178">
        <v>0</v>
      </c>
      <c r="N69" s="80">
        <f t="shared" si="27"/>
        <v>0</v>
      </c>
      <c r="O69" s="178">
        <v>0</v>
      </c>
      <c r="P69" s="80">
        <f t="shared" si="28"/>
        <v>0</v>
      </c>
      <c r="Q69" s="178">
        <v>0</v>
      </c>
      <c r="R69" s="80">
        <f t="shared" si="29"/>
        <v>0</v>
      </c>
      <c r="S69" s="178">
        <v>0</v>
      </c>
      <c r="T69" s="80">
        <f t="shared" si="30"/>
        <v>0</v>
      </c>
      <c r="U69" s="178">
        <v>0</v>
      </c>
      <c r="V69" s="80">
        <f t="shared" si="31"/>
        <v>0</v>
      </c>
      <c r="X69" s="192"/>
    </row>
    <row r="70" spans="1:24" ht="12.75" customHeight="1">
      <c r="A70" s="2" t="s">
        <v>414</v>
      </c>
      <c r="B70" s="35"/>
      <c r="C70" s="178">
        <v>0</v>
      </c>
      <c r="D70" s="80">
        <f t="shared" si="22"/>
        <v>0</v>
      </c>
      <c r="E70" s="178">
        <v>0</v>
      </c>
      <c r="F70" s="80">
        <f t="shared" si="23"/>
        <v>0</v>
      </c>
      <c r="G70" s="178">
        <v>0</v>
      </c>
      <c r="H70" s="80">
        <f t="shared" si="24"/>
        <v>0</v>
      </c>
      <c r="I70" s="178">
        <v>0</v>
      </c>
      <c r="J70" s="80">
        <f t="shared" si="25"/>
        <v>0</v>
      </c>
      <c r="K70" s="178">
        <v>0</v>
      </c>
      <c r="L70" s="80">
        <f t="shared" si="26"/>
        <v>0</v>
      </c>
      <c r="M70" s="178">
        <v>0</v>
      </c>
      <c r="N70" s="80">
        <f t="shared" si="27"/>
        <v>0</v>
      </c>
      <c r="O70" s="178">
        <v>0</v>
      </c>
      <c r="P70" s="80">
        <f t="shared" si="28"/>
        <v>0</v>
      </c>
      <c r="Q70" s="178">
        <v>0</v>
      </c>
      <c r="R70" s="80">
        <f t="shared" si="29"/>
        <v>0</v>
      </c>
      <c r="S70" s="178">
        <v>0</v>
      </c>
      <c r="T70" s="80">
        <f t="shared" si="30"/>
        <v>0</v>
      </c>
      <c r="U70" s="178">
        <v>0</v>
      </c>
      <c r="V70" s="80">
        <f t="shared" si="31"/>
        <v>0</v>
      </c>
      <c r="X70" s="192"/>
    </row>
    <row r="71" spans="1:24" ht="12.75" customHeight="1">
      <c r="A71" s="2" t="s">
        <v>415</v>
      </c>
      <c r="B71" s="35"/>
      <c r="C71" s="178">
        <v>0</v>
      </c>
      <c r="D71" s="80">
        <f t="shared" si="22"/>
        <v>0</v>
      </c>
      <c r="E71" s="178">
        <v>0</v>
      </c>
      <c r="F71" s="80">
        <f t="shared" si="23"/>
        <v>0</v>
      </c>
      <c r="G71" s="178">
        <v>0</v>
      </c>
      <c r="H71" s="80">
        <f t="shared" si="24"/>
        <v>0</v>
      </c>
      <c r="I71" s="178">
        <v>0</v>
      </c>
      <c r="J71" s="80">
        <f t="shared" si="25"/>
        <v>0</v>
      </c>
      <c r="K71" s="178">
        <v>0</v>
      </c>
      <c r="L71" s="80">
        <f t="shared" si="26"/>
        <v>0</v>
      </c>
      <c r="M71" s="178">
        <v>0</v>
      </c>
      <c r="N71" s="80">
        <f t="shared" si="27"/>
        <v>0</v>
      </c>
      <c r="O71" s="178">
        <v>0</v>
      </c>
      <c r="P71" s="80">
        <f t="shared" si="28"/>
        <v>0</v>
      </c>
      <c r="Q71" s="178">
        <v>0</v>
      </c>
      <c r="R71" s="80">
        <f t="shared" si="29"/>
        <v>0</v>
      </c>
      <c r="S71" s="178">
        <v>0</v>
      </c>
      <c r="T71" s="80">
        <f t="shared" si="30"/>
        <v>0</v>
      </c>
      <c r="U71" s="178">
        <v>0</v>
      </c>
      <c r="V71" s="80">
        <f t="shared" si="31"/>
        <v>0</v>
      </c>
      <c r="X71" s="192"/>
    </row>
    <row r="72" spans="1:24" ht="12.75" customHeight="1">
      <c r="A72" s="2" t="s">
        <v>416</v>
      </c>
      <c r="B72" s="35"/>
      <c r="C72" s="178">
        <v>0</v>
      </c>
      <c r="D72" s="80">
        <f t="shared" si="22"/>
        <v>0</v>
      </c>
      <c r="E72" s="178">
        <v>0</v>
      </c>
      <c r="F72" s="80">
        <f t="shared" si="23"/>
        <v>0</v>
      </c>
      <c r="G72" s="178">
        <v>0</v>
      </c>
      <c r="H72" s="80">
        <f t="shared" si="24"/>
        <v>0</v>
      </c>
      <c r="I72" s="178">
        <v>0</v>
      </c>
      <c r="J72" s="80">
        <f t="shared" si="25"/>
        <v>0</v>
      </c>
      <c r="K72" s="178">
        <v>0</v>
      </c>
      <c r="L72" s="80">
        <f t="shared" si="26"/>
        <v>0</v>
      </c>
      <c r="M72" s="178">
        <v>0</v>
      </c>
      <c r="N72" s="80">
        <f t="shared" si="27"/>
        <v>0</v>
      </c>
      <c r="O72" s="178">
        <v>0</v>
      </c>
      <c r="P72" s="80">
        <f t="shared" si="28"/>
        <v>0</v>
      </c>
      <c r="Q72" s="178">
        <v>0</v>
      </c>
      <c r="R72" s="80">
        <f t="shared" si="29"/>
        <v>0</v>
      </c>
      <c r="S72" s="178">
        <v>0</v>
      </c>
      <c r="T72" s="80">
        <f t="shared" si="30"/>
        <v>0</v>
      </c>
      <c r="U72" s="178">
        <v>0</v>
      </c>
      <c r="V72" s="80">
        <f t="shared" si="31"/>
        <v>0</v>
      </c>
      <c r="X72" s="192"/>
    </row>
    <row r="73" spans="1:24" ht="12.75" customHeight="1">
      <c r="A73" s="2" t="s">
        <v>417</v>
      </c>
      <c r="B73" s="35"/>
      <c r="C73" s="178">
        <v>0</v>
      </c>
      <c r="D73" s="80">
        <f t="shared" si="22"/>
        <v>0</v>
      </c>
      <c r="E73" s="178">
        <v>0</v>
      </c>
      <c r="F73" s="80">
        <f t="shared" si="23"/>
        <v>0</v>
      </c>
      <c r="G73" s="178">
        <v>0</v>
      </c>
      <c r="H73" s="80">
        <f t="shared" si="24"/>
        <v>0</v>
      </c>
      <c r="I73" s="178">
        <v>0</v>
      </c>
      <c r="J73" s="80">
        <f t="shared" si="25"/>
        <v>0</v>
      </c>
      <c r="K73" s="178">
        <v>0</v>
      </c>
      <c r="L73" s="80">
        <f t="shared" si="26"/>
        <v>0</v>
      </c>
      <c r="M73" s="178">
        <v>0</v>
      </c>
      <c r="N73" s="80">
        <f t="shared" si="27"/>
        <v>0</v>
      </c>
      <c r="O73" s="178">
        <v>0</v>
      </c>
      <c r="P73" s="80">
        <f t="shared" si="28"/>
        <v>0</v>
      </c>
      <c r="Q73" s="178">
        <v>0</v>
      </c>
      <c r="R73" s="80">
        <f t="shared" si="29"/>
        <v>0</v>
      </c>
      <c r="S73" s="178">
        <v>0</v>
      </c>
      <c r="T73" s="80">
        <f t="shared" si="30"/>
        <v>0</v>
      </c>
      <c r="U73" s="178">
        <v>0</v>
      </c>
      <c r="V73" s="80">
        <f t="shared" si="31"/>
        <v>0</v>
      </c>
      <c r="X73" s="192"/>
    </row>
    <row r="74" spans="1:24" ht="12.75" customHeight="1">
      <c r="A74" s="2" t="s">
        <v>418</v>
      </c>
      <c r="B74" s="35"/>
      <c r="C74" s="178">
        <v>0</v>
      </c>
      <c r="D74" s="80">
        <f t="shared" si="22"/>
        <v>0</v>
      </c>
      <c r="E74" s="178">
        <v>0</v>
      </c>
      <c r="F74" s="80">
        <f t="shared" si="23"/>
        <v>0</v>
      </c>
      <c r="G74" s="178">
        <v>0</v>
      </c>
      <c r="H74" s="80">
        <f t="shared" si="24"/>
        <v>0</v>
      </c>
      <c r="I74" s="178">
        <v>0</v>
      </c>
      <c r="J74" s="80">
        <f t="shared" si="25"/>
        <v>0</v>
      </c>
      <c r="K74" s="178">
        <v>0</v>
      </c>
      <c r="L74" s="80">
        <f t="shared" si="26"/>
        <v>0</v>
      </c>
      <c r="M74" s="178">
        <v>0</v>
      </c>
      <c r="N74" s="80">
        <f t="shared" si="27"/>
        <v>0</v>
      </c>
      <c r="O74" s="178">
        <v>0</v>
      </c>
      <c r="P74" s="80">
        <f t="shared" si="28"/>
        <v>0</v>
      </c>
      <c r="Q74" s="178">
        <v>0</v>
      </c>
      <c r="R74" s="80">
        <f t="shared" si="29"/>
        <v>0</v>
      </c>
      <c r="S74" s="178">
        <v>0</v>
      </c>
      <c r="T74" s="80">
        <f t="shared" si="30"/>
        <v>0</v>
      </c>
      <c r="U74" s="178">
        <v>0</v>
      </c>
      <c r="V74" s="80">
        <f t="shared" si="31"/>
        <v>0</v>
      </c>
      <c r="X74" s="192"/>
    </row>
    <row r="75" spans="1:24" ht="12.75" customHeight="1">
      <c r="A75" s="2" t="s">
        <v>419</v>
      </c>
      <c r="B75" s="35"/>
      <c r="C75" s="178">
        <v>0</v>
      </c>
      <c r="D75" s="80">
        <f t="shared" si="22"/>
        <v>0</v>
      </c>
      <c r="E75" s="178">
        <v>0</v>
      </c>
      <c r="F75" s="80">
        <f t="shared" si="23"/>
        <v>0</v>
      </c>
      <c r="G75" s="178">
        <v>0</v>
      </c>
      <c r="H75" s="80">
        <f t="shared" si="24"/>
        <v>0</v>
      </c>
      <c r="I75" s="178">
        <v>0</v>
      </c>
      <c r="J75" s="80">
        <f t="shared" si="25"/>
        <v>0</v>
      </c>
      <c r="K75" s="178">
        <v>0</v>
      </c>
      <c r="L75" s="80">
        <f t="shared" si="26"/>
        <v>0</v>
      </c>
      <c r="M75" s="178">
        <v>0</v>
      </c>
      <c r="N75" s="80">
        <f t="shared" si="27"/>
        <v>0</v>
      </c>
      <c r="O75" s="178">
        <v>0</v>
      </c>
      <c r="P75" s="80">
        <f t="shared" si="28"/>
        <v>0</v>
      </c>
      <c r="Q75" s="178">
        <v>0</v>
      </c>
      <c r="R75" s="80">
        <f t="shared" si="29"/>
        <v>0</v>
      </c>
      <c r="S75" s="178">
        <v>0</v>
      </c>
      <c r="T75" s="80">
        <f t="shared" si="30"/>
        <v>0</v>
      </c>
      <c r="U75" s="178">
        <v>0</v>
      </c>
      <c r="V75" s="80">
        <f t="shared" si="31"/>
        <v>0</v>
      </c>
      <c r="X75" s="192"/>
    </row>
    <row r="76" spans="1:24" ht="12.75" customHeight="1">
      <c r="A76" s="2" t="s">
        <v>420</v>
      </c>
      <c r="B76" s="35"/>
      <c r="C76" s="178">
        <v>0</v>
      </c>
      <c r="D76" s="80">
        <f t="shared" si="22"/>
        <v>0</v>
      </c>
      <c r="E76" s="178">
        <v>0</v>
      </c>
      <c r="F76" s="80">
        <f t="shared" si="23"/>
        <v>0</v>
      </c>
      <c r="G76" s="178">
        <v>0</v>
      </c>
      <c r="H76" s="80">
        <f t="shared" si="24"/>
        <v>0</v>
      </c>
      <c r="I76" s="178">
        <v>0</v>
      </c>
      <c r="J76" s="80">
        <f t="shared" si="25"/>
        <v>0</v>
      </c>
      <c r="K76" s="178">
        <v>0</v>
      </c>
      <c r="L76" s="80">
        <f t="shared" si="26"/>
        <v>0</v>
      </c>
      <c r="M76" s="178">
        <v>0</v>
      </c>
      <c r="N76" s="80">
        <f t="shared" si="27"/>
        <v>0</v>
      </c>
      <c r="O76" s="178">
        <v>0</v>
      </c>
      <c r="P76" s="80">
        <f t="shared" si="28"/>
        <v>0</v>
      </c>
      <c r="Q76" s="178">
        <v>0</v>
      </c>
      <c r="R76" s="80">
        <f t="shared" si="29"/>
        <v>0</v>
      </c>
      <c r="S76" s="178">
        <v>0</v>
      </c>
      <c r="T76" s="80">
        <f t="shared" si="30"/>
        <v>0</v>
      </c>
      <c r="U76" s="178">
        <v>0</v>
      </c>
      <c r="V76" s="80">
        <f t="shared" si="31"/>
        <v>0</v>
      </c>
      <c r="X76" s="192"/>
    </row>
    <row r="77" spans="1:24" ht="12.75" customHeight="1">
      <c r="A77" s="2" t="s">
        <v>421</v>
      </c>
      <c r="B77" s="35"/>
      <c r="C77" s="178">
        <v>0</v>
      </c>
      <c r="D77" s="80">
        <f t="shared" si="22"/>
        <v>0</v>
      </c>
      <c r="E77" s="178">
        <v>0</v>
      </c>
      <c r="F77" s="80">
        <f t="shared" si="23"/>
        <v>0</v>
      </c>
      <c r="G77" s="178">
        <v>0</v>
      </c>
      <c r="H77" s="80">
        <f t="shared" si="24"/>
        <v>0</v>
      </c>
      <c r="I77" s="178">
        <v>0</v>
      </c>
      <c r="J77" s="80">
        <f t="shared" si="25"/>
        <v>0</v>
      </c>
      <c r="K77" s="178">
        <v>0</v>
      </c>
      <c r="L77" s="80">
        <f t="shared" si="26"/>
        <v>0</v>
      </c>
      <c r="M77" s="178">
        <v>0</v>
      </c>
      <c r="N77" s="80">
        <f t="shared" si="27"/>
        <v>0</v>
      </c>
      <c r="O77" s="178">
        <v>0</v>
      </c>
      <c r="P77" s="80">
        <f t="shared" si="28"/>
        <v>0</v>
      </c>
      <c r="Q77" s="178">
        <v>0</v>
      </c>
      <c r="R77" s="80">
        <f t="shared" si="29"/>
        <v>0</v>
      </c>
      <c r="S77" s="178">
        <v>0</v>
      </c>
      <c r="T77" s="80">
        <f t="shared" si="30"/>
        <v>0</v>
      </c>
      <c r="U77" s="178">
        <v>0</v>
      </c>
      <c r="V77" s="80">
        <f t="shared" si="31"/>
        <v>0</v>
      </c>
      <c r="X77" s="192"/>
    </row>
    <row r="78" spans="1:24" ht="12.75" customHeight="1">
      <c r="A78" s="2" t="s">
        <v>422</v>
      </c>
      <c r="B78" s="35"/>
      <c r="C78" s="178">
        <v>0</v>
      </c>
      <c r="D78" s="80">
        <f t="shared" si="22"/>
        <v>0</v>
      </c>
      <c r="E78" s="178">
        <v>0</v>
      </c>
      <c r="F78" s="80">
        <f t="shared" si="23"/>
        <v>0</v>
      </c>
      <c r="G78" s="178">
        <v>0</v>
      </c>
      <c r="H78" s="80">
        <f t="shared" si="24"/>
        <v>0</v>
      </c>
      <c r="I78" s="178">
        <v>0</v>
      </c>
      <c r="J78" s="80">
        <f t="shared" si="25"/>
        <v>0</v>
      </c>
      <c r="K78" s="178">
        <v>0</v>
      </c>
      <c r="L78" s="80">
        <f t="shared" si="26"/>
        <v>0</v>
      </c>
      <c r="M78" s="178">
        <v>0</v>
      </c>
      <c r="N78" s="80">
        <f t="shared" si="27"/>
        <v>0</v>
      </c>
      <c r="O78" s="178">
        <v>0</v>
      </c>
      <c r="P78" s="80">
        <f t="shared" si="28"/>
        <v>0</v>
      </c>
      <c r="Q78" s="178">
        <v>0</v>
      </c>
      <c r="R78" s="80">
        <f t="shared" si="29"/>
        <v>0</v>
      </c>
      <c r="S78" s="178">
        <v>0</v>
      </c>
      <c r="T78" s="80">
        <f t="shared" si="30"/>
        <v>0</v>
      </c>
      <c r="U78" s="178">
        <v>0</v>
      </c>
      <c r="V78" s="80">
        <f t="shared" si="31"/>
        <v>0</v>
      </c>
      <c r="X78" s="192"/>
    </row>
    <row r="79" spans="1:24" ht="12.75" customHeight="1">
      <c r="A79" s="2" t="s">
        <v>423</v>
      </c>
      <c r="B79" s="35"/>
      <c r="C79" s="178">
        <v>0</v>
      </c>
      <c r="D79" s="80">
        <f t="shared" si="22"/>
        <v>0</v>
      </c>
      <c r="E79" s="178">
        <v>0</v>
      </c>
      <c r="F79" s="80">
        <f t="shared" si="23"/>
        <v>0</v>
      </c>
      <c r="G79" s="178">
        <v>0</v>
      </c>
      <c r="H79" s="80">
        <f t="shared" si="24"/>
        <v>0</v>
      </c>
      <c r="I79" s="178">
        <v>0</v>
      </c>
      <c r="J79" s="80">
        <f t="shared" si="25"/>
        <v>0</v>
      </c>
      <c r="K79" s="178">
        <v>0</v>
      </c>
      <c r="L79" s="80">
        <f t="shared" si="26"/>
        <v>0</v>
      </c>
      <c r="M79" s="178">
        <v>0</v>
      </c>
      <c r="N79" s="80">
        <f t="shared" si="27"/>
        <v>0</v>
      </c>
      <c r="O79" s="178">
        <v>0</v>
      </c>
      <c r="P79" s="80">
        <f t="shared" si="28"/>
        <v>0</v>
      </c>
      <c r="Q79" s="178">
        <v>0</v>
      </c>
      <c r="R79" s="80">
        <f t="shared" si="29"/>
        <v>0</v>
      </c>
      <c r="S79" s="178">
        <v>0</v>
      </c>
      <c r="T79" s="80">
        <f t="shared" si="30"/>
        <v>0</v>
      </c>
      <c r="U79" s="178">
        <v>0</v>
      </c>
      <c r="V79" s="80">
        <f t="shared" si="31"/>
        <v>0</v>
      </c>
      <c r="X79" s="192"/>
    </row>
    <row r="80" spans="1:24" ht="12.75" customHeight="1">
      <c r="A80" s="2" t="s">
        <v>424</v>
      </c>
      <c r="B80" s="35"/>
      <c r="C80" s="178">
        <v>0</v>
      </c>
      <c r="D80" s="80">
        <f t="shared" si="22"/>
        <v>0</v>
      </c>
      <c r="E80" s="178">
        <v>0</v>
      </c>
      <c r="F80" s="80">
        <f t="shared" si="23"/>
        <v>0</v>
      </c>
      <c r="G80" s="178">
        <v>0</v>
      </c>
      <c r="H80" s="80">
        <f t="shared" si="24"/>
        <v>0</v>
      </c>
      <c r="I80" s="178">
        <v>0</v>
      </c>
      <c r="J80" s="80">
        <f t="shared" si="25"/>
        <v>0</v>
      </c>
      <c r="K80" s="178">
        <v>0</v>
      </c>
      <c r="L80" s="80">
        <f t="shared" si="26"/>
        <v>0</v>
      </c>
      <c r="M80" s="178">
        <v>0</v>
      </c>
      <c r="N80" s="80">
        <f t="shared" si="27"/>
        <v>0</v>
      </c>
      <c r="O80" s="178">
        <v>0</v>
      </c>
      <c r="P80" s="80">
        <f t="shared" si="28"/>
        <v>0</v>
      </c>
      <c r="Q80" s="178">
        <v>0</v>
      </c>
      <c r="R80" s="80">
        <f t="shared" si="29"/>
        <v>0</v>
      </c>
      <c r="S80" s="178">
        <v>0</v>
      </c>
      <c r="T80" s="80">
        <f t="shared" si="30"/>
        <v>0</v>
      </c>
      <c r="U80" s="178">
        <v>0</v>
      </c>
      <c r="V80" s="80">
        <f t="shared" si="31"/>
        <v>0</v>
      </c>
      <c r="X80" s="192"/>
    </row>
    <row r="81" spans="1:24" ht="12.75" customHeight="1">
      <c r="A81" s="2" t="s">
        <v>425</v>
      </c>
      <c r="B81" s="35"/>
      <c r="C81" s="178">
        <v>0</v>
      </c>
      <c r="D81" s="80">
        <f t="shared" si="22"/>
        <v>0</v>
      </c>
      <c r="E81" s="178">
        <v>0</v>
      </c>
      <c r="F81" s="80">
        <f t="shared" si="23"/>
        <v>0</v>
      </c>
      <c r="G81" s="178">
        <v>0</v>
      </c>
      <c r="H81" s="80">
        <f t="shared" si="24"/>
        <v>0</v>
      </c>
      <c r="I81" s="178">
        <v>0</v>
      </c>
      <c r="J81" s="80">
        <f t="shared" si="25"/>
        <v>0</v>
      </c>
      <c r="K81" s="178">
        <v>0</v>
      </c>
      <c r="L81" s="80">
        <f t="shared" si="26"/>
        <v>0</v>
      </c>
      <c r="M81" s="178">
        <v>0</v>
      </c>
      <c r="N81" s="80">
        <f t="shared" si="27"/>
        <v>0</v>
      </c>
      <c r="O81" s="178">
        <v>0</v>
      </c>
      <c r="P81" s="80">
        <f t="shared" si="28"/>
        <v>0</v>
      </c>
      <c r="Q81" s="178">
        <v>0</v>
      </c>
      <c r="R81" s="80">
        <f t="shared" si="29"/>
        <v>0</v>
      </c>
      <c r="S81" s="178">
        <v>0</v>
      </c>
      <c r="T81" s="80">
        <f t="shared" si="30"/>
        <v>0</v>
      </c>
      <c r="U81" s="178">
        <v>0</v>
      </c>
      <c r="V81" s="80">
        <f t="shared" si="31"/>
        <v>0</v>
      </c>
      <c r="X81" s="192"/>
    </row>
    <row r="82" spans="1:24" ht="12.75" customHeight="1">
      <c r="A82" s="2" t="s">
        <v>426</v>
      </c>
      <c r="B82" s="35"/>
      <c r="C82" s="178">
        <v>0</v>
      </c>
      <c r="D82" s="80">
        <f t="shared" si="22"/>
        <v>0</v>
      </c>
      <c r="E82" s="178">
        <v>0</v>
      </c>
      <c r="F82" s="80">
        <f t="shared" si="23"/>
        <v>0</v>
      </c>
      <c r="G82" s="178">
        <v>0</v>
      </c>
      <c r="H82" s="80">
        <f t="shared" si="24"/>
        <v>0</v>
      </c>
      <c r="I82" s="178">
        <v>0</v>
      </c>
      <c r="J82" s="80">
        <f t="shared" si="25"/>
        <v>0</v>
      </c>
      <c r="K82" s="178">
        <v>0</v>
      </c>
      <c r="L82" s="80">
        <f t="shared" si="26"/>
        <v>0</v>
      </c>
      <c r="M82" s="178">
        <v>0</v>
      </c>
      <c r="N82" s="80">
        <f t="shared" si="27"/>
        <v>0</v>
      </c>
      <c r="O82" s="178">
        <v>0</v>
      </c>
      <c r="P82" s="80">
        <f t="shared" si="28"/>
        <v>0</v>
      </c>
      <c r="Q82" s="178">
        <v>0</v>
      </c>
      <c r="R82" s="80">
        <f t="shared" si="29"/>
        <v>0</v>
      </c>
      <c r="S82" s="178">
        <v>0</v>
      </c>
      <c r="T82" s="80">
        <f t="shared" si="30"/>
        <v>0</v>
      </c>
      <c r="U82" s="178">
        <v>0</v>
      </c>
      <c r="V82" s="80">
        <f t="shared" si="31"/>
        <v>0</v>
      </c>
      <c r="X82" s="192"/>
    </row>
    <row r="83" spans="1:24" ht="12.75" customHeight="1">
      <c r="A83" s="2" t="s">
        <v>427</v>
      </c>
      <c r="B83" s="35"/>
      <c r="C83" s="178">
        <v>0</v>
      </c>
      <c r="D83" s="80">
        <f t="shared" si="22"/>
        <v>0</v>
      </c>
      <c r="E83" s="178">
        <v>0</v>
      </c>
      <c r="F83" s="80">
        <f t="shared" si="23"/>
        <v>0</v>
      </c>
      <c r="G83" s="178">
        <v>0</v>
      </c>
      <c r="H83" s="80">
        <f t="shared" si="24"/>
        <v>0</v>
      </c>
      <c r="I83" s="178">
        <v>0</v>
      </c>
      <c r="J83" s="80">
        <f t="shared" si="25"/>
        <v>0</v>
      </c>
      <c r="K83" s="178">
        <v>0</v>
      </c>
      <c r="L83" s="80">
        <f t="shared" si="26"/>
        <v>0</v>
      </c>
      <c r="M83" s="178">
        <v>0</v>
      </c>
      <c r="N83" s="80">
        <f t="shared" si="27"/>
        <v>0</v>
      </c>
      <c r="O83" s="178">
        <v>0</v>
      </c>
      <c r="P83" s="80">
        <f t="shared" si="28"/>
        <v>0</v>
      </c>
      <c r="Q83" s="178">
        <v>0</v>
      </c>
      <c r="R83" s="80">
        <f t="shared" si="29"/>
        <v>0</v>
      </c>
      <c r="S83" s="178">
        <v>0</v>
      </c>
      <c r="T83" s="80">
        <f t="shared" si="30"/>
        <v>0</v>
      </c>
      <c r="U83" s="178">
        <v>0</v>
      </c>
      <c r="V83" s="80">
        <f t="shared" si="31"/>
        <v>0</v>
      </c>
      <c r="X83" s="192"/>
    </row>
    <row r="84" spans="1:24" ht="12.75" customHeight="1">
      <c r="A84" s="2" t="s">
        <v>428</v>
      </c>
      <c r="B84" s="35"/>
      <c r="C84" s="178">
        <v>0</v>
      </c>
      <c r="D84" s="80">
        <f t="shared" ref="D84:D105" si="32">IFERROR(C84/C$28,0)</f>
        <v>0</v>
      </c>
      <c r="E84" s="178">
        <v>0</v>
      </c>
      <c r="F84" s="80">
        <f t="shared" si="23"/>
        <v>0</v>
      </c>
      <c r="G84" s="178">
        <v>0</v>
      </c>
      <c r="H84" s="80">
        <f t="shared" si="24"/>
        <v>0</v>
      </c>
      <c r="I84" s="178">
        <v>0</v>
      </c>
      <c r="J84" s="80">
        <f t="shared" si="25"/>
        <v>0</v>
      </c>
      <c r="K84" s="178">
        <v>0</v>
      </c>
      <c r="L84" s="80">
        <f t="shared" si="26"/>
        <v>0</v>
      </c>
      <c r="M84" s="178">
        <v>0</v>
      </c>
      <c r="N84" s="80">
        <f t="shared" si="27"/>
        <v>0</v>
      </c>
      <c r="O84" s="178">
        <v>0</v>
      </c>
      <c r="P84" s="80">
        <f t="shared" si="28"/>
        <v>0</v>
      </c>
      <c r="Q84" s="178">
        <v>0</v>
      </c>
      <c r="R84" s="80">
        <f t="shared" si="29"/>
        <v>0</v>
      </c>
      <c r="S84" s="178">
        <v>0</v>
      </c>
      <c r="T84" s="80">
        <f t="shared" si="30"/>
        <v>0</v>
      </c>
      <c r="U84" s="178">
        <v>0</v>
      </c>
      <c r="V84" s="80">
        <f t="shared" si="31"/>
        <v>0</v>
      </c>
      <c r="X84" s="192"/>
    </row>
    <row r="85" spans="1:24" ht="12.75" customHeight="1">
      <c r="A85" s="2" t="s">
        <v>429</v>
      </c>
      <c r="B85" s="35"/>
      <c r="C85" s="178">
        <v>0</v>
      </c>
      <c r="D85" s="80">
        <f t="shared" si="32"/>
        <v>0</v>
      </c>
      <c r="E85" s="178">
        <v>0</v>
      </c>
      <c r="F85" s="80">
        <f t="shared" si="23"/>
        <v>0</v>
      </c>
      <c r="G85" s="178">
        <v>0</v>
      </c>
      <c r="H85" s="80">
        <f t="shared" si="24"/>
        <v>0</v>
      </c>
      <c r="I85" s="178">
        <v>0</v>
      </c>
      <c r="J85" s="80">
        <f t="shared" si="25"/>
        <v>0</v>
      </c>
      <c r="K85" s="178">
        <v>0</v>
      </c>
      <c r="L85" s="80">
        <f t="shared" si="26"/>
        <v>0</v>
      </c>
      <c r="M85" s="178">
        <v>0</v>
      </c>
      <c r="N85" s="80">
        <f t="shared" si="27"/>
        <v>0</v>
      </c>
      <c r="O85" s="178">
        <v>0</v>
      </c>
      <c r="P85" s="80">
        <f t="shared" si="28"/>
        <v>0</v>
      </c>
      <c r="Q85" s="178">
        <v>0</v>
      </c>
      <c r="R85" s="80">
        <f t="shared" si="29"/>
        <v>0</v>
      </c>
      <c r="S85" s="178">
        <v>0</v>
      </c>
      <c r="T85" s="80">
        <f t="shared" si="30"/>
        <v>0</v>
      </c>
      <c r="U85" s="178">
        <v>0</v>
      </c>
      <c r="V85" s="80">
        <f t="shared" si="31"/>
        <v>0</v>
      </c>
      <c r="X85" s="192"/>
    </row>
    <row r="86" spans="1:24" ht="12.75" customHeight="1">
      <c r="A86" s="2" t="s">
        <v>430</v>
      </c>
      <c r="B86" s="35"/>
      <c r="C86" s="178">
        <v>0</v>
      </c>
      <c r="D86" s="80">
        <f t="shared" si="32"/>
        <v>0</v>
      </c>
      <c r="E86" s="178">
        <v>0</v>
      </c>
      <c r="F86" s="80">
        <f t="shared" si="23"/>
        <v>0</v>
      </c>
      <c r="G86" s="178">
        <v>0</v>
      </c>
      <c r="H86" s="80">
        <f t="shared" si="24"/>
        <v>0</v>
      </c>
      <c r="I86" s="178">
        <v>0</v>
      </c>
      <c r="J86" s="80">
        <f t="shared" si="25"/>
        <v>0</v>
      </c>
      <c r="K86" s="178">
        <v>0</v>
      </c>
      <c r="L86" s="80">
        <f t="shared" si="26"/>
        <v>0</v>
      </c>
      <c r="M86" s="178">
        <v>0</v>
      </c>
      <c r="N86" s="80">
        <f t="shared" si="27"/>
        <v>0</v>
      </c>
      <c r="O86" s="178">
        <v>0</v>
      </c>
      <c r="P86" s="80">
        <f t="shared" si="28"/>
        <v>0</v>
      </c>
      <c r="Q86" s="178">
        <v>0</v>
      </c>
      <c r="R86" s="80">
        <f t="shared" si="29"/>
        <v>0</v>
      </c>
      <c r="S86" s="178">
        <v>0</v>
      </c>
      <c r="T86" s="80">
        <f t="shared" si="30"/>
        <v>0</v>
      </c>
      <c r="U86" s="178">
        <v>0</v>
      </c>
      <c r="V86" s="80">
        <f t="shared" si="31"/>
        <v>0</v>
      </c>
      <c r="X86" s="192"/>
    </row>
    <row r="87" spans="1:24" ht="12.75" customHeight="1">
      <c r="A87" s="2" t="s">
        <v>431</v>
      </c>
      <c r="B87" s="35"/>
      <c r="C87" s="178">
        <v>0</v>
      </c>
      <c r="D87" s="80">
        <f t="shared" si="32"/>
        <v>0</v>
      </c>
      <c r="E87" s="178">
        <v>0</v>
      </c>
      <c r="F87" s="80">
        <f t="shared" si="23"/>
        <v>0</v>
      </c>
      <c r="G87" s="178">
        <v>0</v>
      </c>
      <c r="H87" s="80">
        <f t="shared" si="24"/>
        <v>0</v>
      </c>
      <c r="I87" s="178">
        <v>0</v>
      </c>
      <c r="J87" s="80">
        <f t="shared" si="25"/>
        <v>0</v>
      </c>
      <c r="K87" s="178">
        <v>0</v>
      </c>
      <c r="L87" s="80">
        <f t="shared" si="26"/>
        <v>0</v>
      </c>
      <c r="M87" s="178">
        <v>0</v>
      </c>
      <c r="N87" s="80">
        <f t="shared" si="27"/>
        <v>0</v>
      </c>
      <c r="O87" s="178">
        <v>0</v>
      </c>
      <c r="P87" s="80">
        <f t="shared" si="28"/>
        <v>0</v>
      </c>
      <c r="Q87" s="178">
        <v>0</v>
      </c>
      <c r="R87" s="80">
        <f t="shared" si="29"/>
        <v>0</v>
      </c>
      <c r="S87" s="178">
        <v>0</v>
      </c>
      <c r="T87" s="80">
        <f t="shared" si="30"/>
        <v>0</v>
      </c>
      <c r="U87" s="178">
        <v>0</v>
      </c>
      <c r="V87" s="80">
        <f t="shared" si="31"/>
        <v>0</v>
      </c>
      <c r="X87" s="192"/>
    </row>
    <row r="88" spans="1:24" ht="12.75" customHeight="1">
      <c r="A88" s="2" t="s">
        <v>432</v>
      </c>
      <c r="B88" s="35"/>
      <c r="C88" s="178">
        <v>0</v>
      </c>
      <c r="D88" s="80">
        <f t="shared" si="32"/>
        <v>0</v>
      </c>
      <c r="E88" s="178">
        <v>0</v>
      </c>
      <c r="F88" s="80">
        <f t="shared" si="23"/>
        <v>0</v>
      </c>
      <c r="G88" s="178">
        <v>0</v>
      </c>
      <c r="H88" s="80">
        <f t="shared" si="24"/>
        <v>0</v>
      </c>
      <c r="I88" s="178">
        <v>0</v>
      </c>
      <c r="J88" s="80">
        <f t="shared" si="25"/>
        <v>0</v>
      </c>
      <c r="K88" s="178">
        <v>0</v>
      </c>
      <c r="L88" s="80">
        <f t="shared" si="26"/>
        <v>0</v>
      </c>
      <c r="M88" s="178">
        <v>0</v>
      </c>
      <c r="N88" s="80">
        <f t="shared" si="27"/>
        <v>0</v>
      </c>
      <c r="O88" s="178">
        <v>0</v>
      </c>
      <c r="P88" s="80">
        <f t="shared" si="28"/>
        <v>0</v>
      </c>
      <c r="Q88" s="178">
        <v>0</v>
      </c>
      <c r="R88" s="80">
        <f t="shared" si="29"/>
        <v>0</v>
      </c>
      <c r="S88" s="178">
        <v>0</v>
      </c>
      <c r="T88" s="80">
        <f t="shared" si="30"/>
        <v>0</v>
      </c>
      <c r="U88" s="178">
        <v>0</v>
      </c>
      <c r="V88" s="80">
        <f t="shared" si="31"/>
        <v>0</v>
      </c>
      <c r="X88" s="192"/>
    </row>
    <row r="89" spans="1:24" ht="12.75" customHeight="1">
      <c r="A89" s="2" t="s">
        <v>433</v>
      </c>
      <c r="B89" s="35"/>
      <c r="C89" s="178">
        <v>0</v>
      </c>
      <c r="D89" s="80">
        <f t="shared" si="32"/>
        <v>0</v>
      </c>
      <c r="E89" s="178">
        <v>0</v>
      </c>
      <c r="F89" s="80">
        <f t="shared" si="23"/>
        <v>0</v>
      </c>
      <c r="G89" s="178">
        <v>0</v>
      </c>
      <c r="H89" s="80">
        <f t="shared" si="24"/>
        <v>0</v>
      </c>
      <c r="I89" s="178">
        <v>0</v>
      </c>
      <c r="J89" s="80">
        <f t="shared" si="25"/>
        <v>0</v>
      </c>
      <c r="K89" s="178">
        <v>0</v>
      </c>
      <c r="L89" s="80">
        <f t="shared" si="26"/>
        <v>0</v>
      </c>
      <c r="M89" s="178">
        <v>0</v>
      </c>
      <c r="N89" s="80">
        <f t="shared" si="27"/>
        <v>0</v>
      </c>
      <c r="O89" s="178">
        <v>0</v>
      </c>
      <c r="P89" s="80">
        <f t="shared" si="28"/>
        <v>0</v>
      </c>
      <c r="Q89" s="178">
        <v>0</v>
      </c>
      <c r="R89" s="80">
        <f t="shared" si="29"/>
        <v>0</v>
      </c>
      <c r="S89" s="178">
        <v>0</v>
      </c>
      <c r="T89" s="80">
        <f t="shared" si="30"/>
        <v>0</v>
      </c>
      <c r="U89" s="178">
        <v>0</v>
      </c>
      <c r="V89" s="80">
        <f t="shared" si="31"/>
        <v>0</v>
      </c>
      <c r="X89" s="192"/>
    </row>
    <row r="90" spans="1:24" ht="12.75" customHeight="1">
      <c r="A90" s="2" t="s">
        <v>434</v>
      </c>
      <c r="B90" s="35"/>
      <c r="C90" s="178">
        <v>0</v>
      </c>
      <c r="D90" s="80">
        <f t="shared" si="32"/>
        <v>0</v>
      </c>
      <c r="E90" s="178">
        <v>0</v>
      </c>
      <c r="F90" s="80">
        <f t="shared" si="23"/>
        <v>0</v>
      </c>
      <c r="G90" s="178">
        <v>0</v>
      </c>
      <c r="H90" s="80">
        <f t="shared" si="24"/>
        <v>0</v>
      </c>
      <c r="I90" s="178">
        <v>0</v>
      </c>
      <c r="J90" s="80">
        <f t="shared" si="25"/>
        <v>0</v>
      </c>
      <c r="K90" s="178">
        <v>0</v>
      </c>
      <c r="L90" s="80">
        <f t="shared" si="26"/>
        <v>0</v>
      </c>
      <c r="M90" s="178">
        <v>0</v>
      </c>
      <c r="N90" s="80">
        <f t="shared" si="27"/>
        <v>0</v>
      </c>
      <c r="O90" s="178">
        <v>0</v>
      </c>
      <c r="P90" s="80">
        <f t="shared" si="28"/>
        <v>0</v>
      </c>
      <c r="Q90" s="178">
        <v>0</v>
      </c>
      <c r="R90" s="80">
        <f t="shared" si="29"/>
        <v>0</v>
      </c>
      <c r="S90" s="178">
        <v>0</v>
      </c>
      <c r="T90" s="80">
        <f t="shared" si="30"/>
        <v>0</v>
      </c>
      <c r="U90" s="178">
        <v>0</v>
      </c>
      <c r="V90" s="80">
        <f t="shared" si="31"/>
        <v>0</v>
      </c>
      <c r="X90" s="192"/>
    </row>
    <row r="91" spans="1:24" ht="12.75" customHeight="1">
      <c r="A91" s="2" t="s">
        <v>435</v>
      </c>
      <c r="C91" s="178">
        <v>0</v>
      </c>
      <c r="D91" s="80">
        <f t="shared" si="32"/>
        <v>0</v>
      </c>
      <c r="E91" s="178">
        <v>0</v>
      </c>
      <c r="F91" s="80">
        <f t="shared" si="23"/>
        <v>0</v>
      </c>
      <c r="G91" s="178">
        <v>0</v>
      </c>
      <c r="H91" s="80">
        <f t="shared" si="24"/>
        <v>0</v>
      </c>
      <c r="I91" s="178">
        <v>0</v>
      </c>
      <c r="J91" s="80">
        <f t="shared" si="25"/>
        <v>0</v>
      </c>
      <c r="K91" s="178">
        <v>0</v>
      </c>
      <c r="L91" s="80">
        <f t="shared" si="26"/>
        <v>0</v>
      </c>
      <c r="M91" s="178">
        <v>0</v>
      </c>
      <c r="N91" s="80">
        <f t="shared" si="27"/>
        <v>0</v>
      </c>
      <c r="O91" s="178">
        <v>0</v>
      </c>
      <c r="P91" s="80">
        <f t="shared" si="28"/>
        <v>0</v>
      </c>
      <c r="Q91" s="178">
        <v>0</v>
      </c>
      <c r="R91" s="80">
        <f t="shared" si="29"/>
        <v>0</v>
      </c>
      <c r="S91" s="178">
        <v>0</v>
      </c>
      <c r="T91" s="80">
        <f t="shared" si="30"/>
        <v>0</v>
      </c>
      <c r="U91" s="178">
        <v>0</v>
      </c>
      <c r="V91" s="80">
        <f t="shared" si="31"/>
        <v>0</v>
      </c>
      <c r="X91" s="192"/>
    </row>
    <row r="92" spans="1:24" ht="12.75" customHeight="1">
      <c r="A92" s="2" t="s">
        <v>436</v>
      </c>
      <c r="B92" s="35"/>
      <c r="C92" s="178">
        <v>0</v>
      </c>
      <c r="D92" s="80">
        <f t="shared" si="32"/>
        <v>0</v>
      </c>
      <c r="E92" s="178">
        <v>0</v>
      </c>
      <c r="F92" s="80">
        <f t="shared" si="23"/>
        <v>0</v>
      </c>
      <c r="G92" s="178">
        <v>0</v>
      </c>
      <c r="H92" s="80">
        <f t="shared" si="24"/>
        <v>0</v>
      </c>
      <c r="I92" s="178">
        <v>0</v>
      </c>
      <c r="J92" s="80">
        <f t="shared" si="25"/>
        <v>0</v>
      </c>
      <c r="K92" s="178">
        <v>0</v>
      </c>
      <c r="L92" s="80">
        <f t="shared" si="26"/>
        <v>0</v>
      </c>
      <c r="M92" s="178">
        <v>0</v>
      </c>
      <c r="N92" s="80">
        <f t="shared" si="27"/>
        <v>0</v>
      </c>
      <c r="O92" s="178">
        <v>0</v>
      </c>
      <c r="P92" s="80">
        <f t="shared" si="28"/>
        <v>0</v>
      </c>
      <c r="Q92" s="178">
        <v>0</v>
      </c>
      <c r="R92" s="80">
        <f t="shared" si="29"/>
        <v>0</v>
      </c>
      <c r="S92" s="178">
        <v>0</v>
      </c>
      <c r="T92" s="80">
        <f t="shared" si="30"/>
        <v>0</v>
      </c>
      <c r="U92" s="178">
        <v>0</v>
      </c>
      <c r="V92" s="80">
        <f t="shared" si="31"/>
        <v>0</v>
      </c>
      <c r="X92" s="192"/>
    </row>
    <row r="93" spans="1:24" ht="12.75" customHeight="1">
      <c r="A93" s="2" t="s">
        <v>437</v>
      </c>
      <c r="B93" s="35"/>
      <c r="C93" s="178">
        <v>0</v>
      </c>
      <c r="D93" s="80">
        <f t="shared" si="32"/>
        <v>0</v>
      </c>
      <c r="E93" s="178">
        <v>0</v>
      </c>
      <c r="F93" s="80">
        <f t="shared" si="23"/>
        <v>0</v>
      </c>
      <c r="G93" s="178">
        <v>0</v>
      </c>
      <c r="H93" s="80">
        <f t="shared" si="24"/>
        <v>0</v>
      </c>
      <c r="I93" s="178">
        <v>0</v>
      </c>
      <c r="J93" s="80">
        <f t="shared" si="25"/>
        <v>0</v>
      </c>
      <c r="K93" s="178">
        <v>0</v>
      </c>
      <c r="L93" s="80">
        <f t="shared" si="26"/>
        <v>0</v>
      </c>
      <c r="M93" s="178">
        <v>0</v>
      </c>
      <c r="N93" s="80">
        <f t="shared" si="27"/>
        <v>0</v>
      </c>
      <c r="O93" s="178">
        <v>0</v>
      </c>
      <c r="P93" s="80">
        <f t="shared" si="28"/>
        <v>0</v>
      </c>
      <c r="Q93" s="178">
        <v>0</v>
      </c>
      <c r="R93" s="80">
        <f t="shared" si="29"/>
        <v>0</v>
      </c>
      <c r="S93" s="178">
        <v>0</v>
      </c>
      <c r="T93" s="80">
        <f t="shared" si="30"/>
        <v>0</v>
      </c>
      <c r="U93" s="178">
        <v>0</v>
      </c>
      <c r="V93" s="80">
        <f t="shared" si="31"/>
        <v>0</v>
      </c>
      <c r="X93" s="192"/>
    </row>
    <row r="94" spans="1:24" ht="12.75" customHeight="1">
      <c r="A94" s="2" t="s">
        <v>438</v>
      </c>
      <c r="B94" s="35"/>
      <c r="C94" s="178">
        <v>0</v>
      </c>
      <c r="D94" s="80">
        <f t="shared" si="32"/>
        <v>0</v>
      </c>
      <c r="E94" s="178">
        <v>0</v>
      </c>
      <c r="F94" s="80">
        <f t="shared" si="23"/>
        <v>0</v>
      </c>
      <c r="G94" s="178">
        <v>0</v>
      </c>
      <c r="H94" s="80">
        <f t="shared" si="24"/>
        <v>0</v>
      </c>
      <c r="I94" s="178">
        <v>0</v>
      </c>
      <c r="J94" s="80">
        <f t="shared" si="25"/>
        <v>0</v>
      </c>
      <c r="K94" s="178">
        <v>0</v>
      </c>
      <c r="L94" s="80">
        <f t="shared" si="26"/>
        <v>0</v>
      </c>
      <c r="M94" s="178">
        <v>0</v>
      </c>
      <c r="N94" s="80">
        <f t="shared" si="27"/>
        <v>0</v>
      </c>
      <c r="O94" s="178">
        <v>0</v>
      </c>
      <c r="P94" s="80">
        <f t="shared" si="28"/>
        <v>0</v>
      </c>
      <c r="Q94" s="178">
        <v>0</v>
      </c>
      <c r="R94" s="80">
        <f t="shared" si="29"/>
        <v>0</v>
      </c>
      <c r="S94" s="178">
        <v>0</v>
      </c>
      <c r="T94" s="80">
        <f t="shared" si="30"/>
        <v>0</v>
      </c>
      <c r="U94" s="178">
        <v>0</v>
      </c>
      <c r="V94" s="80">
        <f t="shared" si="31"/>
        <v>0</v>
      </c>
      <c r="X94" s="192"/>
    </row>
    <row r="95" spans="1:24" ht="12.75" customHeight="1">
      <c r="A95" s="2" t="s">
        <v>439</v>
      </c>
      <c r="B95" s="35"/>
      <c r="C95" s="178">
        <v>0</v>
      </c>
      <c r="D95" s="80">
        <f t="shared" si="32"/>
        <v>0</v>
      </c>
      <c r="E95" s="178">
        <v>0</v>
      </c>
      <c r="F95" s="80">
        <f t="shared" si="23"/>
        <v>0</v>
      </c>
      <c r="G95" s="178">
        <v>0</v>
      </c>
      <c r="H95" s="80">
        <f t="shared" si="24"/>
        <v>0</v>
      </c>
      <c r="I95" s="178">
        <v>0</v>
      </c>
      <c r="J95" s="80">
        <f t="shared" si="25"/>
        <v>0</v>
      </c>
      <c r="K95" s="178">
        <v>0</v>
      </c>
      <c r="L95" s="80">
        <f t="shared" si="26"/>
        <v>0</v>
      </c>
      <c r="M95" s="178">
        <v>0</v>
      </c>
      <c r="N95" s="80">
        <f t="shared" si="27"/>
        <v>0</v>
      </c>
      <c r="O95" s="178">
        <v>0</v>
      </c>
      <c r="P95" s="80">
        <f t="shared" si="28"/>
        <v>0</v>
      </c>
      <c r="Q95" s="178">
        <v>0</v>
      </c>
      <c r="R95" s="80">
        <f t="shared" si="29"/>
        <v>0</v>
      </c>
      <c r="S95" s="178">
        <v>0</v>
      </c>
      <c r="T95" s="80">
        <f t="shared" si="30"/>
        <v>0</v>
      </c>
      <c r="U95" s="178">
        <v>0</v>
      </c>
      <c r="V95" s="80">
        <f t="shared" si="31"/>
        <v>0</v>
      </c>
      <c r="X95" s="192"/>
    </row>
    <row r="96" spans="1:24" ht="12.75" customHeight="1">
      <c r="A96" s="2" t="s">
        <v>440</v>
      </c>
      <c r="B96" s="35"/>
      <c r="C96" s="178">
        <v>0</v>
      </c>
      <c r="D96" s="80">
        <f t="shared" si="32"/>
        <v>0</v>
      </c>
      <c r="E96" s="178">
        <v>0</v>
      </c>
      <c r="F96" s="80">
        <f t="shared" si="23"/>
        <v>0</v>
      </c>
      <c r="G96" s="178">
        <v>0</v>
      </c>
      <c r="H96" s="80">
        <f t="shared" si="24"/>
        <v>0</v>
      </c>
      <c r="I96" s="178">
        <v>0</v>
      </c>
      <c r="J96" s="80">
        <f t="shared" si="25"/>
        <v>0</v>
      </c>
      <c r="K96" s="178">
        <v>0</v>
      </c>
      <c r="L96" s="80">
        <f t="shared" si="26"/>
        <v>0</v>
      </c>
      <c r="M96" s="178">
        <v>0</v>
      </c>
      <c r="N96" s="80">
        <f t="shared" si="27"/>
        <v>0</v>
      </c>
      <c r="O96" s="178">
        <v>0</v>
      </c>
      <c r="P96" s="80">
        <f t="shared" si="28"/>
        <v>0</v>
      </c>
      <c r="Q96" s="178">
        <v>0</v>
      </c>
      <c r="R96" s="80">
        <f t="shared" si="29"/>
        <v>0</v>
      </c>
      <c r="S96" s="178">
        <v>0</v>
      </c>
      <c r="T96" s="80">
        <f t="shared" si="30"/>
        <v>0</v>
      </c>
      <c r="U96" s="178">
        <v>0</v>
      </c>
      <c r="V96" s="80">
        <f t="shared" si="31"/>
        <v>0</v>
      </c>
      <c r="X96" s="192"/>
    </row>
    <row r="97" spans="1:24" ht="12.75" customHeight="1">
      <c r="A97" s="2" t="s">
        <v>441</v>
      </c>
      <c r="B97" s="35"/>
      <c r="C97" s="178">
        <v>0</v>
      </c>
      <c r="D97" s="80">
        <f t="shared" si="32"/>
        <v>0</v>
      </c>
      <c r="E97" s="178">
        <v>0</v>
      </c>
      <c r="F97" s="80">
        <f t="shared" si="23"/>
        <v>0</v>
      </c>
      <c r="G97" s="178">
        <v>0</v>
      </c>
      <c r="H97" s="80">
        <f t="shared" si="24"/>
        <v>0</v>
      </c>
      <c r="I97" s="178">
        <v>0</v>
      </c>
      <c r="J97" s="80">
        <f t="shared" si="25"/>
        <v>0</v>
      </c>
      <c r="K97" s="178">
        <v>0</v>
      </c>
      <c r="L97" s="80">
        <f t="shared" si="26"/>
        <v>0</v>
      </c>
      <c r="M97" s="178">
        <v>0</v>
      </c>
      <c r="N97" s="80">
        <f t="shared" si="27"/>
        <v>0</v>
      </c>
      <c r="O97" s="178">
        <v>0</v>
      </c>
      <c r="P97" s="80">
        <f t="shared" si="28"/>
        <v>0</v>
      </c>
      <c r="Q97" s="178">
        <v>0</v>
      </c>
      <c r="R97" s="80">
        <f t="shared" si="29"/>
        <v>0</v>
      </c>
      <c r="S97" s="178">
        <v>0</v>
      </c>
      <c r="T97" s="80">
        <f t="shared" si="30"/>
        <v>0</v>
      </c>
      <c r="U97" s="178">
        <v>0</v>
      </c>
      <c r="V97" s="80">
        <f t="shared" si="31"/>
        <v>0</v>
      </c>
      <c r="X97" s="192"/>
    </row>
    <row r="98" spans="1:24" ht="12.75" customHeight="1">
      <c r="A98" s="117" t="s">
        <v>444</v>
      </c>
      <c r="B98" s="35"/>
      <c r="C98" s="178">
        <v>0</v>
      </c>
      <c r="D98" s="80">
        <f t="shared" si="32"/>
        <v>0</v>
      </c>
      <c r="E98" s="178">
        <v>0</v>
      </c>
      <c r="F98" s="80">
        <f t="shared" si="23"/>
        <v>0</v>
      </c>
      <c r="G98" s="178">
        <v>0</v>
      </c>
      <c r="H98" s="80">
        <f t="shared" si="24"/>
        <v>0</v>
      </c>
      <c r="I98" s="178">
        <v>0</v>
      </c>
      <c r="J98" s="80">
        <f t="shared" si="25"/>
        <v>0</v>
      </c>
      <c r="K98" s="178">
        <v>0</v>
      </c>
      <c r="L98" s="80">
        <f t="shared" si="26"/>
        <v>0</v>
      </c>
      <c r="M98" s="178">
        <v>0</v>
      </c>
      <c r="N98" s="80">
        <f t="shared" si="27"/>
        <v>0</v>
      </c>
      <c r="O98" s="178">
        <v>0</v>
      </c>
      <c r="P98" s="80">
        <f t="shared" si="28"/>
        <v>0</v>
      </c>
      <c r="Q98" s="178">
        <v>0</v>
      </c>
      <c r="R98" s="80">
        <f t="shared" si="29"/>
        <v>0</v>
      </c>
      <c r="S98" s="178">
        <v>0</v>
      </c>
      <c r="T98" s="80">
        <f t="shared" si="30"/>
        <v>0</v>
      </c>
      <c r="U98" s="178">
        <v>0</v>
      </c>
      <c r="V98" s="80">
        <f t="shared" si="31"/>
        <v>0</v>
      </c>
      <c r="X98" s="192"/>
    </row>
    <row r="99" spans="1:24" ht="12.75" customHeight="1">
      <c r="A99" s="117" t="s">
        <v>444</v>
      </c>
      <c r="B99" s="35"/>
      <c r="C99" s="178">
        <v>0</v>
      </c>
      <c r="D99" s="80">
        <f t="shared" si="32"/>
        <v>0</v>
      </c>
      <c r="E99" s="178">
        <v>0</v>
      </c>
      <c r="F99" s="80">
        <f t="shared" si="23"/>
        <v>0</v>
      </c>
      <c r="G99" s="178">
        <v>0</v>
      </c>
      <c r="H99" s="80">
        <f t="shared" si="24"/>
        <v>0</v>
      </c>
      <c r="I99" s="178">
        <v>0</v>
      </c>
      <c r="J99" s="80">
        <f t="shared" si="25"/>
        <v>0</v>
      </c>
      <c r="K99" s="178">
        <v>0</v>
      </c>
      <c r="L99" s="80">
        <f t="shared" si="26"/>
        <v>0</v>
      </c>
      <c r="M99" s="178">
        <v>0</v>
      </c>
      <c r="N99" s="80">
        <f t="shared" si="27"/>
        <v>0</v>
      </c>
      <c r="O99" s="178">
        <v>0</v>
      </c>
      <c r="P99" s="80">
        <f t="shared" si="28"/>
        <v>0</v>
      </c>
      <c r="Q99" s="178">
        <v>0</v>
      </c>
      <c r="R99" s="80">
        <f t="shared" si="29"/>
        <v>0</v>
      </c>
      <c r="S99" s="178">
        <v>0</v>
      </c>
      <c r="T99" s="80">
        <f t="shared" si="30"/>
        <v>0</v>
      </c>
      <c r="U99" s="178">
        <v>0</v>
      </c>
      <c r="V99" s="80">
        <f t="shared" si="31"/>
        <v>0</v>
      </c>
      <c r="X99" s="192"/>
    </row>
    <row r="100" spans="1:24" ht="12.75" customHeight="1">
      <c r="A100" s="117" t="s">
        <v>444</v>
      </c>
      <c r="B100" s="35"/>
      <c r="C100" s="178">
        <v>0</v>
      </c>
      <c r="D100" s="80">
        <f t="shared" si="32"/>
        <v>0</v>
      </c>
      <c r="E100" s="178">
        <v>0</v>
      </c>
      <c r="F100" s="80">
        <f t="shared" si="23"/>
        <v>0</v>
      </c>
      <c r="G100" s="178">
        <v>0</v>
      </c>
      <c r="H100" s="80">
        <f t="shared" si="24"/>
        <v>0</v>
      </c>
      <c r="I100" s="178">
        <v>0</v>
      </c>
      <c r="J100" s="80">
        <f t="shared" si="25"/>
        <v>0</v>
      </c>
      <c r="K100" s="178">
        <v>0</v>
      </c>
      <c r="L100" s="80">
        <f t="shared" si="26"/>
        <v>0</v>
      </c>
      <c r="M100" s="178">
        <v>0</v>
      </c>
      <c r="N100" s="80">
        <f t="shared" si="27"/>
        <v>0</v>
      </c>
      <c r="O100" s="178">
        <v>0</v>
      </c>
      <c r="P100" s="80">
        <f t="shared" si="28"/>
        <v>0</v>
      </c>
      <c r="Q100" s="178">
        <v>0</v>
      </c>
      <c r="R100" s="80">
        <f t="shared" si="29"/>
        <v>0</v>
      </c>
      <c r="S100" s="178">
        <v>0</v>
      </c>
      <c r="T100" s="80">
        <f t="shared" si="30"/>
        <v>0</v>
      </c>
      <c r="U100" s="178">
        <v>0</v>
      </c>
      <c r="V100" s="80">
        <f t="shared" si="31"/>
        <v>0</v>
      </c>
      <c r="X100" s="192"/>
    </row>
    <row r="101" spans="1:24" ht="12.75" customHeight="1">
      <c r="A101" s="2" t="s">
        <v>445</v>
      </c>
      <c r="B101" s="35"/>
      <c r="C101" s="178"/>
      <c r="D101" s="80">
        <f t="shared" si="32"/>
        <v>0</v>
      </c>
      <c r="E101" s="178"/>
      <c r="F101" s="80">
        <f t="shared" si="23"/>
        <v>0</v>
      </c>
      <c r="G101" s="178"/>
      <c r="H101" s="80">
        <f t="shared" si="24"/>
        <v>0</v>
      </c>
      <c r="I101" s="178">
        <v>0</v>
      </c>
      <c r="J101" s="80">
        <f t="shared" si="25"/>
        <v>0</v>
      </c>
      <c r="K101" s="178">
        <v>0</v>
      </c>
      <c r="L101" s="80">
        <f t="shared" si="26"/>
        <v>0</v>
      </c>
      <c r="M101" s="178">
        <v>0</v>
      </c>
      <c r="N101" s="80">
        <f t="shared" si="27"/>
        <v>0</v>
      </c>
      <c r="O101" s="178">
        <v>0</v>
      </c>
      <c r="P101" s="80">
        <f t="shared" si="28"/>
        <v>0</v>
      </c>
      <c r="Q101" s="178">
        <v>0</v>
      </c>
      <c r="R101" s="80">
        <f t="shared" si="29"/>
        <v>0</v>
      </c>
      <c r="S101" s="178">
        <v>0</v>
      </c>
      <c r="T101" s="80">
        <f t="shared" si="30"/>
        <v>0</v>
      </c>
      <c r="U101" s="178">
        <v>0</v>
      </c>
      <c r="V101" s="80">
        <f t="shared" si="31"/>
        <v>0</v>
      </c>
      <c r="X101" s="192"/>
    </row>
    <row r="102" spans="1:24" ht="12.75" customHeight="1">
      <c r="A102" s="117" t="s">
        <v>446</v>
      </c>
      <c r="B102" s="35"/>
      <c r="C102" s="178">
        <v>0</v>
      </c>
      <c r="D102" s="80">
        <f t="shared" si="32"/>
        <v>0</v>
      </c>
      <c r="E102" s="178">
        <v>0</v>
      </c>
      <c r="F102" s="80">
        <f t="shared" si="23"/>
        <v>0</v>
      </c>
      <c r="G102" s="178">
        <v>0</v>
      </c>
      <c r="H102" s="80">
        <f t="shared" si="24"/>
        <v>0</v>
      </c>
      <c r="I102" s="178">
        <v>0</v>
      </c>
      <c r="J102" s="80">
        <f t="shared" si="25"/>
        <v>0</v>
      </c>
      <c r="K102" s="178">
        <v>0</v>
      </c>
      <c r="L102" s="80">
        <f t="shared" si="26"/>
        <v>0</v>
      </c>
      <c r="M102" s="178">
        <v>0</v>
      </c>
      <c r="N102" s="80">
        <f t="shared" si="27"/>
        <v>0</v>
      </c>
      <c r="O102" s="178">
        <v>0</v>
      </c>
      <c r="P102" s="80">
        <f t="shared" si="28"/>
        <v>0</v>
      </c>
      <c r="Q102" s="178">
        <v>0</v>
      </c>
      <c r="R102" s="80">
        <f t="shared" si="29"/>
        <v>0</v>
      </c>
      <c r="S102" s="178">
        <v>0</v>
      </c>
      <c r="T102" s="80">
        <f t="shared" si="30"/>
        <v>0</v>
      </c>
      <c r="U102" s="178">
        <v>0</v>
      </c>
      <c r="V102" s="80">
        <f t="shared" si="31"/>
        <v>0</v>
      </c>
      <c r="X102" s="192"/>
    </row>
    <row r="103" spans="1:24" ht="12.75" customHeight="1">
      <c r="A103" s="117" t="s">
        <v>446</v>
      </c>
      <c r="B103" s="35"/>
      <c r="C103" s="178">
        <v>0</v>
      </c>
      <c r="D103" s="80">
        <f t="shared" si="32"/>
        <v>0</v>
      </c>
      <c r="E103" s="178">
        <v>0</v>
      </c>
      <c r="F103" s="80">
        <f t="shared" si="23"/>
        <v>0</v>
      </c>
      <c r="G103" s="178">
        <v>0</v>
      </c>
      <c r="H103" s="80">
        <f t="shared" si="24"/>
        <v>0</v>
      </c>
      <c r="I103" s="178">
        <v>0</v>
      </c>
      <c r="J103" s="80">
        <f t="shared" si="25"/>
        <v>0</v>
      </c>
      <c r="K103" s="178">
        <v>0</v>
      </c>
      <c r="L103" s="80">
        <f t="shared" si="26"/>
        <v>0</v>
      </c>
      <c r="M103" s="178">
        <v>0</v>
      </c>
      <c r="N103" s="80">
        <f t="shared" si="27"/>
        <v>0</v>
      </c>
      <c r="O103" s="178">
        <v>0</v>
      </c>
      <c r="P103" s="80">
        <f t="shared" si="28"/>
        <v>0</v>
      </c>
      <c r="Q103" s="178">
        <v>0</v>
      </c>
      <c r="R103" s="80">
        <f t="shared" si="29"/>
        <v>0</v>
      </c>
      <c r="S103" s="178">
        <v>0</v>
      </c>
      <c r="T103" s="80">
        <f t="shared" si="30"/>
        <v>0</v>
      </c>
      <c r="U103" s="178">
        <v>0</v>
      </c>
      <c r="V103" s="80">
        <f t="shared" si="31"/>
        <v>0</v>
      </c>
      <c r="X103" s="192"/>
    </row>
    <row r="104" spans="1:24" ht="12.75" customHeight="1">
      <c r="A104" s="117" t="s">
        <v>446</v>
      </c>
      <c r="B104" s="1"/>
      <c r="C104" s="178">
        <v>0</v>
      </c>
      <c r="D104" s="80">
        <f t="shared" si="32"/>
        <v>0</v>
      </c>
      <c r="E104" s="178">
        <v>0</v>
      </c>
      <c r="F104" s="80">
        <f t="shared" si="23"/>
        <v>0</v>
      </c>
      <c r="G104" s="178">
        <v>0</v>
      </c>
      <c r="H104" s="80">
        <f t="shared" si="24"/>
        <v>0</v>
      </c>
      <c r="I104" s="178">
        <v>0</v>
      </c>
      <c r="J104" s="80">
        <f t="shared" si="25"/>
        <v>0</v>
      </c>
      <c r="K104" s="178">
        <v>0</v>
      </c>
      <c r="L104" s="80">
        <f t="shared" si="26"/>
        <v>0</v>
      </c>
      <c r="M104" s="178">
        <v>0</v>
      </c>
      <c r="N104" s="80">
        <f t="shared" si="27"/>
        <v>0</v>
      </c>
      <c r="O104" s="178">
        <v>0</v>
      </c>
      <c r="P104" s="80">
        <f t="shared" si="28"/>
        <v>0</v>
      </c>
      <c r="Q104" s="178">
        <v>0</v>
      </c>
      <c r="R104" s="80">
        <f t="shared" si="29"/>
        <v>0</v>
      </c>
      <c r="S104" s="178">
        <v>0</v>
      </c>
      <c r="T104" s="80">
        <f t="shared" si="30"/>
        <v>0</v>
      </c>
      <c r="U104" s="178">
        <v>0</v>
      </c>
      <c r="V104" s="80">
        <f t="shared" si="31"/>
        <v>0</v>
      </c>
      <c r="X104" s="192"/>
    </row>
    <row r="105" spans="1:24" ht="12.75" customHeight="1">
      <c r="A105" s="1" t="s">
        <v>447</v>
      </c>
      <c r="B105" s="53"/>
      <c r="C105" s="82">
        <f>SUM(C52:C104)</f>
        <v>0</v>
      </c>
      <c r="D105" s="83">
        <f t="shared" si="32"/>
        <v>0</v>
      </c>
      <c r="E105" s="82">
        <f>SUM(E52:E104)</f>
        <v>0</v>
      </c>
      <c r="F105" s="83">
        <f t="shared" si="23"/>
        <v>0</v>
      </c>
      <c r="G105" s="82">
        <f>SUM(G52:G104)</f>
        <v>0</v>
      </c>
      <c r="H105" s="83">
        <f t="shared" si="24"/>
        <v>0</v>
      </c>
      <c r="I105" s="82">
        <f>SUM(I52:I104)</f>
        <v>0</v>
      </c>
      <c r="J105" s="83">
        <f t="shared" si="25"/>
        <v>0</v>
      </c>
      <c r="K105" s="82">
        <f>SUM(K52:K104)</f>
        <v>0</v>
      </c>
      <c r="L105" s="83">
        <f t="shared" si="26"/>
        <v>0</v>
      </c>
      <c r="M105" s="82">
        <f>SUM(M52:M104)</f>
        <v>0</v>
      </c>
      <c r="N105" s="83">
        <f t="shared" si="27"/>
        <v>0</v>
      </c>
      <c r="O105" s="82">
        <f>SUM(O52:O104)</f>
        <v>0</v>
      </c>
      <c r="P105" s="83">
        <f t="shared" si="28"/>
        <v>0</v>
      </c>
      <c r="Q105" s="82">
        <f>SUM(Q52:Q104)</f>
        <v>0</v>
      </c>
      <c r="R105" s="83">
        <f t="shared" si="29"/>
        <v>0</v>
      </c>
      <c r="S105" s="82">
        <f>SUM(S52:S104)</f>
        <v>0</v>
      </c>
      <c r="T105" s="83">
        <f t="shared" si="30"/>
        <v>0</v>
      </c>
      <c r="U105" s="82">
        <f>SUM(U52:U104)</f>
        <v>0</v>
      </c>
      <c r="V105" s="83">
        <f t="shared" si="31"/>
        <v>0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448</v>
      </c>
      <c r="B107" s="53"/>
      <c r="C107" s="82">
        <f>C28-C33-C46-C105</f>
        <v>57500</v>
      </c>
      <c r="D107" s="83">
        <f>IFERROR(C107/C$28,0)</f>
        <v>1</v>
      </c>
      <c r="E107" s="82">
        <f>E28-E33-E46-E105</f>
        <v>63250.000000000007</v>
      </c>
      <c r="F107" s="83">
        <f>IFERROR(E107/E$28,0)</f>
        <v>1</v>
      </c>
      <c r="G107" s="82">
        <f>G28-G33-G46-G105</f>
        <v>64515.000000000007</v>
      </c>
      <c r="H107" s="83">
        <f>IFERROR(G107/G$28,0)</f>
        <v>1</v>
      </c>
      <c r="I107" s="82">
        <f>I28-I33-I46-I105</f>
        <v>65805.3</v>
      </c>
      <c r="J107" s="83">
        <f>IFERROR(I107/I$28,0)</f>
        <v>1</v>
      </c>
      <c r="K107" s="82">
        <f>K28-K33-K46-K105</f>
        <v>67121.406000000003</v>
      </c>
      <c r="L107" s="83">
        <f>IFERROR(K107/K$28,0)</f>
        <v>1</v>
      </c>
      <c r="M107" s="82">
        <f>M28-M33-M46-M105</f>
        <v>68463.83412</v>
      </c>
      <c r="N107" s="83">
        <f>IFERROR(M107/M$28,0)</f>
        <v>1</v>
      </c>
      <c r="O107" s="82">
        <f>O28-O33-O46-O105</f>
        <v>69833.110802399999</v>
      </c>
      <c r="P107" s="83">
        <f>IFERROR(O107/O$28,0)</f>
        <v>1</v>
      </c>
      <c r="Q107" s="82">
        <f>Q28-Q33-Q46-Q105</f>
        <v>71229.773018448002</v>
      </c>
      <c r="R107" s="83">
        <f>IFERROR(Q107/Q$28,0)</f>
        <v>1</v>
      </c>
      <c r="S107" s="82">
        <f>S28-S33-S46-S105</f>
        <v>72654.368478816963</v>
      </c>
      <c r="T107" s="83">
        <f>IFERROR(S107/S$28,0)</f>
        <v>1</v>
      </c>
      <c r="U107" s="82">
        <f>U28-U33-U46-U105</f>
        <v>74107.455848393307</v>
      </c>
      <c r="V107" s="83">
        <f>IFERROR(U107/U$28,0)</f>
        <v>1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449</v>
      </c>
      <c r="B110" s="40"/>
      <c r="C110" s="86" t="str">
        <f>C50</f>
        <v>FY 2018-19</v>
      </c>
      <c r="D110" s="86" t="s">
        <v>366</v>
      </c>
      <c r="E110" s="86" t="str">
        <f>E50</f>
        <v>FY 2019-20</v>
      </c>
      <c r="F110" s="86" t="s">
        <v>366</v>
      </c>
      <c r="G110" s="86" t="str">
        <f>G50</f>
        <v>FY 2020-21</v>
      </c>
      <c r="H110" s="86" t="s">
        <v>366</v>
      </c>
      <c r="I110" s="86" t="str">
        <f>I50</f>
        <v>FY 2021-22</v>
      </c>
      <c r="J110" s="86" t="s">
        <v>366</v>
      </c>
      <c r="K110" s="86" t="str">
        <f>K50</f>
        <v>FY 2022-23</v>
      </c>
      <c r="L110" s="86" t="s">
        <v>366</v>
      </c>
      <c r="M110" s="86" t="str">
        <f>M50</f>
        <v>FY 2023-24</v>
      </c>
      <c r="N110" s="86" t="s">
        <v>366</v>
      </c>
      <c r="O110" s="86" t="str">
        <f>O50</f>
        <v>FY 2024-25</v>
      </c>
      <c r="P110" s="86" t="s">
        <v>366</v>
      </c>
      <c r="Q110" s="86" t="str">
        <f>Q50</f>
        <v>FY 2025-26</v>
      </c>
      <c r="R110" s="86" t="s">
        <v>366</v>
      </c>
      <c r="S110" s="86" t="str">
        <f>S50</f>
        <v>FY 2026-27</v>
      </c>
      <c r="T110" s="86" t="s">
        <v>366</v>
      </c>
      <c r="U110" s="86" t="str">
        <f>U50</f>
        <v>FY 2027-28</v>
      </c>
      <c r="V110" s="86" t="s">
        <v>366</v>
      </c>
    </row>
    <row r="111" spans="1:24" ht="12.75" customHeight="1">
      <c r="A111" s="2" t="s">
        <v>403</v>
      </c>
      <c r="B111" s="35"/>
      <c r="C111" s="79">
        <f>C59</f>
        <v>0</v>
      </c>
      <c r="D111" s="80">
        <f t="shared" ref="D111:D116" si="33">IFERROR(C111/C$28,0)</f>
        <v>0</v>
      </c>
      <c r="E111" s="79">
        <f>E59</f>
        <v>0</v>
      </c>
      <c r="F111" s="80">
        <f t="shared" ref="F111:F116" si="34">IFERROR(E111/E$28,0)</f>
        <v>0</v>
      </c>
      <c r="G111" s="79">
        <f>G59</f>
        <v>0</v>
      </c>
      <c r="H111" s="80">
        <f t="shared" ref="H111:H116" si="35">IFERROR(G111/G$28,0)</f>
        <v>0</v>
      </c>
      <c r="I111" s="79">
        <f>I59</f>
        <v>0</v>
      </c>
      <c r="J111" s="80">
        <f t="shared" ref="J111:J116" si="36">IFERROR(I111/I$28,0)</f>
        <v>0</v>
      </c>
      <c r="K111" s="79">
        <f>K59</f>
        <v>0</v>
      </c>
      <c r="L111" s="80">
        <f t="shared" ref="L111:L116" si="37">IFERROR(K111/K$28,0)</f>
        <v>0</v>
      </c>
      <c r="M111" s="79">
        <f>M59</f>
        <v>0</v>
      </c>
      <c r="N111" s="80">
        <f t="shared" ref="N111:N116" si="38">IFERROR(M111/M$28,0)</f>
        <v>0</v>
      </c>
      <c r="O111" s="79">
        <f>O59</f>
        <v>0</v>
      </c>
      <c r="P111" s="80">
        <f t="shared" ref="P111:P116" si="39">IFERROR(O111/O$28,0)</f>
        <v>0</v>
      </c>
      <c r="Q111" s="79">
        <f>Q59</f>
        <v>0</v>
      </c>
      <c r="R111" s="80">
        <f t="shared" ref="R111:R116" si="40">IFERROR(Q111/Q$28,0)</f>
        <v>0</v>
      </c>
      <c r="S111" s="79">
        <f>S59</f>
        <v>0</v>
      </c>
      <c r="T111" s="80">
        <f t="shared" ref="T111:T116" si="41">IFERROR(S111/S$28,0)</f>
        <v>0</v>
      </c>
      <c r="U111" s="79">
        <f>U59</f>
        <v>0</v>
      </c>
      <c r="V111" s="80">
        <f t="shared" ref="V111:V116" si="42">IFERROR(U111/U$28,0)</f>
        <v>0</v>
      </c>
    </row>
    <row r="112" spans="1:24" ht="12.75" customHeight="1">
      <c r="A112" s="2" t="s">
        <v>450</v>
      </c>
      <c r="B112" s="35"/>
      <c r="C112" s="79">
        <f>C62</f>
        <v>0</v>
      </c>
      <c r="D112" s="80">
        <f t="shared" si="33"/>
        <v>0</v>
      </c>
      <c r="E112" s="79">
        <f>E62</f>
        <v>0</v>
      </c>
      <c r="F112" s="80">
        <f t="shared" si="34"/>
        <v>0</v>
      </c>
      <c r="G112" s="79">
        <f>G62</f>
        <v>0</v>
      </c>
      <c r="H112" s="80">
        <f t="shared" si="35"/>
        <v>0</v>
      </c>
      <c r="I112" s="79">
        <f>I62</f>
        <v>0</v>
      </c>
      <c r="J112" s="80">
        <f t="shared" si="36"/>
        <v>0</v>
      </c>
      <c r="K112" s="79">
        <f>K62</f>
        <v>0</v>
      </c>
      <c r="L112" s="80">
        <f t="shared" si="37"/>
        <v>0</v>
      </c>
      <c r="M112" s="79">
        <f>M62</f>
        <v>0</v>
      </c>
      <c r="N112" s="80">
        <f t="shared" si="38"/>
        <v>0</v>
      </c>
      <c r="O112" s="79">
        <f>O62</f>
        <v>0</v>
      </c>
      <c r="P112" s="80">
        <f t="shared" si="39"/>
        <v>0</v>
      </c>
      <c r="Q112" s="79">
        <f>Q62</f>
        <v>0</v>
      </c>
      <c r="R112" s="80">
        <f t="shared" si="40"/>
        <v>0</v>
      </c>
      <c r="S112" s="79">
        <f>S62</f>
        <v>0</v>
      </c>
      <c r="T112" s="80">
        <f t="shared" si="41"/>
        <v>0</v>
      </c>
      <c r="U112" s="79">
        <f>U62</f>
        <v>0</v>
      </c>
      <c r="V112" s="80">
        <f t="shared" si="42"/>
        <v>0</v>
      </c>
    </row>
    <row r="113" spans="1:22" ht="12.75" customHeight="1">
      <c r="A113" s="117" t="s">
        <v>446</v>
      </c>
      <c r="B113" s="41"/>
      <c r="C113" s="111">
        <v>0</v>
      </c>
      <c r="D113" s="80">
        <f t="shared" si="33"/>
        <v>0</v>
      </c>
      <c r="E113" s="111">
        <v>0</v>
      </c>
      <c r="F113" s="80">
        <f t="shared" si="34"/>
        <v>0</v>
      </c>
      <c r="G113" s="111">
        <v>0</v>
      </c>
      <c r="H113" s="80">
        <f t="shared" si="35"/>
        <v>0</v>
      </c>
      <c r="I113" s="111">
        <v>0</v>
      </c>
      <c r="J113" s="80">
        <f t="shared" si="36"/>
        <v>0</v>
      </c>
      <c r="K113" s="111">
        <v>0</v>
      </c>
      <c r="L113" s="80">
        <f t="shared" si="37"/>
        <v>0</v>
      </c>
      <c r="M113" s="111">
        <v>0</v>
      </c>
      <c r="N113" s="80">
        <f t="shared" si="38"/>
        <v>0</v>
      </c>
      <c r="O113" s="111">
        <v>0</v>
      </c>
      <c r="P113" s="80">
        <f t="shared" si="39"/>
        <v>0</v>
      </c>
      <c r="Q113" s="111">
        <v>0</v>
      </c>
      <c r="R113" s="80">
        <f t="shared" si="40"/>
        <v>0</v>
      </c>
      <c r="S113" s="111">
        <v>0</v>
      </c>
      <c r="T113" s="80">
        <f t="shared" si="41"/>
        <v>0</v>
      </c>
      <c r="U113" s="111">
        <v>0</v>
      </c>
      <c r="V113" s="80">
        <f t="shared" si="42"/>
        <v>0</v>
      </c>
    </row>
    <row r="114" spans="1:22" ht="12.75" customHeight="1">
      <c r="A114" s="117" t="s">
        <v>446</v>
      </c>
      <c r="B114" s="41"/>
      <c r="C114" s="111">
        <v>0</v>
      </c>
      <c r="D114" s="80">
        <f t="shared" si="33"/>
        <v>0</v>
      </c>
      <c r="E114" s="111">
        <v>0</v>
      </c>
      <c r="F114" s="80">
        <f t="shared" si="34"/>
        <v>0</v>
      </c>
      <c r="G114" s="111">
        <v>0</v>
      </c>
      <c r="H114" s="80">
        <f t="shared" si="35"/>
        <v>0</v>
      </c>
      <c r="I114" s="111">
        <v>0</v>
      </c>
      <c r="J114" s="80">
        <f t="shared" si="36"/>
        <v>0</v>
      </c>
      <c r="K114" s="111">
        <v>0</v>
      </c>
      <c r="L114" s="80">
        <f t="shared" si="37"/>
        <v>0</v>
      </c>
      <c r="M114" s="111">
        <v>0</v>
      </c>
      <c r="N114" s="80">
        <f t="shared" si="38"/>
        <v>0</v>
      </c>
      <c r="O114" s="111">
        <v>0</v>
      </c>
      <c r="P114" s="80">
        <f t="shared" si="39"/>
        <v>0</v>
      </c>
      <c r="Q114" s="111">
        <v>0</v>
      </c>
      <c r="R114" s="80">
        <f t="shared" si="40"/>
        <v>0</v>
      </c>
      <c r="S114" s="111">
        <v>0</v>
      </c>
      <c r="T114" s="80">
        <f t="shared" si="41"/>
        <v>0</v>
      </c>
      <c r="U114" s="111">
        <v>0</v>
      </c>
      <c r="V114" s="80">
        <f t="shared" si="42"/>
        <v>0</v>
      </c>
    </row>
    <row r="115" spans="1:22" ht="12.75" customHeight="1">
      <c r="A115" s="117" t="s">
        <v>446</v>
      </c>
      <c r="B115" s="41"/>
      <c r="C115" s="112">
        <v>0</v>
      </c>
      <c r="D115" s="80">
        <f t="shared" si="33"/>
        <v>0</v>
      </c>
      <c r="E115" s="112">
        <v>0</v>
      </c>
      <c r="F115" s="80">
        <f t="shared" si="34"/>
        <v>0</v>
      </c>
      <c r="G115" s="112">
        <v>0</v>
      </c>
      <c r="H115" s="80">
        <f t="shared" si="35"/>
        <v>0</v>
      </c>
      <c r="I115" s="112">
        <v>0</v>
      </c>
      <c r="J115" s="80">
        <f t="shared" si="36"/>
        <v>0</v>
      </c>
      <c r="K115" s="112">
        <v>0</v>
      </c>
      <c r="L115" s="80">
        <f t="shared" si="37"/>
        <v>0</v>
      </c>
      <c r="M115" s="112">
        <v>0</v>
      </c>
      <c r="N115" s="80">
        <f t="shared" si="38"/>
        <v>0</v>
      </c>
      <c r="O115" s="112">
        <v>0</v>
      </c>
      <c r="P115" s="80">
        <f t="shared" si="39"/>
        <v>0</v>
      </c>
      <c r="Q115" s="112">
        <v>0</v>
      </c>
      <c r="R115" s="80">
        <f t="shared" si="40"/>
        <v>0</v>
      </c>
      <c r="S115" s="112">
        <v>0</v>
      </c>
      <c r="T115" s="80">
        <f t="shared" si="41"/>
        <v>0</v>
      </c>
      <c r="U115" s="112">
        <v>0</v>
      </c>
      <c r="V115" s="80">
        <f t="shared" si="42"/>
        <v>0</v>
      </c>
    </row>
    <row r="116" spans="1:22" ht="12.75" customHeight="1">
      <c r="A116" s="40" t="s">
        <v>451</v>
      </c>
      <c r="B116" s="42"/>
      <c r="C116" s="85">
        <f>SUM(C111:C115)</f>
        <v>0</v>
      </c>
      <c r="D116" s="83">
        <f t="shared" si="33"/>
        <v>0</v>
      </c>
      <c r="E116" s="85">
        <f>SUM(E111:E115)</f>
        <v>0</v>
      </c>
      <c r="F116" s="83">
        <f t="shared" si="34"/>
        <v>0</v>
      </c>
      <c r="G116" s="85">
        <f>SUM(G111:G115)</f>
        <v>0</v>
      </c>
      <c r="H116" s="83">
        <f t="shared" si="35"/>
        <v>0</v>
      </c>
      <c r="I116" s="85">
        <f>SUM(I111:I115)</f>
        <v>0</v>
      </c>
      <c r="J116" s="83">
        <f t="shared" si="36"/>
        <v>0</v>
      </c>
      <c r="K116" s="85">
        <f>SUM(K111:K115)</f>
        <v>0</v>
      </c>
      <c r="L116" s="83">
        <f t="shared" si="37"/>
        <v>0</v>
      </c>
      <c r="M116" s="85">
        <f>SUM(M111:M115)</f>
        <v>0</v>
      </c>
      <c r="N116" s="83">
        <f t="shared" si="38"/>
        <v>0</v>
      </c>
      <c r="O116" s="85">
        <f>SUM(O111:O115)</f>
        <v>0</v>
      </c>
      <c r="P116" s="83">
        <f t="shared" si="39"/>
        <v>0</v>
      </c>
      <c r="Q116" s="85">
        <f>SUM(Q111:Q115)</f>
        <v>0</v>
      </c>
      <c r="R116" s="83">
        <f t="shared" si="40"/>
        <v>0</v>
      </c>
      <c r="S116" s="85">
        <f>SUM(S111:S115)</f>
        <v>0</v>
      </c>
      <c r="T116" s="83">
        <f t="shared" si="41"/>
        <v>0</v>
      </c>
      <c r="U116" s="85">
        <f>SUM(U111:U115)</f>
        <v>0</v>
      </c>
      <c r="V116" s="83">
        <f t="shared" si="42"/>
        <v>0</v>
      </c>
    </row>
    <row r="118" spans="1:22" ht="12.75" customHeight="1">
      <c r="A118" s="43" t="s">
        <v>452</v>
      </c>
      <c r="B118" s="43"/>
    </row>
    <row r="119" spans="1:22" ht="12.75" customHeight="1">
      <c r="A119" s="47" t="s">
        <v>453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7" tint="0.59999389629810485"/>
  </sheetPr>
  <dimension ref="A1:X149"/>
  <sheetViews>
    <sheetView zoomScale="70" zoomScaleNormal="70" workbookViewId="0" xr3:uid="{44C9DB06-433C-50F5-8210-7EB2F2901AA3}">
      <selection activeCell="E125" sqref="E125"/>
    </sheetView>
  </sheetViews>
  <sheetFormatPr defaultColWidth="9.140625" defaultRowHeight="12.75" customHeight="1"/>
  <cols>
    <col min="1" max="1" width="9.5703125" style="2" customWidth="1"/>
    <col min="2" max="2" width="45.5703125" style="2" customWidth="1"/>
    <col min="3" max="3" width="12.7109375" style="2" customWidth="1"/>
    <col min="4" max="4" width="8.7109375" style="2" customWidth="1"/>
    <col min="5" max="5" width="13.42578125" style="2" customWidth="1"/>
    <col min="6" max="6" width="8.7109375" style="2" customWidth="1"/>
    <col min="7" max="7" width="13.42578125" style="2" customWidth="1"/>
    <col min="8" max="8" width="8.7109375" style="2" customWidth="1"/>
    <col min="9" max="9" width="13.140625" style="2" customWidth="1"/>
    <col min="10" max="10" width="8.7109375" style="2" customWidth="1"/>
    <col min="11" max="11" width="13.7109375" style="2" bestFit="1" customWidth="1"/>
    <col min="12" max="12" width="8.7109375" style="2" customWidth="1"/>
    <col min="13" max="13" width="13.7109375" style="2" bestFit="1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3.14062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355</v>
      </c>
      <c r="G2" s="33" t="s">
        <v>480</v>
      </c>
      <c r="H2" s="34"/>
      <c r="I2" s="34"/>
      <c r="J2" s="34"/>
      <c r="V2" s="32"/>
    </row>
    <row r="3" spans="1:22" ht="12.75" customHeight="1">
      <c r="A3" s="1" t="s">
        <v>357</v>
      </c>
      <c r="D3" s="118" t="s">
        <v>358</v>
      </c>
      <c r="G3" s="115" t="str">
        <f>+G2</f>
        <v>Athletic Concessions / Kitchen</v>
      </c>
      <c r="H3" s="116"/>
      <c r="I3" s="116"/>
      <c r="J3" s="116"/>
      <c r="V3" s="32"/>
    </row>
    <row r="4" spans="1:22" ht="12.75" customHeight="1">
      <c r="A4" s="1" t="s">
        <v>359</v>
      </c>
      <c r="B4" s="109" t="s">
        <v>221</v>
      </c>
      <c r="D4" s="118" t="s">
        <v>360</v>
      </c>
      <c r="G4" s="115" t="s">
        <v>65</v>
      </c>
      <c r="H4" s="116"/>
      <c r="I4" s="116"/>
      <c r="J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361</v>
      </c>
      <c r="B7" s="1"/>
    </row>
    <row r="8" spans="1:22" ht="12.75" customHeight="1">
      <c r="A8" s="2" t="s">
        <v>362</v>
      </c>
      <c r="C8" s="109">
        <v>190</v>
      </c>
      <c r="E8" s="109">
        <f>+C8</f>
        <v>190</v>
      </c>
      <c r="G8" s="109">
        <f>+E8</f>
        <v>190</v>
      </c>
      <c r="I8" s="109">
        <f>+G8</f>
        <v>190</v>
      </c>
      <c r="K8" s="109">
        <f>+I8</f>
        <v>190</v>
      </c>
      <c r="M8" s="109">
        <f>+K8</f>
        <v>190</v>
      </c>
      <c r="O8" s="109">
        <f>+M8</f>
        <v>190</v>
      </c>
      <c r="Q8" s="109">
        <f>+O8</f>
        <v>190</v>
      </c>
      <c r="S8" s="109">
        <f>+Q8</f>
        <v>190</v>
      </c>
      <c r="U8" s="109">
        <f>+S8</f>
        <v>190</v>
      </c>
    </row>
    <row r="10" spans="1:22" ht="12.75" customHeight="1">
      <c r="A10" s="2" t="s">
        <v>462</v>
      </c>
      <c r="C10" s="109"/>
      <c r="E10" s="109"/>
      <c r="G10" s="109"/>
      <c r="I10" s="109"/>
      <c r="K10" s="109"/>
      <c r="M10" s="109"/>
      <c r="O10" s="109"/>
      <c r="Q10" s="109"/>
      <c r="S10" s="109"/>
      <c r="U10" s="109"/>
    </row>
    <row r="12" spans="1:22" ht="12.75" customHeight="1">
      <c r="A12" s="2" t="s">
        <v>463</v>
      </c>
      <c r="C12" s="110"/>
      <c r="E12" s="110"/>
      <c r="G12" s="110"/>
      <c r="I12" s="110"/>
      <c r="K12" s="110"/>
      <c r="M12" s="110"/>
      <c r="O12" s="110"/>
      <c r="Q12" s="110"/>
      <c r="S12" s="110"/>
      <c r="U12" s="110"/>
    </row>
    <row r="14" spans="1:22" ht="12.75" customHeight="1">
      <c r="A14" s="2" t="s">
        <v>464</v>
      </c>
      <c r="C14" s="121">
        <f>C12*C10*C8</f>
        <v>0</v>
      </c>
      <c r="E14" s="121">
        <v>475000</v>
      </c>
      <c r="G14" s="121">
        <f>+E14*1.02</f>
        <v>484500</v>
      </c>
      <c r="I14" s="121">
        <f>+G14*1.02</f>
        <v>494190</v>
      </c>
      <c r="K14" s="121">
        <f>+I14*1.02</f>
        <v>504073.8</v>
      </c>
      <c r="M14" s="121">
        <f>+K14*1.02</f>
        <v>514155.27600000001</v>
      </c>
      <c r="O14" s="121">
        <f>+M14*1.02</f>
        <v>524438.38152000005</v>
      </c>
      <c r="Q14" s="121">
        <f>+O14*1.02</f>
        <v>534927.14915040007</v>
      </c>
      <c r="S14" s="121">
        <f>+Q14*1.02</f>
        <v>545625.69213340804</v>
      </c>
      <c r="U14" s="121">
        <f>+S14*1.02</f>
        <v>556538.20597607619</v>
      </c>
    </row>
    <row r="15" spans="1:22" ht="12.75" customHeight="1">
      <c r="A15" s="39">
        <v>0.1</v>
      </c>
    </row>
    <row r="16" spans="1:22" ht="12.75" customHeight="1">
      <c r="B16" s="35"/>
      <c r="C16" s="86" t="str">
        <f>C6</f>
        <v>FY 2018-19</v>
      </c>
      <c r="D16" s="86" t="s">
        <v>366</v>
      </c>
      <c r="E16" s="86" t="str">
        <f>E6</f>
        <v>FY 2019-20</v>
      </c>
      <c r="F16" s="86" t="s">
        <v>366</v>
      </c>
      <c r="G16" s="86" t="str">
        <f>G6</f>
        <v>FY 2020-21</v>
      </c>
      <c r="H16" s="86" t="s">
        <v>366</v>
      </c>
      <c r="I16" s="86" t="str">
        <f>I6</f>
        <v>FY 2021-22</v>
      </c>
      <c r="J16" s="86" t="s">
        <v>366</v>
      </c>
      <c r="K16" s="86" t="str">
        <f>K6</f>
        <v>FY 2022-23</v>
      </c>
      <c r="L16" s="86" t="s">
        <v>366</v>
      </c>
      <c r="M16" s="86" t="str">
        <f>M6</f>
        <v>FY 2023-24</v>
      </c>
      <c r="N16" s="86" t="s">
        <v>366</v>
      </c>
      <c r="O16" s="86" t="str">
        <f>O6</f>
        <v>FY 2024-25</v>
      </c>
      <c r="P16" s="86" t="s">
        <v>366</v>
      </c>
      <c r="Q16" s="86" t="str">
        <f>Q6</f>
        <v>FY 2025-26</v>
      </c>
      <c r="R16" s="86" t="s">
        <v>366</v>
      </c>
      <c r="S16" s="86" t="str">
        <f>S6</f>
        <v>FY 2026-27</v>
      </c>
      <c r="T16" s="86" t="s">
        <v>366</v>
      </c>
      <c r="U16" s="86" t="str">
        <f>U6</f>
        <v>FY 2027-28</v>
      </c>
      <c r="V16" s="86" t="s">
        <v>366</v>
      </c>
    </row>
    <row r="17" spans="1:24" ht="12.75" customHeight="1">
      <c r="A17" s="1" t="s">
        <v>367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368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369</v>
      </c>
      <c r="B19" s="35"/>
      <c r="C19" s="200">
        <f>+C14-C20</f>
        <v>0</v>
      </c>
      <c r="D19" s="80">
        <f>IFERROR(C19/C$28,0)</f>
        <v>0</v>
      </c>
      <c r="E19" s="200">
        <f>+E14-E20</f>
        <v>475000</v>
      </c>
      <c r="F19" s="80">
        <f>IFERROR(E19/E$28,0)</f>
        <v>1</v>
      </c>
      <c r="G19" s="200">
        <f>+G14-G20</f>
        <v>484500</v>
      </c>
      <c r="H19" s="80">
        <f>IFERROR(G19/G$28,0)</f>
        <v>1</v>
      </c>
      <c r="I19" s="200">
        <f>+I14-I20</f>
        <v>494190</v>
      </c>
      <c r="J19" s="80">
        <f>IFERROR(I19/I$28,0)</f>
        <v>1</v>
      </c>
      <c r="K19" s="200">
        <f>+K14-K20</f>
        <v>504073.8</v>
      </c>
      <c r="L19" s="80">
        <f>IFERROR(K19/K$28,0)</f>
        <v>1</v>
      </c>
      <c r="M19" s="200">
        <f>+M14-M20</f>
        <v>514155.27600000001</v>
      </c>
      <c r="N19" s="80">
        <f>IFERROR(M19/M$28,0)</f>
        <v>1</v>
      </c>
      <c r="O19" s="200">
        <f>+O14-O20</f>
        <v>524438.38152000005</v>
      </c>
      <c r="P19" s="80">
        <f>IFERROR(O19/O$28,0)</f>
        <v>1</v>
      </c>
      <c r="Q19" s="200">
        <f>+Q14-Q20</f>
        <v>534927.14915040007</v>
      </c>
      <c r="R19" s="80">
        <f>IFERROR(Q19/Q$28,0)</f>
        <v>1</v>
      </c>
      <c r="S19" s="200">
        <f>+S14-S20</f>
        <v>545625.69213340804</v>
      </c>
      <c r="T19" s="80">
        <f>IFERROR(S19/S$28,0)</f>
        <v>1</v>
      </c>
      <c r="U19" s="200">
        <f>+U14-U20</f>
        <v>556538.20597607619</v>
      </c>
      <c r="V19" s="80">
        <f>IFERROR(U19/U$28,0)</f>
        <v>1</v>
      </c>
    </row>
    <row r="20" spans="1:24" ht="12.75" customHeight="1">
      <c r="A20" s="2" t="s">
        <v>370</v>
      </c>
      <c r="B20" s="35"/>
      <c r="C20" s="111">
        <f>+C14*12.38%</f>
        <v>0</v>
      </c>
      <c r="D20" s="80">
        <f>IFERROR(C20/C$28,0)</f>
        <v>0</v>
      </c>
      <c r="E20" s="111">
        <v>0</v>
      </c>
      <c r="F20" s="80">
        <f>IFERROR(E20/E$28,0)</f>
        <v>0</v>
      </c>
      <c r="G20" s="111">
        <f t="shared" ref="G20:U21" si="0">E20*1.02</f>
        <v>0</v>
      </c>
      <c r="H20" s="80">
        <f>IFERROR(G20/G$28,0)</f>
        <v>0</v>
      </c>
      <c r="I20" s="111">
        <f t="shared" si="0"/>
        <v>0</v>
      </c>
      <c r="J20" s="80">
        <f>IFERROR(I20/I$28,0)</f>
        <v>0</v>
      </c>
      <c r="K20" s="111">
        <f t="shared" si="0"/>
        <v>0</v>
      </c>
      <c r="L20" s="80">
        <f>IFERROR(K20/K$28,0)</f>
        <v>0</v>
      </c>
      <c r="M20" s="111">
        <f t="shared" si="0"/>
        <v>0</v>
      </c>
      <c r="N20" s="80">
        <f>IFERROR(M20/M$28,0)</f>
        <v>0</v>
      </c>
      <c r="O20" s="111">
        <f t="shared" si="0"/>
        <v>0</v>
      </c>
      <c r="P20" s="80">
        <f>IFERROR(O20/O$28,0)</f>
        <v>0</v>
      </c>
      <c r="Q20" s="111">
        <f t="shared" si="0"/>
        <v>0</v>
      </c>
      <c r="R20" s="80">
        <f>IFERROR(Q20/Q$28,0)</f>
        <v>0</v>
      </c>
      <c r="S20" s="111">
        <f t="shared" si="0"/>
        <v>0</v>
      </c>
      <c r="T20" s="80">
        <f>IFERROR(S20/S$28,0)</f>
        <v>0</v>
      </c>
      <c r="U20" s="111">
        <f t="shared" si="0"/>
        <v>0</v>
      </c>
      <c r="V20" s="80">
        <f>IFERROR(U20/U$28,0)</f>
        <v>0</v>
      </c>
    </row>
    <row r="21" spans="1:24" ht="12.75" customHeight="1">
      <c r="A21" s="2" t="s">
        <v>371</v>
      </c>
      <c r="B21" s="35"/>
      <c r="C21" s="111"/>
      <c r="D21" s="80">
        <f>IFERROR(C21/C$28,0)</f>
        <v>0</v>
      </c>
      <c r="E21" s="111">
        <v>0</v>
      </c>
      <c r="F21" s="80">
        <f>IFERROR(E21/E$28,0)</f>
        <v>0</v>
      </c>
      <c r="G21" s="111">
        <f t="shared" si="0"/>
        <v>0</v>
      </c>
      <c r="H21" s="80">
        <f>IFERROR(G21/G$28,0)</f>
        <v>0</v>
      </c>
      <c r="I21" s="111">
        <f t="shared" si="0"/>
        <v>0</v>
      </c>
      <c r="J21" s="80">
        <f>IFERROR(I21/I$28,0)</f>
        <v>0</v>
      </c>
      <c r="K21" s="111">
        <f t="shared" si="0"/>
        <v>0</v>
      </c>
      <c r="L21" s="80">
        <f>IFERROR(K21/K$28,0)</f>
        <v>0</v>
      </c>
      <c r="M21" s="111">
        <f t="shared" si="0"/>
        <v>0</v>
      </c>
      <c r="N21" s="80">
        <f>IFERROR(M21/M$28,0)</f>
        <v>0</v>
      </c>
      <c r="O21" s="111">
        <f t="shared" si="0"/>
        <v>0</v>
      </c>
      <c r="P21" s="80">
        <f>IFERROR(O21/O$28,0)</f>
        <v>0</v>
      </c>
      <c r="Q21" s="111">
        <f t="shared" si="0"/>
        <v>0</v>
      </c>
      <c r="R21" s="80">
        <f>IFERROR(Q21/Q$28,0)</f>
        <v>0</v>
      </c>
      <c r="S21" s="111">
        <f t="shared" si="0"/>
        <v>0</v>
      </c>
      <c r="T21" s="80">
        <f>IFERROR(S21/S$28,0)</f>
        <v>0</v>
      </c>
      <c r="U21" s="111">
        <f t="shared" si="0"/>
        <v>0</v>
      </c>
      <c r="V21" s="80">
        <f>IFERROR(U21/U$28,0)</f>
        <v>0</v>
      </c>
    </row>
    <row r="22" spans="1:24" ht="12.75" customHeight="1">
      <c r="A22" s="2" t="s">
        <v>372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373</v>
      </c>
      <c r="B23" s="123"/>
      <c r="C23" s="79"/>
      <c r="D23" s="80">
        <f t="shared" ref="D23:D28" si="1">IFERROR(C23/C$28,0)</f>
        <v>0</v>
      </c>
      <c r="E23" s="79"/>
      <c r="F23" s="80">
        <f t="shared" ref="F23:F28" si="2">IFERROR(E23/E$28,0)</f>
        <v>0</v>
      </c>
      <c r="G23" s="79"/>
      <c r="H23" s="80">
        <f t="shared" ref="H23:H28" si="3">IFERROR(G23/G$28,0)</f>
        <v>0</v>
      </c>
      <c r="I23" s="79"/>
      <c r="J23" s="80">
        <f t="shared" ref="J23:J28" si="4">IFERROR(I23/I$28,0)</f>
        <v>0</v>
      </c>
      <c r="K23" s="79"/>
      <c r="L23" s="80">
        <f t="shared" ref="L23:L28" si="5">IFERROR(K23/K$28,0)</f>
        <v>0</v>
      </c>
      <c r="M23" s="79"/>
      <c r="N23" s="80">
        <f t="shared" ref="N23:N28" si="6">IFERROR(M23/M$28,0)</f>
        <v>0</v>
      </c>
      <c r="O23" s="79"/>
      <c r="P23" s="80">
        <f t="shared" ref="P23:P28" si="7">IFERROR(O23/O$28,0)</f>
        <v>0</v>
      </c>
      <c r="Q23" s="79"/>
      <c r="R23" s="80">
        <f t="shared" ref="R23:R28" si="8">IFERROR(Q23/Q$28,0)</f>
        <v>0</v>
      </c>
      <c r="S23" s="79"/>
      <c r="T23" s="80">
        <f t="shared" ref="T23:T28" si="9">IFERROR(S23/S$28,0)</f>
        <v>0</v>
      </c>
      <c r="U23" s="79"/>
      <c r="V23" s="80">
        <f t="shared" ref="V23:V28" si="10">IFERROR(U23/U$28,0)</f>
        <v>0</v>
      </c>
    </row>
    <row r="24" spans="1:24" ht="12.75" customHeight="1">
      <c r="A24" s="122" t="s">
        <v>374</v>
      </c>
      <c r="B24" s="123"/>
      <c r="C24" s="79"/>
      <c r="D24" s="80">
        <f t="shared" si="1"/>
        <v>0</v>
      </c>
      <c r="E24" s="79"/>
      <c r="F24" s="80">
        <f t="shared" si="2"/>
        <v>0</v>
      </c>
      <c r="G24" s="79"/>
      <c r="H24" s="80">
        <f t="shared" si="3"/>
        <v>0</v>
      </c>
      <c r="I24" s="79"/>
      <c r="J24" s="80">
        <f t="shared" si="4"/>
        <v>0</v>
      </c>
      <c r="K24" s="79"/>
      <c r="L24" s="80">
        <f t="shared" si="5"/>
        <v>0</v>
      </c>
      <c r="M24" s="79"/>
      <c r="N24" s="80">
        <f t="shared" si="6"/>
        <v>0</v>
      </c>
      <c r="O24" s="79"/>
      <c r="P24" s="80">
        <f t="shared" si="7"/>
        <v>0</v>
      </c>
      <c r="Q24" s="79"/>
      <c r="R24" s="80">
        <f t="shared" si="8"/>
        <v>0</v>
      </c>
      <c r="S24" s="79"/>
      <c r="T24" s="80">
        <f t="shared" si="9"/>
        <v>0</v>
      </c>
      <c r="U24" s="79"/>
      <c r="V24" s="80">
        <f t="shared" si="10"/>
        <v>0</v>
      </c>
      <c r="X24" s="79"/>
    </row>
    <row r="25" spans="1:24" ht="12.75" customHeight="1">
      <c r="A25" s="2" t="s">
        <v>375</v>
      </c>
      <c r="B25" s="35"/>
      <c r="C25" s="111"/>
      <c r="D25" s="80">
        <f t="shared" si="1"/>
        <v>0</v>
      </c>
      <c r="E25" s="111"/>
      <c r="F25" s="80">
        <f t="shared" si="2"/>
        <v>0</v>
      </c>
      <c r="G25" s="111"/>
      <c r="H25" s="80">
        <f t="shared" si="3"/>
        <v>0</v>
      </c>
      <c r="I25" s="111"/>
      <c r="J25" s="80">
        <f t="shared" si="4"/>
        <v>0</v>
      </c>
      <c r="K25" s="111"/>
      <c r="L25" s="80">
        <f t="shared" si="5"/>
        <v>0</v>
      </c>
      <c r="M25" s="111"/>
      <c r="N25" s="80">
        <f t="shared" si="6"/>
        <v>0</v>
      </c>
      <c r="O25" s="111"/>
      <c r="P25" s="80">
        <f t="shared" si="7"/>
        <v>0</v>
      </c>
      <c r="Q25" s="111"/>
      <c r="R25" s="80">
        <f t="shared" si="8"/>
        <v>0</v>
      </c>
      <c r="S25" s="111"/>
      <c r="T25" s="80">
        <f t="shared" si="9"/>
        <v>0</v>
      </c>
      <c r="U25" s="111"/>
      <c r="V25" s="80">
        <f t="shared" si="10"/>
        <v>0</v>
      </c>
      <c r="X25" s="79"/>
    </row>
    <row r="26" spans="1:24" ht="12.75" customHeight="1">
      <c r="A26" s="122" t="s">
        <v>376</v>
      </c>
      <c r="B26" s="35"/>
      <c r="C26" s="79"/>
      <c r="D26" s="80">
        <f t="shared" si="1"/>
        <v>0</v>
      </c>
      <c r="E26" s="79"/>
      <c r="F26" s="80">
        <f t="shared" si="2"/>
        <v>0</v>
      </c>
      <c r="G26" s="79"/>
      <c r="H26" s="80">
        <f t="shared" si="3"/>
        <v>0</v>
      </c>
      <c r="I26" s="79"/>
      <c r="J26" s="80">
        <f t="shared" si="4"/>
        <v>0</v>
      </c>
      <c r="K26" s="79"/>
      <c r="L26" s="80">
        <f t="shared" si="5"/>
        <v>0</v>
      </c>
      <c r="M26" s="79"/>
      <c r="N26" s="80">
        <f t="shared" si="6"/>
        <v>0</v>
      </c>
      <c r="O26" s="79"/>
      <c r="P26" s="80">
        <f t="shared" si="7"/>
        <v>0</v>
      </c>
      <c r="Q26" s="79"/>
      <c r="R26" s="80">
        <f t="shared" si="8"/>
        <v>0</v>
      </c>
      <c r="S26" s="79"/>
      <c r="T26" s="80">
        <f t="shared" si="9"/>
        <v>0</v>
      </c>
      <c r="U26" s="79"/>
      <c r="V26" s="80">
        <f t="shared" si="10"/>
        <v>0</v>
      </c>
    </row>
    <row r="27" spans="1:24" ht="12.75" customHeight="1">
      <c r="A27" s="2" t="s">
        <v>377</v>
      </c>
      <c r="B27" s="35"/>
      <c r="C27" s="112"/>
      <c r="D27" s="80">
        <f t="shared" si="1"/>
        <v>0</v>
      </c>
      <c r="E27" s="112"/>
      <c r="F27" s="80">
        <f t="shared" si="2"/>
        <v>0</v>
      </c>
      <c r="G27" s="112"/>
      <c r="H27" s="80">
        <f t="shared" si="3"/>
        <v>0</v>
      </c>
      <c r="I27" s="112"/>
      <c r="J27" s="80">
        <f t="shared" si="4"/>
        <v>0</v>
      </c>
      <c r="K27" s="112"/>
      <c r="L27" s="80">
        <f t="shared" si="5"/>
        <v>0</v>
      </c>
      <c r="M27" s="112"/>
      <c r="N27" s="80">
        <f t="shared" si="6"/>
        <v>0</v>
      </c>
      <c r="O27" s="112"/>
      <c r="P27" s="80">
        <f t="shared" si="7"/>
        <v>0</v>
      </c>
      <c r="Q27" s="112"/>
      <c r="R27" s="80">
        <f t="shared" si="8"/>
        <v>0</v>
      </c>
      <c r="S27" s="112"/>
      <c r="T27" s="80">
        <f t="shared" si="9"/>
        <v>0</v>
      </c>
      <c r="U27" s="112"/>
      <c r="V27" s="80">
        <f t="shared" si="10"/>
        <v>0</v>
      </c>
    </row>
    <row r="28" spans="1:24" ht="12.75" customHeight="1">
      <c r="A28" s="1" t="s">
        <v>378</v>
      </c>
      <c r="B28" s="53"/>
      <c r="C28" s="82">
        <f>SUM(C19:C27)</f>
        <v>0</v>
      </c>
      <c r="D28" s="83">
        <f t="shared" si="1"/>
        <v>0</v>
      </c>
      <c r="E28" s="82">
        <f>SUM(E19:E27)</f>
        <v>475000</v>
      </c>
      <c r="F28" s="83">
        <f t="shared" si="2"/>
        <v>1</v>
      </c>
      <c r="G28" s="82">
        <f>SUM(G19:G27)</f>
        <v>484500</v>
      </c>
      <c r="H28" s="83">
        <f t="shared" si="3"/>
        <v>1</v>
      </c>
      <c r="I28" s="82">
        <f>SUM(I19:I27)</f>
        <v>494190</v>
      </c>
      <c r="J28" s="83">
        <f t="shared" si="4"/>
        <v>1</v>
      </c>
      <c r="K28" s="82">
        <f>SUM(K19:K27)</f>
        <v>504073.8</v>
      </c>
      <c r="L28" s="83">
        <f t="shared" si="5"/>
        <v>1</v>
      </c>
      <c r="M28" s="82">
        <f>SUM(M19:M27)</f>
        <v>514155.27600000001</v>
      </c>
      <c r="N28" s="83">
        <f t="shared" si="6"/>
        <v>1</v>
      </c>
      <c r="O28" s="82">
        <f>SUM(O19:O27)</f>
        <v>524438.38152000005</v>
      </c>
      <c r="P28" s="83">
        <f t="shared" si="7"/>
        <v>1</v>
      </c>
      <c r="Q28" s="82">
        <f>SUM(Q19:Q27)</f>
        <v>534927.14915040007</v>
      </c>
      <c r="R28" s="83">
        <f t="shared" si="8"/>
        <v>1</v>
      </c>
      <c r="S28" s="82">
        <f>SUM(S19:S27)</f>
        <v>545625.69213340804</v>
      </c>
      <c r="T28" s="83">
        <f t="shared" si="9"/>
        <v>1</v>
      </c>
      <c r="U28" s="82">
        <f>SUM(U19:U27)</f>
        <v>556538.20597607619</v>
      </c>
      <c r="V28" s="83">
        <f t="shared" si="10"/>
        <v>1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379</v>
      </c>
      <c r="B30" s="53"/>
      <c r="C30" s="197">
        <v>0.34</v>
      </c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380</v>
      </c>
      <c r="B31" s="35"/>
      <c r="C31" s="178">
        <f>$C$30*C14</f>
        <v>0</v>
      </c>
      <c r="D31" s="80">
        <f>IFERROR(C31/C$28,0)</f>
        <v>0</v>
      </c>
      <c r="E31" s="178">
        <f>$C$30*E14</f>
        <v>161500</v>
      </c>
      <c r="F31" s="80">
        <f>IFERROR(E31/E$28,0)</f>
        <v>0.34</v>
      </c>
      <c r="G31" s="178">
        <f>$C$30*G14</f>
        <v>164730</v>
      </c>
      <c r="H31" s="80">
        <f>IFERROR(G31/G$28,0)</f>
        <v>0.34</v>
      </c>
      <c r="I31" s="178">
        <f>$C$30*I14</f>
        <v>168024.6</v>
      </c>
      <c r="J31" s="80">
        <f>IFERROR(I31/I$28,0)</f>
        <v>0.34</v>
      </c>
      <c r="K31" s="178">
        <f>$C$30*K14</f>
        <v>171385.092</v>
      </c>
      <c r="L31" s="80">
        <f>IFERROR(K31/K$28,0)</f>
        <v>0.34</v>
      </c>
      <c r="M31" s="178">
        <f>$C$30*M14</f>
        <v>174812.79384000003</v>
      </c>
      <c r="N31" s="80">
        <f>IFERROR(M31/M$28,0)</f>
        <v>0.34</v>
      </c>
      <c r="O31" s="178">
        <f>$C$30*O14</f>
        <v>178309.04971680004</v>
      </c>
      <c r="P31" s="80">
        <f>IFERROR(O31/O$28,0)</f>
        <v>0.34</v>
      </c>
      <c r="Q31" s="178">
        <f>$C$30*Q14</f>
        <v>181875.23071113604</v>
      </c>
      <c r="R31" s="80">
        <f>IFERROR(Q31/Q$28,0)</f>
        <v>0.34</v>
      </c>
      <c r="S31" s="178">
        <f>$C$30*S14</f>
        <v>185512.73532535875</v>
      </c>
      <c r="T31" s="80">
        <f>IFERROR(S31/S$28,0)</f>
        <v>0.34</v>
      </c>
      <c r="U31" s="178">
        <f>$C$30*U14</f>
        <v>189222.99003186592</v>
      </c>
      <c r="V31" s="80">
        <f>IFERROR(U31/U$28,0)</f>
        <v>0.34</v>
      </c>
    </row>
    <row r="32" spans="1:24" ht="12.75" customHeight="1">
      <c r="A32" s="8" t="s">
        <v>381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382</v>
      </c>
      <c r="B33" s="53"/>
      <c r="C33" s="82">
        <f>SUM(C31:C32)</f>
        <v>0</v>
      </c>
      <c r="D33" s="83">
        <f>IFERROR(C33/C$28,0)</f>
        <v>0</v>
      </c>
      <c r="E33" s="82">
        <f>SUM(E31:E32)</f>
        <v>161500</v>
      </c>
      <c r="F33" s="83">
        <f>IFERROR(E33/E$28,0)</f>
        <v>0.34</v>
      </c>
      <c r="G33" s="82">
        <f>SUM(G31:G32)</f>
        <v>164730</v>
      </c>
      <c r="H33" s="83">
        <f>IFERROR(G33/G$28,0)</f>
        <v>0.34</v>
      </c>
      <c r="I33" s="82">
        <f>SUM(I31:I32)</f>
        <v>168024.6</v>
      </c>
      <c r="J33" s="83">
        <f>IFERROR(I33/I$28,0)</f>
        <v>0.34</v>
      </c>
      <c r="K33" s="82">
        <f>SUM(K31:K32)</f>
        <v>171385.092</v>
      </c>
      <c r="L33" s="83">
        <f>IFERROR(K33/K$28,0)</f>
        <v>0.34</v>
      </c>
      <c r="M33" s="82">
        <f>SUM(M31:M32)</f>
        <v>174812.79384000003</v>
      </c>
      <c r="N33" s="83">
        <f>IFERROR(M33/M$28,0)</f>
        <v>0.34</v>
      </c>
      <c r="O33" s="82">
        <f>SUM(O31:O32)</f>
        <v>178309.04971680004</v>
      </c>
      <c r="P33" s="83">
        <f>IFERROR(O33/O$28,0)</f>
        <v>0.34</v>
      </c>
      <c r="Q33" s="82">
        <f>SUM(Q31:Q32)</f>
        <v>181875.23071113604</v>
      </c>
      <c r="R33" s="83">
        <f>IFERROR(Q33/Q$28,0)</f>
        <v>0.34</v>
      </c>
      <c r="S33" s="82">
        <f>SUM(S31:S32)</f>
        <v>185512.73532535875</v>
      </c>
      <c r="T33" s="83">
        <f>IFERROR(S33/S$28,0)</f>
        <v>0.34</v>
      </c>
      <c r="U33" s="82">
        <f>SUM(U31:U32)</f>
        <v>189222.99003186592</v>
      </c>
      <c r="V33" s="83">
        <f>IFERROR(U33/U$28,0)</f>
        <v>0.34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383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384</v>
      </c>
      <c r="B36" s="35"/>
      <c r="C36" s="113"/>
      <c r="D36" s="80">
        <f t="shared" ref="D36:D46" si="11">IFERROR(C36/C$28,0)</f>
        <v>0</v>
      </c>
      <c r="E36" s="178">
        <v>55000</v>
      </c>
      <c r="F36" s="80">
        <f t="shared" ref="F36:F46" si="12">IFERROR(E36/E$28,0)</f>
        <v>0.11578947368421053</v>
      </c>
      <c r="G36" s="178">
        <f>+E36*1.025</f>
        <v>56374.999999999993</v>
      </c>
      <c r="H36" s="80">
        <f t="shared" ref="H36:H46" si="13">IFERROR(G36/G$28,0)</f>
        <v>0.11635706914344683</v>
      </c>
      <c r="I36" s="178">
        <f>+G36*1.025</f>
        <v>57784.374999999985</v>
      </c>
      <c r="J36" s="80">
        <f t="shared" ref="J36:J46" si="14">IFERROR(I36/I$28,0)</f>
        <v>0.11692744693336568</v>
      </c>
      <c r="K36" s="178">
        <f>+I36*1.025</f>
        <v>59228.984374999978</v>
      </c>
      <c r="L36" s="80">
        <f t="shared" ref="L36:L46" si="15">IFERROR(K36/K$28,0)</f>
        <v>0.11750062069284295</v>
      </c>
      <c r="M36" s="178">
        <f>+K36*1.025</f>
        <v>60709.708984374971</v>
      </c>
      <c r="N36" s="80">
        <f t="shared" ref="N36:N46" si="16">IFERROR(M36/M$28,0)</f>
        <v>0.11807660412761177</v>
      </c>
      <c r="O36" s="178">
        <f>+M36*1.025</f>
        <v>62227.451708984343</v>
      </c>
      <c r="P36" s="80">
        <f t="shared" ref="P36:P46" si="17">IFERROR(O36/O$28,0)</f>
        <v>0.11865541101059025</v>
      </c>
      <c r="Q36" s="178">
        <f>+O36*1.025</f>
        <v>63783.138001708947</v>
      </c>
      <c r="R36" s="80">
        <f t="shared" ref="R36:R46" si="18">IFERROR(Q36/Q$28,0)</f>
        <v>0.11923705518221077</v>
      </c>
      <c r="S36" s="178">
        <f>+Q36*1.025</f>
        <v>65377.716451751665</v>
      </c>
      <c r="T36" s="80">
        <f t="shared" ref="T36:T46" si="19">IFERROR(S36/S$28,0)</f>
        <v>0.11982155055075103</v>
      </c>
      <c r="U36" s="178">
        <f>+S36*1.025</f>
        <v>67012.159363045444</v>
      </c>
      <c r="V36" s="80">
        <f t="shared" ref="V36:V46" si="20">IFERROR(U36/U$28,0)</f>
        <v>0.12040891109266645</v>
      </c>
    </row>
    <row r="37" spans="1:22" ht="12.75" customHeight="1">
      <c r="A37" s="2" t="s">
        <v>385</v>
      </c>
      <c r="B37" s="35"/>
      <c r="C37" s="113"/>
      <c r="D37" s="80">
        <f t="shared" si="11"/>
        <v>0</v>
      </c>
      <c r="E37" s="178">
        <v>100000</v>
      </c>
      <c r="F37" s="80">
        <f t="shared" si="12"/>
        <v>0.21052631578947367</v>
      </c>
      <c r="G37" s="178">
        <f>+E37*1.035-50000</f>
        <v>53499.999999999985</v>
      </c>
      <c r="H37" s="80">
        <f t="shared" si="13"/>
        <v>0.11042311661506705</v>
      </c>
      <c r="I37" s="178">
        <f>+G37*1.032</f>
        <v>55211.999999999985</v>
      </c>
      <c r="J37" s="80">
        <f t="shared" si="14"/>
        <v>0.11172221210465608</v>
      </c>
      <c r="K37" s="178">
        <f>+I37*1.025</f>
        <v>56592.299999999981</v>
      </c>
      <c r="L37" s="80">
        <f t="shared" si="15"/>
        <v>0.11226987000712987</v>
      </c>
      <c r="M37" s="178">
        <f>+K37*1.025</f>
        <v>58007.107499999976</v>
      </c>
      <c r="N37" s="80">
        <f t="shared" si="16"/>
        <v>0.11282021250716481</v>
      </c>
      <c r="O37" s="178">
        <f>+M37*1.025</f>
        <v>59457.285187499969</v>
      </c>
      <c r="P37" s="80">
        <f t="shared" si="17"/>
        <v>0.11337325276455285</v>
      </c>
      <c r="Q37" s="178">
        <f>+O37*1.025</f>
        <v>60943.71731718746</v>
      </c>
      <c r="R37" s="80">
        <f t="shared" si="18"/>
        <v>0.11392900400359476</v>
      </c>
      <c r="S37" s="178">
        <f>+Q37*1.025</f>
        <v>62467.310250117138</v>
      </c>
      <c r="T37" s="80">
        <f t="shared" si="19"/>
        <v>0.1144874795134163</v>
      </c>
      <c r="U37" s="178">
        <f>+S37*1.025</f>
        <v>64028.993006370059</v>
      </c>
      <c r="V37" s="80">
        <f t="shared" si="20"/>
        <v>0.11504869264828597</v>
      </c>
    </row>
    <row r="38" spans="1:22" ht="12.75" customHeight="1">
      <c r="A38" s="2" t="s">
        <v>386</v>
      </c>
      <c r="B38" s="35"/>
      <c r="C38" s="113"/>
      <c r="D38" s="80">
        <f t="shared" si="11"/>
        <v>0</v>
      </c>
      <c r="E38" s="178">
        <v>47000</v>
      </c>
      <c r="F38" s="80">
        <f t="shared" si="12"/>
        <v>9.8947368421052631E-2</v>
      </c>
      <c r="G38" s="178">
        <f>+E38*1.035-20000</f>
        <v>28644.999999999993</v>
      </c>
      <c r="H38" s="80">
        <f t="shared" si="13"/>
        <v>5.9122807017543848E-2</v>
      </c>
      <c r="I38" s="178">
        <f>+G38*1.032</f>
        <v>29561.639999999992</v>
      </c>
      <c r="J38" s="80">
        <f t="shared" si="14"/>
        <v>5.9818369453044362E-2</v>
      </c>
      <c r="K38" s="178">
        <f>+I38*1.025</f>
        <v>30300.68099999999</v>
      </c>
      <c r="L38" s="80">
        <f t="shared" si="15"/>
        <v>6.011159675428477E-2</v>
      </c>
      <c r="M38" s="178">
        <f>+K38*1.025</f>
        <v>31058.198024999987</v>
      </c>
      <c r="N38" s="80">
        <f t="shared" si="16"/>
        <v>6.0406261444256745E-2</v>
      </c>
      <c r="O38" s="178">
        <f>+M38*1.025</f>
        <v>31834.652975624984</v>
      </c>
      <c r="P38" s="80">
        <f t="shared" si="17"/>
        <v>6.0702370568983484E-2</v>
      </c>
      <c r="Q38" s="178">
        <f>+O38*1.025</f>
        <v>32630.519300015607</v>
      </c>
      <c r="R38" s="80">
        <f t="shared" si="18"/>
        <v>6.0999931209027518E-2</v>
      </c>
      <c r="S38" s="178">
        <f>+Q38*1.025</f>
        <v>33446.282282515996</v>
      </c>
      <c r="T38" s="80">
        <f t="shared" si="19"/>
        <v>6.1298950479660011E-2</v>
      </c>
      <c r="U38" s="178">
        <f>+S38*1.025</f>
        <v>34282.439339578894</v>
      </c>
      <c r="V38" s="80">
        <f t="shared" si="20"/>
        <v>6.1599435531030887E-2</v>
      </c>
    </row>
    <row r="39" spans="1:22" ht="12.75" customHeight="1">
      <c r="A39" s="2" t="s">
        <v>387</v>
      </c>
      <c r="B39" s="35"/>
      <c r="C39" s="113"/>
      <c r="D39" s="80">
        <f t="shared" si="11"/>
        <v>0</v>
      </c>
      <c r="E39" s="178">
        <v>20000</v>
      </c>
      <c r="F39" s="80">
        <f t="shared" si="12"/>
        <v>4.2105263157894736E-2</v>
      </c>
      <c r="G39" s="178">
        <f>+E39*1.035</f>
        <v>20700</v>
      </c>
      <c r="H39" s="80">
        <f t="shared" si="13"/>
        <v>4.2724458204334369E-2</v>
      </c>
      <c r="I39" s="178">
        <f>+G39*1.032</f>
        <v>21362.400000000001</v>
      </c>
      <c r="J39" s="80">
        <f t="shared" si="14"/>
        <v>4.3227098889091244E-2</v>
      </c>
      <c r="K39" s="178">
        <f>+I39*1.025</f>
        <v>21896.46</v>
      </c>
      <c r="L39" s="80">
        <f t="shared" si="15"/>
        <v>4.3438996432665217E-2</v>
      </c>
      <c r="M39" s="178">
        <f>+K39*1.025</f>
        <v>22443.871499999997</v>
      </c>
      <c r="N39" s="80">
        <f t="shared" si="16"/>
        <v>4.3651932689688082E-2</v>
      </c>
      <c r="O39" s="178">
        <f>+M39*1.025</f>
        <v>23004.968287499996</v>
      </c>
      <c r="P39" s="80">
        <f t="shared" si="17"/>
        <v>4.386591275189243E-2</v>
      </c>
      <c r="Q39" s="178">
        <f>+O39*1.025</f>
        <v>23580.092494687495</v>
      </c>
      <c r="R39" s="80">
        <f t="shared" si="18"/>
        <v>4.4080941735970325E-2</v>
      </c>
      <c r="S39" s="178">
        <f>+Q39*1.025</f>
        <v>24169.59480705468</v>
      </c>
      <c r="T39" s="80">
        <f t="shared" si="19"/>
        <v>4.4297024783695668E-2</v>
      </c>
      <c r="U39" s="178">
        <f>+S39*1.025</f>
        <v>24773.834677231043</v>
      </c>
      <c r="V39" s="80">
        <f t="shared" si="20"/>
        <v>4.4514167062047118E-2</v>
      </c>
    </row>
    <row r="40" spans="1:22" ht="12.75" customHeight="1">
      <c r="A40" s="2" t="s">
        <v>388</v>
      </c>
      <c r="B40" s="35"/>
      <c r="C40" s="113">
        <f>C36*0.124</f>
        <v>0</v>
      </c>
      <c r="D40" s="80">
        <f t="shared" si="11"/>
        <v>0</v>
      </c>
      <c r="E40" s="178">
        <f>E36*0.124</f>
        <v>6820</v>
      </c>
      <c r="F40" s="80">
        <f t="shared" si="12"/>
        <v>1.4357894736842106E-2</v>
      </c>
      <c r="G40" s="178">
        <f>G36*0.124</f>
        <v>6990.4999999999991</v>
      </c>
      <c r="H40" s="80">
        <f t="shared" si="13"/>
        <v>1.4428276573787409E-2</v>
      </c>
      <c r="I40" s="178">
        <f>I36*0.124</f>
        <v>7165.262499999998</v>
      </c>
      <c r="J40" s="80">
        <f t="shared" si="14"/>
        <v>1.4499003419737344E-2</v>
      </c>
      <c r="K40" s="178">
        <f>K36*0.124</f>
        <v>7344.3940624999968</v>
      </c>
      <c r="L40" s="80">
        <f t="shared" si="15"/>
        <v>1.4570076965912525E-2</v>
      </c>
      <c r="M40" s="178">
        <f>M36*0.124</f>
        <v>7528.0039140624967</v>
      </c>
      <c r="N40" s="80">
        <f t="shared" si="16"/>
        <v>1.4641498911823861E-2</v>
      </c>
      <c r="O40" s="178">
        <f>O36*0.124</f>
        <v>7716.2040119140584</v>
      </c>
      <c r="P40" s="80">
        <f t="shared" si="17"/>
        <v>1.4713270965313191E-2</v>
      </c>
      <c r="Q40" s="178">
        <f>Q36*0.124</f>
        <v>7909.1091122119096</v>
      </c>
      <c r="R40" s="80">
        <f t="shared" si="18"/>
        <v>1.4785394842594137E-2</v>
      </c>
      <c r="S40" s="178">
        <f>S36*0.124</f>
        <v>8106.8368400172067</v>
      </c>
      <c r="T40" s="80">
        <f t="shared" si="19"/>
        <v>1.4857872268293127E-2</v>
      </c>
      <c r="U40" s="178">
        <f>U36*0.124</f>
        <v>8309.5077610176359</v>
      </c>
      <c r="V40" s="80">
        <f t="shared" si="20"/>
        <v>1.4930704975490641E-2</v>
      </c>
    </row>
    <row r="41" spans="1:22" ht="12.75" customHeight="1">
      <c r="A41" s="2" t="s">
        <v>389</v>
      </c>
      <c r="B41" s="35"/>
      <c r="C41" s="113">
        <f>C37*0.124</f>
        <v>0</v>
      </c>
      <c r="D41" s="80">
        <f t="shared" si="11"/>
        <v>0</v>
      </c>
      <c r="E41" s="178">
        <f>E37*0.124</f>
        <v>12400</v>
      </c>
      <c r="F41" s="80">
        <f t="shared" si="12"/>
        <v>2.6105263157894736E-2</v>
      </c>
      <c r="G41" s="178">
        <f>G37*0.124</f>
        <v>6633.9999999999982</v>
      </c>
      <c r="H41" s="80">
        <f t="shared" si="13"/>
        <v>1.3692466460268313E-2</v>
      </c>
      <c r="I41" s="178">
        <f>I37*0.124</f>
        <v>6846.2879999999977</v>
      </c>
      <c r="J41" s="80">
        <f t="shared" si="14"/>
        <v>1.3853554300977353E-2</v>
      </c>
      <c r="K41" s="178">
        <f>K37*0.124</f>
        <v>7017.4451999999974</v>
      </c>
      <c r="L41" s="80">
        <f t="shared" si="15"/>
        <v>1.3921463880884104E-2</v>
      </c>
      <c r="M41" s="178">
        <f>M37*0.124</f>
        <v>7192.8813299999974</v>
      </c>
      <c r="N41" s="80">
        <f t="shared" si="16"/>
        <v>1.3989706350888437E-2</v>
      </c>
      <c r="O41" s="178">
        <f>O37*0.124</f>
        <v>7372.7033632499961</v>
      </c>
      <c r="P41" s="80">
        <f t="shared" si="17"/>
        <v>1.4058283342804553E-2</v>
      </c>
      <c r="Q41" s="178">
        <f>Q37*0.124</f>
        <v>7557.0209473312452</v>
      </c>
      <c r="R41" s="80">
        <f t="shared" si="18"/>
        <v>1.4127196496445751E-2</v>
      </c>
      <c r="S41" s="178">
        <f>S37*0.124</f>
        <v>7745.9464710145248</v>
      </c>
      <c r="T41" s="80">
        <f t="shared" si="19"/>
        <v>1.4196447459663621E-2</v>
      </c>
      <c r="U41" s="178">
        <f>U37*0.124</f>
        <v>7939.5951327898874</v>
      </c>
      <c r="V41" s="80">
        <f t="shared" si="20"/>
        <v>1.426603788838746E-2</v>
      </c>
    </row>
    <row r="42" spans="1:22" ht="12.75" customHeight="1">
      <c r="A42" s="2" t="s">
        <v>390</v>
      </c>
      <c r="B42" s="35"/>
      <c r="C42" s="113"/>
      <c r="D42" s="80">
        <f t="shared" si="11"/>
        <v>0</v>
      </c>
      <c r="E42" s="178"/>
      <c r="F42" s="80">
        <f t="shared" si="12"/>
        <v>0</v>
      </c>
      <c r="G42" s="178"/>
      <c r="H42" s="80">
        <f t="shared" si="13"/>
        <v>0</v>
      </c>
      <c r="I42" s="178"/>
      <c r="J42" s="80">
        <f t="shared" si="14"/>
        <v>0</v>
      </c>
      <c r="K42" s="178"/>
      <c r="L42" s="80">
        <f t="shared" si="15"/>
        <v>0</v>
      </c>
      <c r="M42" s="178"/>
      <c r="N42" s="80">
        <f t="shared" si="16"/>
        <v>0</v>
      </c>
      <c r="O42" s="178"/>
      <c r="P42" s="80">
        <f t="shared" si="17"/>
        <v>0</v>
      </c>
      <c r="Q42" s="178"/>
      <c r="R42" s="80">
        <f t="shared" si="18"/>
        <v>0</v>
      </c>
      <c r="S42" s="178"/>
      <c r="T42" s="80">
        <f t="shared" si="19"/>
        <v>0</v>
      </c>
      <c r="U42" s="178"/>
      <c r="V42" s="80">
        <f t="shared" si="20"/>
        <v>0</v>
      </c>
    </row>
    <row r="43" spans="1:22" ht="12.75" customHeight="1">
      <c r="A43" s="2" t="s">
        <v>391</v>
      </c>
      <c r="B43" s="35"/>
      <c r="C43" s="113"/>
      <c r="D43" s="80">
        <f t="shared" si="11"/>
        <v>0</v>
      </c>
      <c r="E43" s="178"/>
      <c r="F43" s="80">
        <f t="shared" si="12"/>
        <v>0</v>
      </c>
      <c r="G43" s="178"/>
      <c r="H43" s="80">
        <f t="shared" si="13"/>
        <v>0</v>
      </c>
      <c r="I43" s="178"/>
      <c r="J43" s="80">
        <f t="shared" si="14"/>
        <v>0</v>
      </c>
      <c r="K43" s="178"/>
      <c r="L43" s="80">
        <f t="shared" si="15"/>
        <v>0</v>
      </c>
      <c r="M43" s="178"/>
      <c r="N43" s="80">
        <f t="shared" si="16"/>
        <v>0</v>
      </c>
      <c r="O43" s="178"/>
      <c r="P43" s="80">
        <f t="shared" si="17"/>
        <v>0</v>
      </c>
      <c r="Q43" s="178"/>
      <c r="R43" s="80">
        <f t="shared" si="18"/>
        <v>0</v>
      </c>
      <c r="S43" s="178"/>
      <c r="T43" s="80">
        <f t="shared" si="19"/>
        <v>0</v>
      </c>
      <c r="U43" s="178"/>
      <c r="V43" s="80">
        <f t="shared" si="20"/>
        <v>0</v>
      </c>
    </row>
    <row r="44" spans="1:22" ht="12.75" customHeight="1">
      <c r="A44" s="2" t="s">
        <v>392</v>
      </c>
      <c r="B44" s="35"/>
      <c r="C44" s="113"/>
      <c r="D44" s="80">
        <f t="shared" si="11"/>
        <v>0</v>
      </c>
      <c r="E44" s="178"/>
      <c r="F44" s="80">
        <f t="shared" si="12"/>
        <v>0</v>
      </c>
      <c r="G44" s="178"/>
      <c r="H44" s="80">
        <f t="shared" si="13"/>
        <v>0</v>
      </c>
      <c r="I44" s="178"/>
      <c r="J44" s="80">
        <f t="shared" si="14"/>
        <v>0</v>
      </c>
      <c r="K44" s="178"/>
      <c r="L44" s="80">
        <f t="shared" si="15"/>
        <v>0</v>
      </c>
      <c r="M44" s="178"/>
      <c r="N44" s="80">
        <f t="shared" si="16"/>
        <v>0</v>
      </c>
      <c r="O44" s="178"/>
      <c r="P44" s="80">
        <f t="shared" si="17"/>
        <v>0</v>
      </c>
      <c r="Q44" s="178"/>
      <c r="R44" s="80">
        <f t="shared" si="18"/>
        <v>0</v>
      </c>
      <c r="S44" s="178"/>
      <c r="T44" s="80">
        <f t="shared" si="19"/>
        <v>0</v>
      </c>
      <c r="U44" s="178"/>
      <c r="V44" s="80">
        <f t="shared" si="20"/>
        <v>0</v>
      </c>
    </row>
    <row r="45" spans="1:22" ht="12.75" customHeight="1">
      <c r="A45" s="2" t="s">
        <v>393</v>
      </c>
      <c r="B45" s="35"/>
      <c r="C45" s="114">
        <f>SUM(C36:C39)*0.094</f>
        <v>0</v>
      </c>
      <c r="D45" s="80">
        <f t="shared" si="11"/>
        <v>0</v>
      </c>
      <c r="E45" s="181">
        <f>SUM(E36:E39)*0.094</f>
        <v>20868</v>
      </c>
      <c r="F45" s="80">
        <f t="shared" si="12"/>
        <v>4.3932631578947369E-2</v>
      </c>
      <c r="G45" s="181">
        <f>SUM(G36:G39)*0.094</f>
        <v>14966.679999999997</v>
      </c>
      <c r="H45" s="80">
        <f t="shared" si="13"/>
        <v>3.0890980392156858E-2</v>
      </c>
      <c r="I45" s="181">
        <f>SUM(I36:I39)*0.094</f>
        <v>15408.519009999995</v>
      </c>
      <c r="J45" s="80">
        <f t="shared" si="14"/>
        <v>3.1179341973734787E-2</v>
      </c>
      <c r="K45" s="181">
        <f>SUM(K36:K39)*0.094</f>
        <v>15793.731985249993</v>
      </c>
      <c r="L45" s="80">
        <f t="shared" si="15"/>
        <v>3.1332181885370743E-2</v>
      </c>
      <c r="M45" s="181">
        <f>SUM(M36:M39)*0.094</f>
        <v>16188.575284881246</v>
      </c>
      <c r="N45" s="80">
        <f t="shared" si="16"/>
        <v>3.1485771012259821E-2</v>
      </c>
      <c r="O45" s="181">
        <f>SUM(O36:O39)*0.094</f>
        <v>16593.289667003271</v>
      </c>
      <c r="P45" s="80">
        <f t="shared" si="17"/>
        <v>3.1640113027025782E-2</v>
      </c>
      <c r="Q45" s="181">
        <f>SUM(Q36:Q39)*0.094</f>
        <v>17008.121908678357</v>
      </c>
      <c r="R45" s="80">
        <f t="shared" si="18"/>
        <v>3.179521162029552E-2</v>
      </c>
      <c r="S45" s="181">
        <f>SUM(S36:S39)*0.094</f>
        <v>17433.32495639531</v>
      </c>
      <c r="T45" s="80">
        <f t="shared" si="19"/>
        <v>3.195107050078716E-2</v>
      </c>
      <c r="U45" s="181">
        <f>SUM(U36:U39)*0.094</f>
        <v>17869.158080305191</v>
      </c>
      <c r="V45" s="80">
        <f t="shared" si="20"/>
        <v>3.2107693395398859E-2</v>
      </c>
    </row>
    <row r="46" spans="1:22" ht="12.75" customHeight="1">
      <c r="A46" s="1" t="s">
        <v>394</v>
      </c>
      <c r="B46" s="53"/>
      <c r="C46" s="82">
        <f>SUM(C36:C45)</f>
        <v>0</v>
      </c>
      <c r="D46" s="83">
        <f t="shared" si="11"/>
        <v>0</v>
      </c>
      <c r="E46" s="82">
        <f>SUM(E36:E45)</f>
        <v>262088</v>
      </c>
      <c r="F46" s="83">
        <f t="shared" si="12"/>
        <v>0.55176421052631575</v>
      </c>
      <c r="G46" s="82">
        <f>SUM(G36:G45)</f>
        <v>187811.17999999996</v>
      </c>
      <c r="H46" s="83">
        <f t="shared" si="13"/>
        <v>0.38763917440660467</v>
      </c>
      <c r="I46" s="82">
        <f>SUM(I36:I45)</f>
        <v>193340.48450999995</v>
      </c>
      <c r="J46" s="83">
        <f t="shared" si="14"/>
        <v>0.39122702707460683</v>
      </c>
      <c r="K46" s="82">
        <f>SUM(K36:K45)</f>
        <v>198173.99662274992</v>
      </c>
      <c r="L46" s="83">
        <f t="shared" si="15"/>
        <v>0.39314480661909018</v>
      </c>
      <c r="M46" s="82">
        <f>SUM(M36:M45)</f>
        <v>203128.3465383187</v>
      </c>
      <c r="N46" s="83">
        <f t="shared" si="16"/>
        <v>0.39507198704369356</v>
      </c>
      <c r="O46" s="82">
        <f>SUM(O36:O45)</f>
        <v>208206.55520177662</v>
      </c>
      <c r="P46" s="83">
        <f t="shared" si="17"/>
        <v>0.39700861443116253</v>
      </c>
      <c r="Q46" s="82">
        <f>SUM(Q36:Q45)</f>
        <v>213411.71908182104</v>
      </c>
      <c r="R46" s="83">
        <f t="shared" si="18"/>
        <v>0.39895473509013879</v>
      </c>
      <c r="S46" s="82">
        <f>SUM(S36:S45)</f>
        <v>218747.01205886653</v>
      </c>
      <c r="T46" s="83">
        <f t="shared" si="19"/>
        <v>0.4009103955562669</v>
      </c>
      <c r="U46" s="82">
        <f>SUM(U36:U45)</f>
        <v>224215.68736033817</v>
      </c>
      <c r="V46" s="83">
        <f t="shared" si="20"/>
        <v>0.40287564259330738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366</v>
      </c>
      <c r="E50" s="86" t="str">
        <f>E6</f>
        <v>FY 2019-20</v>
      </c>
      <c r="F50" s="86" t="s">
        <v>366</v>
      </c>
      <c r="G50" s="86" t="str">
        <f>G6</f>
        <v>FY 2020-21</v>
      </c>
      <c r="H50" s="86" t="s">
        <v>366</v>
      </c>
      <c r="I50" s="86" t="str">
        <f>I6</f>
        <v>FY 2021-22</v>
      </c>
      <c r="J50" s="86" t="s">
        <v>366</v>
      </c>
      <c r="K50" s="86" t="str">
        <f>K6</f>
        <v>FY 2022-23</v>
      </c>
      <c r="L50" s="86" t="s">
        <v>366</v>
      </c>
      <c r="M50" s="86" t="str">
        <f>M6</f>
        <v>FY 2023-24</v>
      </c>
      <c r="N50" s="86" t="s">
        <v>366</v>
      </c>
      <c r="O50" s="86" t="str">
        <f>O6</f>
        <v>FY 2024-25</v>
      </c>
      <c r="P50" s="86" t="s">
        <v>366</v>
      </c>
      <c r="Q50" s="86" t="str">
        <f>Q6</f>
        <v>FY 2025-26</v>
      </c>
      <c r="R50" s="86" t="s">
        <v>366</v>
      </c>
      <c r="S50" s="86" t="str">
        <f>S6</f>
        <v>FY 2026-27</v>
      </c>
      <c r="T50" s="86" t="s">
        <v>366</v>
      </c>
      <c r="U50" s="86" t="str">
        <f>U6</f>
        <v>FY 2027-28</v>
      </c>
      <c r="V50" s="86" t="s">
        <v>366</v>
      </c>
    </row>
    <row r="51" spans="1:24" ht="12.75" customHeight="1">
      <c r="A51" s="1" t="s">
        <v>395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396</v>
      </c>
      <c r="B52" s="35"/>
      <c r="C52" s="178">
        <v>0</v>
      </c>
      <c r="D52" s="80">
        <f t="shared" ref="D52:D104" si="21">IFERROR(C52/C$28,0)</f>
        <v>0</v>
      </c>
      <c r="E52" s="178">
        <v>0</v>
      </c>
      <c r="F52" s="80">
        <f t="shared" ref="F52:F104" si="22">IFERROR(E52/E$28,0)</f>
        <v>0</v>
      </c>
      <c r="G52" s="178">
        <v>0</v>
      </c>
      <c r="H52" s="80">
        <f t="shared" ref="H52:H104" si="23">IFERROR(G52/G$28,0)</f>
        <v>0</v>
      </c>
      <c r="I52" s="178">
        <v>0</v>
      </c>
      <c r="J52" s="80">
        <f t="shared" ref="J52:J104" si="24">IFERROR(I52/I$28,0)</f>
        <v>0</v>
      </c>
      <c r="K52" s="178">
        <v>0</v>
      </c>
      <c r="L52" s="80">
        <f t="shared" ref="L52:L104" si="25">IFERROR(K52/K$28,0)</f>
        <v>0</v>
      </c>
      <c r="M52" s="178">
        <v>0</v>
      </c>
      <c r="N52" s="80">
        <f t="shared" ref="N52:N104" si="26">IFERROR(M52/M$28,0)</f>
        <v>0</v>
      </c>
      <c r="O52" s="178">
        <v>0</v>
      </c>
      <c r="P52" s="80">
        <f t="shared" ref="P52:P104" si="27">IFERROR(O52/O$28,0)</f>
        <v>0</v>
      </c>
      <c r="Q52" s="178">
        <v>0</v>
      </c>
      <c r="R52" s="80">
        <f t="shared" ref="R52:R104" si="28">IFERROR(Q52/Q$28,0)</f>
        <v>0</v>
      </c>
      <c r="S52" s="178">
        <v>0</v>
      </c>
      <c r="T52" s="80">
        <f t="shared" ref="T52:T104" si="29">IFERROR(S52/S$28,0)</f>
        <v>0</v>
      </c>
      <c r="U52" s="178">
        <v>0</v>
      </c>
      <c r="V52" s="80">
        <f t="shared" ref="V52:V105" si="30">IFERROR(U52/U$28,0)</f>
        <v>0</v>
      </c>
      <c r="X52" s="192"/>
    </row>
    <row r="53" spans="1:24" ht="12.75" customHeight="1">
      <c r="A53" s="2" t="s">
        <v>397</v>
      </c>
      <c r="B53" s="35"/>
      <c r="C53" s="178">
        <v>0</v>
      </c>
      <c r="D53" s="80">
        <f t="shared" si="21"/>
        <v>0</v>
      </c>
      <c r="E53" s="178">
        <v>0</v>
      </c>
      <c r="F53" s="80">
        <f t="shared" si="22"/>
        <v>0</v>
      </c>
      <c r="G53" s="178">
        <v>0</v>
      </c>
      <c r="H53" s="80">
        <f t="shared" si="23"/>
        <v>0</v>
      </c>
      <c r="I53" s="178">
        <v>0</v>
      </c>
      <c r="J53" s="80">
        <f t="shared" si="24"/>
        <v>0</v>
      </c>
      <c r="K53" s="178">
        <v>0</v>
      </c>
      <c r="L53" s="80">
        <f t="shared" si="25"/>
        <v>0</v>
      </c>
      <c r="M53" s="178">
        <v>0</v>
      </c>
      <c r="N53" s="80">
        <f t="shared" si="26"/>
        <v>0</v>
      </c>
      <c r="O53" s="178">
        <v>0</v>
      </c>
      <c r="P53" s="80">
        <f t="shared" si="27"/>
        <v>0</v>
      </c>
      <c r="Q53" s="178">
        <v>0</v>
      </c>
      <c r="R53" s="80">
        <f t="shared" si="28"/>
        <v>0</v>
      </c>
      <c r="S53" s="178">
        <v>0</v>
      </c>
      <c r="T53" s="80">
        <f t="shared" si="29"/>
        <v>0</v>
      </c>
      <c r="U53" s="178">
        <v>0</v>
      </c>
      <c r="V53" s="80">
        <f t="shared" si="30"/>
        <v>0</v>
      </c>
      <c r="X53" s="192"/>
    </row>
    <row r="54" spans="1:24" ht="12.75" customHeight="1">
      <c r="A54" s="2" t="s">
        <v>398</v>
      </c>
      <c r="B54" s="35"/>
      <c r="C54" s="178">
        <v>0</v>
      </c>
      <c r="D54" s="80">
        <f t="shared" si="21"/>
        <v>0</v>
      </c>
      <c r="E54" s="178">
        <v>332.5</v>
      </c>
      <c r="F54" s="80">
        <f t="shared" si="22"/>
        <v>6.9999999999999999E-4</v>
      </c>
      <c r="G54" s="178">
        <v>339.15000000000003</v>
      </c>
      <c r="H54" s="80">
        <f t="shared" si="23"/>
        <v>7.000000000000001E-4</v>
      </c>
      <c r="I54" s="178">
        <v>345.93299999999999</v>
      </c>
      <c r="J54" s="80">
        <f t="shared" si="24"/>
        <v>6.9999999999999999E-4</v>
      </c>
      <c r="K54" s="178">
        <v>352.85165999999998</v>
      </c>
      <c r="L54" s="80">
        <f t="shared" si="25"/>
        <v>6.9999999999999999E-4</v>
      </c>
      <c r="M54" s="178">
        <v>359.90869320000002</v>
      </c>
      <c r="N54" s="80">
        <f t="shared" si="26"/>
        <v>6.9999999999999999E-4</v>
      </c>
      <c r="O54" s="178">
        <v>367.10686706399997</v>
      </c>
      <c r="P54" s="80">
        <f t="shared" si="27"/>
        <v>6.9999999999999988E-4</v>
      </c>
      <c r="Q54" s="178">
        <v>374.44900440528011</v>
      </c>
      <c r="R54" s="80">
        <f t="shared" si="28"/>
        <v>7.000000000000001E-4</v>
      </c>
      <c r="S54" s="178">
        <v>381.93798449338561</v>
      </c>
      <c r="T54" s="80">
        <f t="shared" si="29"/>
        <v>6.9999999999999999E-4</v>
      </c>
      <c r="U54" s="178">
        <v>389.57674418325331</v>
      </c>
      <c r="V54" s="80">
        <f t="shared" si="30"/>
        <v>6.9999999999999999E-4</v>
      </c>
      <c r="X54" s="192"/>
    </row>
    <row r="55" spans="1:24" ht="12.75" customHeight="1">
      <c r="A55" s="2" t="s">
        <v>399</v>
      </c>
      <c r="B55" s="35"/>
      <c r="C55" s="178">
        <v>0</v>
      </c>
      <c r="D55" s="80">
        <f t="shared" si="21"/>
        <v>0</v>
      </c>
      <c r="E55" s="178"/>
      <c r="F55" s="80">
        <f t="shared" si="22"/>
        <v>0</v>
      </c>
      <c r="G55" s="178"/>
      <c r="H55" s="80">
        <f t="shared" si="23"/>
        <v>0</v>
      </c>
      <c r="I55" s="178"/>
      <c r="J55" s="80">
        <f t="shared" si="24"/>
        <v>0</v>
      </c>
      <c r="K55" s="178"/>
      <c r="L55" s="80">
        <f t="shared" si="25"/>
        <v>0</v>
      </c>
      <c r="M55" s="178"/>
      <c r="N55" s="80">
        <f t="shared" si="26"/>
        <v>0</v>
      </c>
      <c r="O55" s="178"/>
      <c r="P55" s="80">
        <f t="shared" si="27"/>
        <v>0</v>
      </c>
      <c r="Q55" s="178"/>
      <c r="R55" s="80">
        <f t="shared" si="28"/>
        <v>0</v>
      </c>
      <c r="S55" s="178"/>
      <c r="T55" s="80">
        <f t="shared" si="29"/>
        <v>0</v>
      </c>
      <c r="U55" s="178"/>
      <c r="V55" s="80">
        <f t="shared" si="30"/>
        <v>0</v>
      </c>
      <c r="X55" s="192"/>
    </row>
    <row r="56" spans="1:24" ht="12.75" customHeight="1">
      <c r="A56" s="2" t="s">
        <v>400</v>
      </c>
      <c r="B56" s="35"/>
      <c r="C56" s="178">
        <v>0</v>
      </c>
      <c r="D56" s="80">
        <f t="shared" si="21"/>
        <v>0</v>
      </c>
      <c r="E56" s="178">
        <v>242.25</v>
      </c>
      <c r="F56" s="80">
        <f t="shared" si="22"/>
        <v>5.1000000000000004E-4</v>
      </c>
      <c r="G56" s="178">
        <v>247.095</v>
      </c>
      <c r="H56" s="80">
        <f t="shared" si="23"/>
        <v>5.1000000000000004E-4</v>
      </c>
      <c r="I56" s="178">
        <v>252.0369</v>
      </c>
      <c r="J56" s="80">
        <f t="shared" si="24"/>
        <v>5.1000000000000004E-4</v>
      </c>
      <c r="K56" s="178">
        <v>257.07763799999998</v>
      </c>
      <c r="L56" s="80">
        <f t="shared" si="25"/>
        <v>5.0999999999999993E-4</v>
      </c>
      <c r="M56" s="178">
        <v>262.21919076</v>
      </c>
      <c r="N56" s="80">
        <f t="shared" si="26"/>
        <v>5.1000000000000004E-4</v>
      </c>
      <c r="O56" s="178">
        <v>267.46357457520003</v>
      </c>
      <c r="P56" s="80">
        <f t="shared" si="27"/>
        <v>5.1000000000000004E-4</v>
      </c>
      <c r="Q56" s="178">
        <v>272.81284606670408</v>
      </c>
      <c r="R56" s="80">
        <f t="shared" si="28"/>
        <v>5.1000000000000004E-4</v>
      </c>
      <c r="S56" s="178">
        <v>278.26910298803807</v>
      </c>
      <c r="T56" s="80">
        <f t="shared" si="29"/>
        <v>5.0999999999999993E-4</v>
      </c>
      <c r="U56" s="178">
        <v>283.83448504779886</v>
      </c>
      <c r="V56" s="80">
        <f t="shared" si="30"/>
        <v>5.1000000000000004E-4</v>
      </c>
      <c r="X56" s="192"/>
    </row>
    <row r="57" spans="1:24" ht="12.75" customHeight="1">
      <c r="A57" s="2" t="s">
        <v>401</v>
      </c>
      <c r="B57" s="35"/>
      <c r="C57" s="178">
        <v>0</v>
      </c>
      <c r="D57" s="80">
        <f t="shared" si="21"/>
        <v>0</v>
      </c>
      <c r="E57" s="178">
        <v>0</v>
      </c>
      <c r="F57" s="80">
        <f t="shared" si="22"/>
        <v>0</v>
      </c>
      <c r="G57" s="178">
        <v>0</v>
      </c>
      <c r="H57" s="80">
        <f t="shared" si="23"/>
        <v>0</v>
      </c>
      <c r="I57" s="178">
        <v>0</v>
      </c>
      <c r="J57" s="80">
        <f t="shared" si="24"/>
        <v>0</v>
      </c>
      <c r="K57" s="178">
        <v>0</v>
      </c>
      <c r="L57" s="80">
        <f t="shared" si="25"/>
        <v>0</v>
      </c>
      <c r="M57" s="178">
        <v>0</v>
      </c>
      <c r="N57" s="80">
        <f t="shared" si="26"/>
        <v>0</v>
      </c>
      <c r="O57" s="178">
        <v>0</v>
      </c>
      <c r="P57" s="80">
        <f t="shared" si="27"/>
        <v>0</v>
      </c>
      <c r="Q57" s="178">
        <v>0</v>
      </c>
      <c r="R57" s="80">
        <f t="shared" si="28"/>
        <v>0</v>
      </c>
      <c r="S57" s="178">
        <v>0</v>
      </c>
      <c r="T57" s="80">
        <f t="shared" si="29"/>
        <v>0</v>
      </c>
      <c r="U57" s="178">
        <v>0</v>
      </c>
      <c r="V57" s="80">
        <f t="shared" si="30"/>
        <v>0</v>
      </c>
      <c r="X57" s="192"/>
    </row>
    <row r="58" spans="1:24" ht="12.75" customHeight="1">
      <c r="A58" s="2" t="s">
        <v>402</v>
      </c>
      <c r="B58" s="35"/>
      <c r="C58" s="178">
        <v>0</v>
      </c>
      <c r="D58" s="80">
        <f t="shared" si="21"/>
        <v>0</v>
      </c>
      <c r="E58" s="178">
        <v>0</v>
      </c>
      <c r="F58" s="80">
        <f t="shared" si="22"/>
        <v>0</v>
      </c>
      <c r="G58" s="178">
        <v>0</v>
      </c>
      <c r="H58" s="80">
        <f t="shared" si="23"/>
        <v>0</v>
      </c>
      <c r="I58" s="178">
        <v>0</v>
      </c>
      <c r="J58" s="80">
        <f t="shared" si="24"/>
        <v>0</v>
      </c>
      <c r="K58" s="178">
        <v>0</v>
      </c>
      <c r="L58" s="80">
        <f t="shared" si="25"/>
        <v>0</v>
      </c>
      <c r="M58" s="178">
        <v>0</v>
      </c>
      <c r="N58" s="80">
        <f t="shared" si="26"/>
        <v>0</v>
      </c>
      <c r="O58" s="178">
        <v>0</v>
      </c>
      <c r="P58" s="80">
        <f t="shared" si="27"/>
        <v>0</v>
      </c>
      <c r="Q58" s="178">
        <v>0</v>
      </c>
      <c r="R58" s="80">
        <f t="shared" si="28"/>
        <v>0</v>
      </c>
      <c r="S58" s="178">
        <v>0</v>
      </c>
      <c r="T58" s="80">
        <f t="shared" si="29"/>
        <v>0</v>
      </c>
      <c r="U58" s="178">
        <v>0</v>
      </c>
      <c r="V58" s="80">
        <f t="shared" si="30"/>
        <v>0</v>
      </c>
      <c r="X58" s="192"/>
    </row>
    <row r="59" spans="1:24" ht="12.75" customHeight="1">
      <c r="A59" s="2" t="s">
        <v>403</v>
      </c>
      <c r="B59" s="35"/>
      <c r="C59" s="178"/>
      <c r="D59" s="80">
        <f t="shared" si="21"/>
        <v>0</v>
      </c>
      <c r="E59" s="178"/>
      <c r="F59" s="80">
        <f t="shared" si="22"/>
        <v>0</v>
      </c>
      <c r="G59" s="178"/>
      <c r="H59" s="80">
        <f t="shared" si="23"/>
        <v>0</v>
      </c>
      <c r="I59" s="178"/>
      <c r="J59" s="80">
        <f t="shared" si="24"/>
        <v>0</v>
      </c>
      <c r="K59" s="178"/>
      <c r="L59" s="80">
        <f t="shared" si="25"/>
        <v>0</v>
      </c>
      <c r="M59" s="178"/>
      <c r="N59" s="80">
        <f t="shared" si="26"/>
        <v>0</v>
      </c>
      <c r="O59" s="178"/>
      <c r="P59" s="80">
        <f t="shared" si="27"/>
        <v>0</v>
      </c>
      <c r="Q59" s="178"/>
      <c r="R59" s="80">
        <f t="shared" si="28"/>
        <v>0</v>
      </c>
      <c r="S59" s="178"/>
      <c r="T59" s="80">
        <f t="shared" si="29"/>
        <v>0</v>
      </c>
      <c r="U59" s="178"/>
      <c r="V59" s="80">
        <f t="shared" si="30"/>
        <v>0</v>
      </c>
      <c r="X59" s="192"/>
    </row>
    <row r="60" spans="1:24" ht="12.75" customHeight="1">
      <c r="A60" s="2" t="s">
        <v>404</v>
      </c>
      <c r="B60" s="35"/>
      <c r="C60" s="178">
        <v>0</v>
      </c>
      <c r="D60" s="80">
        <f t="shared" si="21"/>
        <v>0</v>
      </c>
      <c r="E60" s="178">
        <v>0</v>
      </c>
      <c r="F60" s="80">
        <f t="shared" si="22"/>
        <v>0</v>
      </c>
      <c r="G60" s="178">
        <v>0</v>
      </c>
      <c r="H60" s="80">
        <f t="shared" si="23"/>
        <v>0</v>
      </c>
      <c r="I60" s="178">
        <v>0</v>
      </c>
      <c r="J60" s="80">
        <f t="shared" si="24"/>
        <v>0</v>
      </c>
      <c r="K60" s="178">
        <v>0</v>
      </c>
      <c r="L60" s="80">
        <f t="shared" si="25"/>
        <v>0</v>
      </c>
      <c r="M60" s="178">
        <v>0</v>
      </c>
      <c r="N60" s="80">
        <f t="shared" si="26"/>
        <v>0</v>
      </c>
      <c r="O60" s="178">
        <v>0</v>
      </c>
      <c r="P60" s="80">
        <f t="shared" si="27"/>
        <v>0</v>
      </c>
      <c r="Q60" s="178">
        <v>0</v>
      </c>
      <c r="R60" s="80">
        <f t="shared" si="28"/>
        <v>0</v>
      </c>
      <c r="S60" s="178">
        <v>0</v>
      </c>
      <c r="T60" s="80">
        <f t="shared" si="29"/>
        <v>0</v>
      </c>
      <c r="U60" s="178">
        <v>0</v>
      </c>
      <c r="V60" s="80">
        <f t="shared" si="30"/>
        <v>0</v>
      </c>
      <c r="X60" s="192"/>
    </row>
    <row r="61" spans="1:24" ht="12.75" customHeight="1">
      <c r="A61" s="2" t="s">
        <v>405</v>
      </c>
      <c r="B61" s="35"/>
      <c r="C61" s="178">
        <v>0</v>
      </c>
      <c r="D61" s="80">
        <f t="shared" si="21"/>
        <v>0</v>
      </c>
      <c r="E61" s="178">
        <v>0</v>
      </c>
      <c r="F61" s="80">
        <f t="shared" si="22"/>
        <v>0</v>
      </c>
      <c r="G61" s="178">
        <v>0</v>
      </c>
      <c r="H61" s="80">
        <f t="shared" si="23"/>
        <v>0</v>
      </c>
      <c r="I61" s="178">
        <v>0</v>
      </c>
      <c r="J61" s="80">
        <f t="shared" si="24"/>
        <v>0</v>
      </c>
      <c r="K61" s="178">
        <v>0</v>
      </c>
      <c r="L61" s="80">
        <f t="shared" si="25"/>
        <v>0</v>
      </c>
      <c r="M61" s="178">
        <v>0</v>
      </c>
      <c r="N61" s="80">
        <f t="shared" si="26"/>
        <v>0</v>
      </c>
      <c r="O61" s="178">
        <v>0</v>
      </c>
      <c r="P61" s="80">
        <f t="shared" si="27"/>
        <v>0</v>
      </c>
      <c r="Q61" s="178">
        <v>0</v>
      </c>
      <c r="R61" s="80">
        <f t="shared" si="28"/>
        <v>0</v>
      </c>
      <c r="S61" s="178">
        <v>0</v>
      </c>
      <c r="T61" s="80">
        <f t="shared" si="29"/>
        <v>0</v>
      </c>
      <c r="U61" s="178">
        <v>0</v>
      </c>
      <c r="V61" s="80">
        <f t="shared" si="30"/>
        <v>0</v>
      </c>
      <c r="X61" s="192"/>
    </row>
    <row r="62" spans="1:24" ht="12.75" customHeight="1">
      <c r="A62" s="2" t="s">
        <v>406</v>
      </c>
      <c r="B62" s="35"/>
      <c r="C62" s="178">
        <v>0</v>
      </c>
      <c r="D62" s="80">
        <f t="shared" si="21"/>
        <v>0</v>
      </c>
      <c r="E62" s="178">
        <v>0</v>
      </c>
      <c r="F62" s="80">
        <f t="shared" si="22"/>
        <v>0</v>
      </c>
      <c r="G62" s="178">
        <v>0</v>
      </c>
      <c r="H62" s="80">
        <f t="shared" si="23"/>
        <v>0</v>
      </c>
      <c r="I62" s="178">
        <v>0</v>
      </c>
      <c r="J62" s="80">
        <f t="shared" si="24"/>
        <v>0</v>
      </c>
      <c r="K62" s="178">
        <v>0</v>
      </c>
      <c r="L62" s="80">
        <f t="shared" si="25"/>
        <v>0</v>
      </c>
      <c r="M62" s="178">
        <v>0</v>
      </c>
      <c r="N62" s="80">
        <f t="shared" si="26"/>
        <v>0</v>
      </c>
      <c r="O62" s="178">
        <v>0</v>
      </c>
      <c r="P62" s="80">
        <f t="shared" si="27"/>
        <v>0</v>
      </c>
      <c r="Q62" s="178">
        <v>0</v>
      </c>
      <c r="R62" s="80">
        <f t="shared" si="28"/>
        <v>0</v>
      </c>
      <c r="S62" s="178">
        <v>0</v>
      </c>
      <c r="T62" s="80">
        <f t="shared" si="29"/>
        <v>0</v>
      </c>
      <c r="U62" s="178">
        <v>0</v>
      </c>
      <c r="V62" s="80">
        <f t="shared" si="30"/>
        <v>0</v>
      </c>
      <c r="X62" s="192"/>
    </row>
    <row r="63" spans="1:24" ht="12.75" customHeight="1">
      <c r="A63" s="2" t="s">
        <v>407</v>
      </c>
      <c r="B63" s="35"/>
      <c r="C63" s="178">
        <v>0</v>
      </c>
      <c r="D63" s="80">
        <f t="shared" si="21"/>
        <v>0</v>
      </c>
      <c r="E63" s="178">
        <v>5864.0132385647576</v>
      </c>
      <c r="F63" s="80">
        <f t="shared" si="22"/>
        <v>1.2345291028557385E-2</v>
      </c>
      <c r="G63" s="178">
        <v>5917.9815784175298</v>
      </c>
      <c r="H63" s="80">
        <f t="shared" si="23"/>
        <v>1.2214616260923693E-2</v>
      </c>
      <c r="I63" s="178">
        <v>6051.841172490851</v>
      </c>
      <c r="J63" s="80">
        <f t="shared" si="24"/>
        <v>1.224598064001872E-2</v>
      </c>
      <c r="K63" s="178">
        <v>6153.8534121123721</v>
      </c>
      <c r="L63" s="80">
        <f t="shared" si="25"/>
        <v>1.2208238976341108E-2</v>
      </c>
      <c r="M63" s="178">
        <v>6287.5127604348281</v>
      </c>
      <c r="N63" s="80">
        <f t="shared" si="26"/>
        <v>1.2228820852233806E-2</v>
      </c>
      <c r="O63" s="178">
        <v>6426.4846492950082</v>
      </c>
      <c r="P63" s="80">
        <f t="shared" si="27"/>
        <v>1.2254031885822084E-2</v>
      </c>
      <c r="Q63" s="178">
        <v>6574.2652662454175</v>
      </c>
      <c r="R63" s="80">
        <f t="shared" si="28"/>
        <v>1.2290019821740245E-2</v>
      </c>
      <c r="S63" s="178">
        <v>6724.9069476974209</v>
      </c>
      <c r="T63" s="80">
        <f t="shared" si="29"/>
        <v>1.2325128828525087E-2</v>
      </c>
      <c r="U63" s="178">
        <v>6880.2846932935272</v>
      </c>
      <c r="V63" s="80">
        <f t="shared" si="30"/>
        <v>1.236264576162681E-2</v>
      </c>
      <c r="X63" s="192"/>
    </row>
    <row r="64" spans="1:24" ht="12.75" customHeight="1">
      <c r="A64" s="2" t="s">
        <v>408</v>
      </c>
      <c r="B64" s="35"/>
      <c r="C64" s="178">
        <v>0</v>
      </c>
      <c r="D64" s="80">
        <f t="shared" si="21"/>
        <v>0</v>
      </c>
      <c r="E64" s="178">
        <v>2279.9999999999995</v>
      </c>
      <c r="F64" s="80">
        <f t="shared" si="22"/>
        <v>4.7999999999999987E-3</v>
      </c>
      <c r="G64" s="178">
        <v>2325.6</v>
      </c>
      <c r="H64" s="80">
        <f t="shared" si="23"/>
        <v>4.7999999999999996E-3</v>
      </c>
      <c r="I64" s="178">
        <v>2372.1119999999992</v>
      </c>
      <c r="J64" s="80">
        <f t="shared" si="24"/>
        <v>4.7999999999999987E-3</v>
      </c>
      <c r="K64" s="178">
        <v>2419.5542399999999</v>
      </c>
      <c r="L64" s="80">
        <f t="shared" si="25"/>
        <v>4.7999999999999996E-3</v>
      </c>
      <c r="M64" s="178">
        <v>2467.9453248</v>
      </c>
      <c r="N64" s="80">
        <f t="shared" si="26"/>
        <v>4.7999999999999996E-3</v>
      </c>
      <c r="O64" s="178">
        <v>2517.3042312960001</v>
      </c>
      <c r="P64" s="80">
        <f t="shared" si="27"/>
        <v>4.7999999999999996E-3</v>
      </c>
      <c r="Q64" s="178">
        <v>2567.6503159219201</v>
      </c>
      <c r="R64" s="80">
        <f t="shared" si="28"/>
        <v>4.7999999999999996E-3</v>
      </c>
      <c r="S64" s="178">
        <v>2619.0033222403581</v>
      </c>
      <c r="T64" s="80">
        <f t="shared" si="29"/>
        <v>4.7999999999999987E-3</v>
      </c>
      <c r="U64" s="178">
        <v>2671.3833886851653</v>
      </c>
      <c r="V64" s="80">
        <f t="shared" si="30"/>
        <v>4.7999999999999996E-3</v>
      </c>
      <c r="X64" s="192"/>
    </row>
    <row r="65" spans="1:24" ht="12.75" customHeight="1">
      <c r="A65" s="2" t="s">
        <v>409</v>
      </c>
      <c r="B65" s="35"/>
      <c r="C65" s="178">
        <v>0</v>
      </c>
      <c r="D65" s="80">
        <f t="shared" si="21"/>
        <v>0</v>
      </c>
      <c r="E65" s="178">
        <v>237.5</v>
      </c>
      <c r="F65" s="80">
        <f t="shared" si="22"/>
        <v>5.0000000000000001E-4</v>
      </c>
      <c r="G65" s="178">
        <v>242.25</v>
      </c>
      <c r="H65" s="80">
        <f t="shared" si="23"/>
        <v>5.0000000000000001E-4</v>
      </c>
      <c r="I65" s="178">
        <v>247.095</v>
      </c>
      <c r="J65" s="80">
        <f t="shared" si="24"/>
        <v>5.0000000000000001E-4</v>
      </c>
      <c r="K65" s="178">
        <v>252.0369</v>
      </c>
      <c r="L65" s="80">
        <f t="shared" si="25"/>
        <v>5.0000000000000001E-4</v>
      </c>
      <c r="M65" s="178">
        <v>257.07763799999998</v>
      </c>
      <c r="N65" s="80">
        <f t="shared" si="26"/>
        <v>4.999999999999999E-4</v>
      </c>
      <c r="O65" s="178">
        <v>262.21919076</v>
      </c>
      <c r="P65" s="80">
        <f t="shared" si="27"/>
        <v>4.999999999999999E-4</v>
      </c>
      <c r="Q65" s="178">
        <v>267.46357457520008</v>
      </c>
      <c r="R65" s="80">
        <f t="shared" si="28"/>
        <v>5.0000000000000012E-4</v>
      </c>
      <c r="S65" s="178">
        <v>272.81284606670397</v>
      </c>
      <c r="T65" s="80">
        <f t="shared" si="29"/>
        <v>4.999999999999999E-4</v>
      </c>
      <c r="U65" s="178">
        <v>278.26910298803807</v>
      </c>
      <c r="V65" s="80">
        <f t="shared" si="30"/>
        <v>4.999999999999999E-4</v>
      </c>
      <c r="X65" s="192"/>
    </row>
    <row r="66" spans="1:24" ht="12.75" customHeight="1">
      <c r="A66" s="2" t="s">
        <v>410</v>
      </c>
      <c r="B66" s="35"/>
      <c r="C66" s="178">
        <v>0</v>
      </c>
      <c r="D66" s="80">
        <f t="shared" si="21"/>
        <v>0</v>
      </c>
      <c r="E66" s="178">
        <v>1330</v>
      </c>
      <c r="F66" s="80">
        <f t="shared" si="22"/>
        <v>2.8E-3</v>
      </c>
      <c r="G66" s="178">
        <v>1356.6000000000001</v>
      </c>
      <c r="H66" s="80">
        <f t="shared" si="23"/>
        <v>2.8000000000000004E-3</v>
      </c>
      <c r="I66" s="178">
        <v>1383.732</v>
      </c>
      <c r="J66" s="80">
        <f t="shared" si="24"/>
        <v>2.8E-3</v>
      </c>
      <c r="K66" s="178">
        <v>1411.4066399999999</v>
      </c>
      <c r="L66" s="80">
        <f t="shared" si="25"/>
        <v>2.8E-3</v>
      </c>
      <c r="M66" s="178">
        <v>1439.6347728000001</v>
      </c>
      <c r="N66" s="80">
        <f t="shared" si="26"/>
        <v>2.8E-3</v>
      </c>
      <c r="O66" s="178">
        <v>1468.4274682559999</v>
      </c>
      <c r="P66" s="80">
        <f t="shared" si="27"/>
        <v>2.7999999999999995E-3</v>
      </c>
      <c r="Q66" s="178">
        <v>1497.7960176211204</v>
      </c>
      <c r="R66" s="80">
        <f t="shared" si="28"/>
        <v>2.8000000000000004E-3</v>
      </c>
      <c r="S66" s="178">
        <v>1527.7519379735425</v>
      </c>
      <c r="T66" s="80">
        <f t="shared" si="29"/>
        <v>2.8E-3</v>
      </c>
      <c r="U66" s="178">
        <v>1558.3069767330132</v>
      </c>
      <c r="V66" s="80">
        <f t="shared" si="30"/>
        <v>2.8E-3</v>
      </c>
      <c r="X66" s="192"/>
    </row>
    <row r="67" spans="1:24" ht="12.75" customHeight="1">
      <c r="A67" s="2" t="s">
        <v>411</v>
      </c>
      <c r="B67" s="35"/>
      <c r="C67" s="178">
        <v>0</v>
      </c>
      <c r="D67" s="80">
        <f t="shared" si="21"/>
        <v>0</v>
      </c>
      <c r="E67" s="178">
        <v>7125</v>
      </c>
      <c r="F67" s="80">
        <f t="shared" si="22"/>
        <v>1.4999999999999999E-2</v>
      </c>
      <c r="G67" s="178">
        <v>7267.5</v>
      </c>
      <c r="H67" s="80">
        <f t="shared" si="23"/>
        <v>1.4999999999999999E-2</v>
      </c>
      <c r="I67" s="178">
        <v>7412.8499999999985</v>
      </c>
      <c r="J67" s="80">
        <f t="shared" si="24"/>
        <v>1.4999999999999998E-2</v>
      </c>
      <c r="K67" s="178">
        <v>7561.1069999999991</v>
      </c>
      <c r="L67" s="80">
        <f t="shared" si="25"/>
        <v>1.4999999999999998E-2</v>
      </c>
      <c r="M67" s="178">
        <v>7712.3291399999998</v>
      </c>
      <c r="N67" s="80">
        <f t="shared" si="26"/>
        <v>1.4999999999999999E-2</v>
      </c>
      <c r="O67" s="178">
        <v>7866.5757227999993</v>
      </c>
      <c r="P67" s="80">
        <f t="shared" si="27"/>
        <v>1.4999999999999998E-2</v>
      </c>
      <c r="Q67" s="178">
        <v>8023.9072372560013</v>
      </c>
      <c r="R67" s="80">
        <f t="shared" si="28"/>
        <v>1.5000000000000001E-2</v>
      </c>
      <c r="S67" s="178">
        <v>8184.38538200112</v>
      </c>
      <c r="T67" s="80">
        <f t="shared" si="29"/>
        <v>1.4999999999999999E-2</v>
      </c>
      <c r="U67" s="178">
        <v>8348.0730896411424</v>
      </c>
      <c r="V67" s="80">
        <f t="shared" si="30"/>
        <v>1.4999999999999999E-2</v>
      </c>
      <c r="X67" s="192"/>
    </row>
    <row r="68" spans="1:24" ht="12.75" customHeight="1">
      <c r="A68" s="2" t="s">
        <v>412</v>
      </c>
      <c r="B68" s="35"/>
      <c r="C68" s="178">
        <v>0</v>
      </c>
      <c r="D68" s="80">
        <f t="shared" si="21"/>
        <v>0</v>
      </c>
      <c r="E68" s="178">
        <v>807.49999999999989</v>
      </c>
      <c r="F68" s="80">
        <f t="shared" si="22"/>
        <v>1.6999999999999997E-3</v>
      </c>
      <c r="G68" s="178">
        <v>823.65</v>
      </c>
      <c r="H68" s="80">
        <f t="shared" si="23"/>
        <v>1.6999999999999999E-3</v>
      </c>
      <c r="I68" s="178">
        <v>840.12299999999982</v>
      </c>
      <c r="J68" s="80">
        <f t="shared" si="24"/>
        <v>1.6999999999999997E-3</v>
      </c>
      <c r="K68" s="178">
        <v>856.92545999999993</v>
      </c>
      <c r="L68" s="80">
        <f t="shared" si="25"/>
        <v>1.6999999999999999E-3</v>
      </c>
      <c r="M68" s="178">
        <v>874.06396919999997</v>
      </c>
      <c r="N68" s="80">
        <f t="shared" si="26"/>
        <v>1.6999999999999999E-3</v>
      </c>
      <c r="O68" s="178">
        <v>891.54524858399998</v>
      </c>
      <c r="P68" s="80">
        <f t="shared" si="27"/>
        <v>1.6999999999999997E-3</v>
      </c>
      <c r="Q68" s="178">
        <v>909.37615355568016</v>
      </c>
      <c r="R68" s="80">
        <f t="shared" si="28"/>
        <v>1.7000000000000001E-3</v>
      </c>
      <c r="S68" s="178">
        <v>927.56367662679349</v>
      </c>
      <c r="T68" s="80">
        <f t="shared" si="29"/>
        <v>1.6999999999999997E-3</v>
      </c>
      <c r="U68" s="178">
        <v>946.1149501593294</v>
      </c>
      <c r="V68" s="80">
        <f t="shared" si="30"/>
        <v>1.6999999999999997E-3</v>
      </c>
      <c r="X68" s="192"/>
    </row>
    <row r="69" spans="1:24" ht="12.75" customHeight="1">
      <c r="A69" s="2" t="s">
        <v>413</v>
      </c>
      <c r="B69" s="35"/>
      <c r="C69" s="178">
        <v>0</v>
      </c>
      <c r="D69" s="80">
        <f t="shared" si="21"/>
        <v>0</v>
      </c>
      <c r="E69" s="178">
        <v>0</v>
      </c>
      <c r="F69" s="80">
        <f t="shared" si="22"/>
        <v>0</v>
      </c>
      <c r="G69" s="178">
        <v>0</v>
      </c>
      <c r="H69" s="80">
        <f t="shared" si="23"/>
        <v>0</v>
      </c>
      <c r="I69" s="178">
        <v>0</v>
      </c>
      <c r="J69" s="80">
        <f t="shared" si="24"/>
        <v>0</v>
      </c>
      <c r="K69" s="178">
        <v>0</v>
      </c>
      <c r="L69" s="80">
        <f t="shared" si="25"/>
        <v>0</v>
      </c>
      <c r="M69" s="178">
        <v>0</v>
      </c>
      <c r="N69" s="80">
        <f t="shared" si="26"/>
        <v>0</v>
      </c>
      <c r="O69" s="178">
        <v>0</v>
      </c>
      <c r="P69" s="80">
        <f t="shared" si="27"/>
        <v>0</v>
      </c>
      <c r="Q69" s="178">
        <v>0</v>
      </c>
      <c r="R69" s="80">
        <f t="shared" si="28"/>
        <v>0</v>
      </c>
      <c r="S69" s="178">
        <v>0</v>
      </c>
      <c r="T69" s="80">
        <f t="shared" si="29"/>
        <v>0</v>
      </c>
      <c r="U69" s="178">
        <v>0</v>
      </c>
      <c r="V69" s="80">
        <f t="shared" si="30"/>
        <v>0</v>
      </c>
      <c r="X69" s="192"/>
    </row>
    <row r="70" spans="1:24" ht="12.75" customHeight="1">
      <c r="A70" s="2" t="s">
        <v>414</v>
      </c>
      <c r="B70" s="35"/>
      <c r="C70" s="178">
        <v>0</v>
      </c>
      <c r="D70" s="80">
        <f t="shared" si="21"/>
        <v>0</v>
      </c>
      <c r="E70" s="178">
        <v>47.500000000000007</v>
      </c>
      <c r="F70" s="80">
        <f t="shared" si="22"/>
        <v>1.0000000000000002E-4</v>
      </c>
      <c r="G70" s="178">
        <v>48.45</v>
      </c>
      <c r="H70" s="80">
        <f t="shared" si="23"/>
        <v>1E-4</v>
      </c>
      <c r="I70" s="178">
        <v>49.418999999999997</v>
      </c>
      <c r="J70" s="80">
        <f t="shared" si="24"/>
        <v>9.9999999999999991E-5</v>
      </c>
      <c r="K70" s="178">
        <v>50.407379999999996</v>
      </c>
      <c r="L70" s="80">
        <f t="shared" si="25"/>
        <v>9.9999999999999991E-5</v>
      </c>
      <c r="M70" s="178">
        <v>51.415527600000004</v>
      </c>
      <c r="N70" s="80">
        <f t="shared" si="26"/>
        <v>1E-4</v>
      </c>
      <c r="O70" s="178">
        <v>52.443838151999998</v>
      </c>
      <c r="P70" s="80">
        <f t="shared" si="27"/>
        <v>9.9999999999999991E-5</v>
      </c>
      <c r="Q70" s="178">
        <v>53.492714915040018</v>
      </c>
      <c r="R70" s="80">
        <f t="shared" si="28"/>
        <v>1.0000000000000002E-4</v>
      </c>
      <c r="S70" s="178">
        <v>54.562569213340801</v>
      </c>
      <c r="T70" s="80">
        <f t="shared" si="29"/>
        <v>9.9999999999999991E-5</v>
      </c>
      <c r="U70" s="178">
        <v>55.653820597607613</v>
      </c>
      <c r="V70" s="80">
        <f t="shared" si="30"/>
        <v>9.9999999999999991E-5</v>
      </c>
      <c r="X70" s="192"/>
    </row>
    <row r="71" spans="1:24" ht="12.75" customHeight="1">
      <c r="A71" s="2" t="s">
        <v>415</v>
      </c>
      <c r="B71" s="35"/>
      <c r="C71" s="178">
        <v>0</v>
      </c>
      <c r="D71" s="80">
        <f t="shared" si="21"/>
        <v>0</v>
      </c>
      <c r="E71" s="178">
        <v>0</v>
      </c>
      <c r="F71" s="80">
        <f t="shared" si="22"/>
        <v>0</v>
      </c>
      <c r="G71" s="178">
        <v>0</v>
      </c>
      <c r="H71" s="80">
        <f t="shared" si="23"/>
        <v>0</v>
      </c>
      <c r="I71" s="178">
        <v>0</v>
      </c>
      <c r="J71" s="80">
        <f t="shared" si="24"/>
        <v>0</v>
      </c>
      <c r="K71" s="178">
        <v>0</v>
      </c>
      <c r="L71" s="80">
        <f t="shared" si="25"/>
        <v>0</v>
      </c>
      <c r="M71" s="178">
        <v>0</v>
      </c>
      <c r="N71" s="80">
        <f t="shared" si="26"/>
        <v>0</v>
      </c>
      <c r="O71" s="178">
        <v>0</v>
      </c>
      <c r="P71" s="80">
        <f t="shared" si="27"/>
        <v>0</v>
      </c>
      <c r="Q71" s="178">
        <v>0</v>
      </c>
      <c r="R71" s="80">
        <f t="shared" si="28"/>
        <v>0</v>
      </c>
      <c r="S71" s="178">
        <v>0</v>
      </c>
      <c r="T71" s="80">
        <f t="shared" si="29"/>
        <v>0</v>
      </c>
      <c r="U71" s="178">
        <v>0</v>
      </c>
      <c r="V71" s="80">
        <f t="shared" si="30"/>
        <v>0</v>
      </c>
      <c r="X71" s="192"/>
    </row>
    <row r="72" spans="1:24" ht="12.75" customHeight="1">
      <c r="A72" s="2" t="s">
        <v>416</v>
      </c>
      <c r="B72" s="35"/>
      <c r="C72" s="178">
        <v>0</v>
      </c>
      <c r="D72" s="80">
        <f t="shared" si="21"/>
        <v>0</v>
      </c>
      <c r="E72" s="178">
        <v>0</v>
      </c>
      <c r="F72" s="80">
        <f t="shared" si="22"/>
        <v>0</v>
      </c>
      <c r="G72" s="178">
        <v>0</v>
      </c>
      <c r="H72" s="80">
        <f t="shared" si="23"/>
        <v>0</v>
      </c>
      <c r="I72" s="178">
        <v>0</v>
      </c>
      <c r="J72" s="80">
        <f t="shared" si="24"/>
        <v>0</v>
      </c>
      <c r="K72" s="178">
        <v>0</v>
      </c>
      <c r="L72" s="80">
        <f t="shared" si="25"/>
        <v>0</v>
      </c>
      <c r="M72" s="178">
        <v>0</v>
      </c>
      <c r="N72" s="80">
        <f t="shared" si="26"/>
        <v>0</v>
      </c>
      <c r="O72" s="178">
        <v>0</v>
      </c>
      <c r="P72" s="80">
        <f t="shared" si="27"/>
        <v>0</v>
      </c>
      <c r="Q72" s="178">
        <v>0</v>
      </c>
      <c r="R72" s="80">
        <f t="shared" si="28"/>
        <v>0</v>
      </c>
      <c r="S72" s="178">
        <v>0</v>
      </c>
      <c r="T72" s="80">
        <f t="shared" si="29"/>
        <v>0</v>
      </c>
      <c r="U72" s="178">
        <v>0</v>
      </c>
      <c r="V72" s="80">
        <f t="shared" si="30"/>
        <v>0</v>
      </c>
      <c r="X72" s="192"/>
    </row>
    <row r="73" spans="1:24" ht="12.75" customHeight="1">
      <c r="A73" s="2" t="s">
        <v>417</v>
      </c>
      <c r="B73" s="35"/>
      <c r="C73" s="178">
        <v>0</v>
      </c>
      <c r="D73" s="80">
        <f t="shared" si="21"/>
        <v>0</v>
      </c>
      <c r="E73" s="178">
        <v>0</v>
      </c>
      <c r="F73" s="80">
        <f t="shared" si="22"/>
        <v>0</v>
      </c>
      <c r="G73" s="178">
        <v>0</v>
      </c>
      <c r="H73" s="80">
        <f t="shared" si="23"/>
        <v>0</v>
      </c>
      <c r="I73" s="178">
        <v>0</v>
      </c>
      <c r="J73" s="80">
        <f t="shared" si="24"/>
        <v>0</v>
      </c>
      <c r="K73" s="178">
        <v>0</v>
      </c>
      <c r="L73" s="80">
        <f t="shared" si="25"/>
        <v>0</v>
      </c>
      <c r="M73" s="178">
        <v>0</v>
      </c>
      <c r="N73" s="80">
        <f t="shared" si="26"/>
        <v>0</v>
      </c>
      <c r="O73" s="178">
        <v>0</v>
      </c>
      <c r="P73" s="80">
        <f t="shared" si="27"/>
        <v>0</v>
      </c>
      <c r="Q73" s="178">
        <v>0</v>
      </c>
      <c r="R73" s="80">
        <f t="shared" si="28"/>
        <v>0</v>
      </c>
      <c r="S73" s="178">
        <v>0</v>
      </c>
      <c r="T73" s="80">
        <f t="shared" si="29"/>
        <v>0</v>
      </c>
      <c r="U73" s="178">
        <v>0</v>
      </c>
      <c r="V73" s="80">
        <f t="shared" si="30"/>
        <v>0</v>
      </c>
      <c r="X73" s="192"/>
    </row>
    <row r="74" spans="1:24" ht="12.75" customHeight="1">
      <c r="A74" s="2" t="s">
        <v>418</v>
      </c>
      <c r="B74" s="35"/>
      <c r="C74" s="178">
        <v>0</v>
      </c>
      <c r="D74" s="80">
        <f t="shared" si="21"/>
        <v>0</v>
      </c>
      <c r="E74" s="178">
        <v>0</v>
      </c>
      <c r="F74" s="80">
        <f t="shared" si="22"/>
        <v>0</v>
      </c>
      <c r="G74" s="178">
        <v>0</v>
      </c>
      <c r="H74" s="80">
        <f t="shared" si="23"/>
        <v>0</v>
      </c>
      <c r="I74" s="178">
        <v>0</v>
      </c>
      <c r="J74" s="80">
        <f t="shared" si="24"/>
        <v>0</v>
      </c>
      <c r="K74" s="178">
        <v>0</v>
      </c>
      <c r="L74" s="80">
        <f t="shared" si="25"/>
        <v>0</v>
      </c>
      <c r="M74" s="178">
        <v>0</v>
      </c>
      <c r="N74" s="80">
        <f t="shared" si="26"/>
        <v>0</v>
      </c>
      <c r="O74" s="178">
        <v>0</v>
      </c>
      <c r="P74" s="80">
        <f t="shared" si="27"/>
        <v>0</v>
      </c>
      <c r="Q74" s="178">
        <v>0</v>
      </c>
      <c r="R74" s="80">
        <f t="shared" si="28"/>
        <v>0</v>
      </c>
      <c r="S74" s="178">
        <v>0</v>
      </c>
      <c r="T74" s="80">
        <f t="shared" si="29"/>
        <v>0</v>
      </c>
      <c r="U74" s="178">
        <v>0</v>
      </c>
      <c r="V74" s="80">
        <f t="shared" si="30"/>
        <v>0</v>
      </c>
      <c r="X74" s="192"/>
    </row>
    <row r="75" spans="1:24" ht="12.75" customHeight="1">
      <c r="A75" s="2" t="s">
        <v>419</v>
      </c>
      <c r="B75" s="35"/>
      <c r="C75" s="178">
        <v>0</v>
      </c>
      <c r="D75" s="80">
        <f t="shared" si="21"/>
        <v>0</v>
      </c>
      <c r="E75" s="178">
        <v>2137.5</v>
      </c>
      <c r="F75" s="80">
        <f t="shared" si="22"/>
        <v>4.4999999999999997E-3</v>
      </c>
      <c r="G75" s="178">
        <v>2180.25</v>
      </c>
      <c r="H75" s="80">
        <f t="shared" si="23"/>
        <v>4.4999999999999997E-3</v>
      </c>
      <c r="I75" s="178">
        <v>2223.8549999999996</v>
      </c>
      <c r="J75" s="80">
        <f t="shared" si="24"/>
        <v>4.4999999999999988E-3</v>
      </c>
      <c r="K75" s="178">
        <v>2268.3320999999996</v>
      </c>
      <c r="L75" s="80">
        <f t="shared" si="25"/>
        <v>4.4999999999999997E-3</v>
      </c>
      <c r="M75" s="178">
        <v>2313.698742</v>
      </c>
      <c r="N75" s="80">
        <f t="shared" si="26"/>
        <v>4.4999999999999997E-3</v>
      </c>
      <c r="O75" s="178">
        <v>2359.97271684</v>
      </c>
      <c r="P75" s="80">
        <f t="shared" si="27"/>
        <v>4.4999999999999997E-3</v>
      </c>
      <c r="Q75" s="178">
        <v>2407.1721711768005</v>
      </c>
      <c r="R75" s="80">
        <f t="shared" si="28"/>
        <v>4.5000000000000005E-3</v>
      </c>
      <c r="S75" s="178">
        <v>2455.3156146003357</v>
      </c>
      <c r="T75" s="80">
        <f t="shared" si="29"/>
        <v>4.4999999999999988E-3</v>
      </c>
      <c r="U75" s="178">
        <v>2504.4219268923425</v>
      </c>
      <c r="V75" s="80">
        <f t="shared" si="30"/>
        <v>4.4999999999999997E-3</v>
      </c>
      <c r="X75" s="192"/>
    </row>
    <row r="76" spans="1:24" ht="12.75" customHeight="1">
      <c r="A76" s="2" t="s">
        <v>420</v>
      </c>
      <c r="B76" s="35"/>
      <c r="C76" s="178">
        <v>0</v>
      </c>
      <c r="D76" s="80">
        <f t="shared" si="21"/>
        <v>0</v>
      </c>
      <c r="E76" s="178">
        <v>190.00000000000003</v>
      </c>
      <c r="F76" s="80">
        <f t="shared" si="22"/>
        <v>4.0000000000000007E-4</v>
      </c>
      <c r="G76" s="178">
        <v>193.8</v>
      </c>
      <c r="H76" s="80">
        <f t="shared" si="23"/>
        <v>4.0000000000000002E-4</v>
      </c>
      <c r="I76" s="178">
        <v>197.67599999999999</v>
      </c>
      <c r="J76" s="80">
        <f t="shared" si="24"/>
        <v>3.9999999999999996E-4</v>
      </c>
      <c r="K76" s="178">
        <v>201.62951999999999</v>
      </c>
      <c r="L76" s="80">
        <f t="shared" si="25"/>
        <v>3.9999999999999996E-4</v>
      </c>
      <c r="M76" s="178">
        <v>205.66211040000002</v>
      </c>
      <c r="N76" s="80">
        <f t="shared" si="26"/>
        <v>4.0000000000000002E-4</v>
      </c>
      <c r="O76" s="178">
        <v>209.77535260799999</v>
      </c>
      <c r="P76" s="80">
        <f t="shared" si="27"/>
        <v>3.9999999999999996E-4</v>
      </c>
      <c r="Q76" s="178">
        <v>213.97085966016007</v>
      </c>
      <c r="R76" s="80">
        <f t="shared" si="28"/>
        <v>4.0000000000000007E-4</v>
      </c>
      <c r="S76" s="178">
        <v>218.2502768533632</v>
      </c>
      <c r="T76" s="80">
        <f t="shared" si="29"/>
        <v>3.9999999999999996E-4</v>
      </c>
      <c r="U76" s="178">
        <v>222.61528239043045</v>
      </c>
      <c r="V76" s="80">
        <f t="shared" si="30"/>
        <v>3.9999999999999996E-4</v>
      </c>
      <c r="X76" s="192"/>
    </row>
    <row r="77" spans="1:24" ht="12.75" customHeight="1">
      <c r="A77" s="2" t="s">
        <v>421</v>
      </c>
      <c r="B77" s="35"/>
      <c r="C77" s="178">
        <v>0</v>
      </c>
      <c r="D77" s="80">
        <f t="shared" si="21"/>
        <v>0</v>
      </c>
      <c r="E77" s="178">
        <v>617.5</v>
      </c>
      <c r="F77" s="80">
        <f t="shared" si="22"/>
        <v>1.2999999999999999E-3</v>
      </c>
      <c r="G77" s="178">
        <v>629.85</v>
      </c>
      <c r="H77" s="80">
        <f t="shared" si="23"/>
        <v>1.2999999999999999E-3</v>
      </c>
      <c r="I77" s="178">
        <v>642.447</v>
      </c>
      <c r="J77" s="80">
        <f t="shared" si="24"/>
        <v>1.2999999999999999E-3</v>
      </c>
      <c r="K77" s="178">
        <v>655.29593999999986</v>
      </c>
      <c r="L77" s="80">
        <f t="shared" si="25"/>
        <v>1.2999999999999997E-3</v>
      </c>
      <c r="M77" s="178">
        <v>668.40185880000001</v>
      </c>
      <c r="N77" s="80">
        <f t="shared" si="26"/>
        <v>1.2999999999999999E-3</v>
      </c>
      <c r="O77" s="178">
        <v>681.76989597599993</v>
      </c>
      <c r="P77" s="80">
        <f t="shared" si="27"/>
        <v>1.2999999999999997E-3</v>
      </c>
      <c r="Q77" s="178">
        <v>695.40529389552</v>
      </c>
      <c r="R77" s="80">
        <f t="shared" si="28"/>
        <v>1.2999999999999997E-3</v>
      </c>
      <c r="S77" s="178">
        <v>709.31339977343043</v>
      </c>
      <c r="T77" s="80">
        <f t="shared" si="29"/>
        <v>1.2999999999999999E-3</v>
      </c>
      <c r="U77" s="178">
        <v>723.49966776889903</v>
      </c>
      <c r="V77" s="80">
        <f t="shared" si="30"/>
        <v>1.2999999999999999E-3</v>
      </c>
      <c r="X77" s="192"/>
    </row>
    <row r="78" spans="1:24" ht="12.75" customHeight="1">
      <c r="A78" s="2" t="s">
        <v>422</v>
      </c>
      <c r="B78" s="35"/>
      <c r="C78" s="178">
        <v>0</v>
      </c>
      <c r="D78" s="80">
        <f t="shared" si="21"/>
        <v>0</v>
      </c>
      <c r="E78" s="178">
        <v>10449.999999999998</v>
      </c>
      <c r="F78" s="80">
        <f t="shared" si="22"/>
        <v>2.1999999999999995E-2</v>
      </c>
      <c r="G78" s="178">
        <v>10659</v>
      </c>
      <c r="H78" s="80">
        <f t="shared" si="23"/>
        <v>2.1999999999999999E-2</v>
      </c>
      <c r="I78" s="178">
        <v>10872.179999999998</v>
      </c>
      <c r="J78" s="80">
        <f t="shared" si="24"/>
        <v>2.1999999999999995E-2</v>
      </c>
      <c r="K78" s="178">
        <v>11089.623599999999</v>
      </c>
      <c r="L78" s="80">
        <f t="shared" si="25"/>
        <v>2.1999999999999999E-2</v>
      </c>
      <c r="M78" s="178">
        <v>11311.416072</v>
      </c>
      <c r="N78" s="80">
        <f t="shared" si="26"/>
        <v>2.1999999999999999E-2</v>
      </c>
      <c r="O78" s="178">
        <v>11537.644393439999</v>
      </c>
      <c r="P78" s="80">
        <f t="shared" si="27"/>
        <v>2.1999999999999995E-2</v>
      </c>
      <c r="Q78" s="178">
        <v>11768.397281308802</v>
      </c>
      <c r="R78" s="80">
        <f t="shared" si="28"/>
        <v>2.2000000000000002E-2</v>
      </c>
      <c r="S78" s="178">
        <v>12003.765226934976</v>
      </c>
      <c r="T78" s="80">
        <f t="shared" si="29"/>
        <v>2.1999999999999999E-2</v>
      </c>
      <c r="U78" s="178">
        <v>12243.840531473676</v>
      </c>
      <c r="V78" s="80">
        <f t="shared" si="30"/>
        <v>2.1999999999999999E-2</v>
      </c>
      <c r="X78" s="192"/>
    </row>
    <row r="79" spans="1:24" ht="12.75" customHeight="1">
      <c r="A79" s="2" t="s">
        <v>423</v>
      </c>
      <c r="B79" s="35"/>
      <c r="C79" s="178">
        <v>0</v>
      </c>
      <c r="D79" s="80">
        <f t="shared" si="21"/>
        <v>0</v>
      </c>
      <c r="E79" s="178">
        <v>0</v>
      </c>
      <c r="F79" s="80">
        <f t="shared" si="22"/>
        <v>0</v>
      </c>
      <c r="G79" s="178">
        <v>0</v>
      </c>
      <c r="H79" s="80">
        <f t="shared" si="23"/>
        <v>0</v>
      </c>
      <c r="I79" s="178">
        <v>0</v>
      </c>
      <c r="J79" s="80">
        <f t="shared" si="24"/>
        <v>0</v>
      </c>
      <c r="K79" s="178">
        <v>0</v>
      </c>
      <c r="L79" s="80">
        <f t="shared" si="25"/>
        <v>0</v>
      </c>
      <c r="M79" s="178">
        <v>0</v>
      </c>
      <c r="N79" s="80">
        <f t="shared" si="26"/>
        <v>0</v>
      </c>
      <c r="O79" s="178">
        <v>0</v>
      </c>
      <c r="P79" s="80">
        <f t="shared" si="27"/>
        <v>0</v>
      </c>
      <c r="Q79" s="178">
        <v>0</v>
      </c>
      <c r="R79" s="80">
        <f t="shared" si="28"/>
        <v>0</v>
      </c>
      <c r="S79" s="178">
        <v>0</v>
      </c>
      <c r="T79" s="80">
        <f t="shared" si="29"/>
        <v>0</v>
      </c>
      <c r="U79" s="178">
        <v>0</v>
      </c>
      <c r="V79" s="80">
        <f t="shared" si="30"/>
        <v>0</v>
      </c>
      <c r="X79" s="192"/>
    </row>
    <row r="80" spans="1:24" ht="12.75" customHeight="1">
      <c r="A80" s="2" t="s">
        <v>424</v>
      </c>
      <c r="B80" s="35"/>
      <c r="C80" s="178">
        <v>0</v>
      </c>
      <c r="D80" s="80">
        <f t="shared" si="21"/>
        <v>0</v>
      </c>
      <c r="E80" s="178">
        <v>0</v>
      </c>
      <c r="F80" s="80">
        <f t="shared" si="22"/>
        <v>0</v>
      </c>
      <c r="G80" s="178">
        <v>0</v>
      </c>
      <c r="H80" s="80">
        <f t="shared" si="23"/>
        <v>0</v>
      </c>
      <c r="I80" s="178">
        <v>0</v>
      </c>
      <c r="J80" s="80">
        <f t="shared" si="24"/>
        <v>0</v>
      </c>
      <c r="K80" s="178">
        <v>0</v>
      </c>
      <c r="L80" s="80">
        <f t="shared" si="25"/>
        <v>0</v>
      </c>
      <c r="M80" s="178">
        <v>0</v>
      </c>
      <c r="N80" s="80">
        <f t="shared" si="26"/>
        <v>0</v>
      </c>
      <c r="O80" s="178">
        <v>0</v>
      </c>
      <c r="P80" s="80">
        <f t="shared" si="27"/>
        <v>0</v>
      </c>
      <c r="Q80" s="178">
        <v>0</v>
      </c>
      <c r="R80" s="80">
        <f t="shared" si="28"/>
        <v>0</v>
      </c>
      <c r="S80" s="178">
        <v>0</v>
      </c>
      <c r="T80" s="80">
        <f t="shared" si="29"/>
        <v>0</v>
      </c>
      <c r="U80" s="178">
        <v>0</v>
      </c>
      <c r="V80" s="80">
        <f t="shared" si="30"/>
        <v>0</v>
      </c>
      <c r="X80" s="192"/>
    </row>
    <row r="81" spans="1:24" ht="12.75" customHeight="1">
      <c r="A81" s="2" t="s">
        <v>425</v>
      </c>
      <c r="B81" s="35"/>
      <c r="C81" s="178">
        <v>0</v>
      </c>
      <c r="D81" s="80">
        <f t="shared" si="21"/>
        <v>0</v>
      </c>
      <c r="E81" s="178">
        <v>0</v>
      </c>
      <c r="F81" s="80">
        <f t="shared" si="22"/>
        <v>0</v>
      </c>
      <c r="G81" s="178">
        <v>0</v>
      </c>
      <c r="H81" s="80">
        <f t="shared" si="23"/>
        <v>0</v>
      </c>
      <c r="I81" s="178">
        <v>0</v>
      </c>
      <c r="J81" s="80">
        <f t="shared" si="24"/>
        <v>0</v>
      </c>
      <c r="K81" s="178">
        <v>0</v>
      </c>
      <c r="L81" s="80">
        <f t="shared" si="25"/>
        <v>0</v>
      </c>
      <c r="M81" s="178">
        <v>0</v>
      </c>
      <c r="N81" s="80">
        <f t="shared" si="26"/>
        <v>0</v>
      </c>
      <c r="O81" s="178">
        <v>0</v>
      </c>
      <c r="P81" s="80">
        <f t="shared" si="27"/>
        <v>0</v>
      </c>
      <c r="Q81" s="178">
        <v>0</v>
      </c>
      <c r="R81" s="80">
        <f t="shared" si="28"/>
        <v>0</v>
      </c>
      <c r="S81" s="178">
        <v>0</v>
      </c>
      <c r="T81" s="80">
        <f t="shared" si="29"/>
        <v>0</v>
      </c>
      <c r="U81" s="178">
        <v>0</v>
      </c>
      <c r="V81" s="80">
        <f t="shared" si="30"/>
        <v>0</v>
      </c>
      <c r="X81" s="192"/>
    </row>
    <row r="82" spans="1:24" ht="12.75" customHeight="1">
      <c r="A82" s="2" t="s">
        <v>426</v>
      </c>
      <c r="B82" s="35"/>
      <c r="C82" s="178">
        <v>0</v>
      </c>
      <c r="D82" s="80">
        <f t="shared" si="21"/>
        <v>0</v>
      </c>
      <c r="E82" s="178">
        <v>0</v>
      </c>
      <c r="F82" s="80">
        <f t="shared" si="22"/>
        <v>0</v>
      </c>
      <c r="G82" s="178">
        <v>0</v>
      </c>
      <c r="H82" s="80">
        <f t="shared" si="23"/>
        <v>0</v>
      </c>
      <c r="I82" s="178">
        <v>0</v>
      </c>
      <c r="J82" s="80">
        <f t="shared" si="24"/>
        <v>0</v>
      </c>
      <c r="K82" s="178">
        <v>0</v>
      </c>
      <c r="L82" s="80">
        <f t="shared" si="25"/>
        <v>0</v>
      </c>
      <c r="M82" s="178">
        <v>0</v>
      </c>
      <c r="N82" s="80">
        <f t="shared" si="26"/>
        <v>0</v>
      </c>
      <c r="O82" s="178">
        <v>0</v>
      </c>
      <c r="P82" s="80">
        <f t="shared" si="27"/>
        <v>0</v>
      </c>
      <c r="Q82" s="178">
        <v>0</v>
      </c>
      <c r="R82" s="80">
        <f t="shared" si="28"/>
        <v>0</v>
      </c>
      <c r="S82" s="178">
        <v>0</v>
      </c>
      <c r="T82" s="80">
        <f t="shared" si="29"/>
        <v>0</v>
      </c>
      <c r="U82" s="178">
        <v>0</v>
      </c>
      <c r="V82" s="80">
        <f t="shared" si="30"/>
        <v>0</v>
      </c>
      <c r="X82" s="192"/>
    </row>
    <row r="83" spans="1:24" ht="12.75" customHeight="1">
      <c r="A83" s="2" t="s">
        <v>427</v>
      </c>
      <c r="B83" s="35"/>
      <c r="C83" s="178">
        <v>0</v>
      </c>
      <c r="D83" s="80">
        <f t="shared" si="21"/>
        <v>0</v>
      </c>
      <c r="E83" s="178">
        <v>0</v>
      </c>
      <c r="F83" s="80">
        <f t="shared" si="22"/>
        <v>0</v>
      </c>
      <c r="G83" s="178">
        <v>0</v>
      </c>
      <c r="H83" s="80">
        <f t="shared" si="23"/>
        <v>0</v>
      </c>
      <c r="I83" s="178">
        <v>0</v>
      </c>
      <c r="J83" s="80">
        <f t="shared" si="24"/>
        <v>0</v>
      </c>
      <c r="K83" s="178">
        <v>0</v>
      </c>
      <c r="L83" s="80">
        <f t="shared" si="25"/>
        <v>0</v>
      </c>
      <c r="M83" s="178">
        <v>0</v>
      </c>
      <c r="N83" s="80">
        <f t="shared" si="26"/>
        <v>0</v>
      </c>
      <c r="O83" s="178">
        <v>0</v>
      </c>
      <c r="P83" s="80">
        <f t="shared" si="27"/>
        <v>0</v>
      </c>
      <c r="Q83" s="178">
        <v>0</v>
      </c>
      <c r="R83" s="80">
        <f t="shared" si="28"/>
        <v>0</v>
      </c>
      <c r="S83" s="178">
        <v>0</v>
      </c>
      <c r="T83" s="80">
        <f t="shared" si="29"/>
        <v>0</v>
      </c>
      <c r="U83" s="178">
        <v>0</v>
      </c>
      <c r="V83" s="80">
        <f t="shared" si="30"/>
        <v>0</v>
      </c>
      <c r="X83" s="192"/>
    </row>
    <row r="84" spans="1:24" ht="12.75" customHeight="1">
      <c r="A84" s="2" t="s">
        <v>428</v>
      </c>
      <c r="B84" s="35"/>
      <c r="C84" s="178">
        <v>0</v>
      </c>
      <c r="D84" s="80">
        <f t="shared" si="21"/>
        <v>0</v>
      </c>
      <c r="E84" s="178">
        <v>0</v>
      </c>
      <c r="F84" s="80">
        <f t="shared" si="22"/>
        <v>0</v>
      </c>
      <c r="G84" s="178">
        <v>0</v>
      </c>
      <c r="H84" s="80">
        <f t="shared" si="23"/>
        <v>0</v>
      </c>
      <c r="I84" s="178">
        <v>0</v>
      </c>
      <c r="J84" s="80">
        <f t="shared" si="24"/>
        <v>0</v>
      </c>
      <c r="K84" s="178">
        <v>0</v>
      </c>
      <c r="L84" s="80">
        <f t="shared" si="25"/>
        <v>0</v>
      </c>
      <c r="M84" s="178">
        <v>0</v>
      </c>
      <c r="N84" s="80">
        <f t="shared" si="26"/>
        <v>0</v>
      </c>
      <c r="O84" s="178">
        <v>0</v>
      </c>
      <c r="P84" s="80">
        <f t="shared" si="27"/>
        <v>0</v>
      </c>
      <c r="Q84" s="178">
        <v>0</v>
      </c>
      <c r="R84" s="80">
        <f t="shared" si="28"/>
        <v>0</v>
      </c>
      <c r="S84" s="178">
        <v>0</v>
      </c>
      <c r="T84" s="80">
        <f t="shared" si="29"/>
        <v>0</v>
      </c>
      <c r="U84" s="178">
        <v>0</v>
      </c>
      <c r="V84" s="80">
        <f t="shared" si="30"/>
        <v>0</v>
      </c>
      <c r="X84" s="192"/>
    </row>
    <row r="85" spans="1:24" ht="12.75" customHeight="1">
      <c r="A85" s="2" t="s">
        <v>429</v>
      </c>
      <c r="B85" s="35"/>
      <c r="C85" s="178">
        <v>0</v>
      </c>
      <c r="D85" s="80">
        <f t="shared" si="21"/>
        <v>0</v>
      </c>
      <c r="E85" s="178">
        <v>0</v>
      </c>
      <c r="F85" s="80">
        <f t="shared" si="22"/>
        <v>0</v>
      </c>
      <c r="G85" s="178">
        <v>0</v>
      </c>
      <c r="H85" s="80">
        <f t="shared" si="23"/>
        <v>0</v>
      </c>
      <c r="I85" s="178">
        <v>0</v>
      </c>
      <c r="J85" s="80">
        <f t="shared" si="24"/>
        <v>0</v>
      </c>
      <c r="K85" s="178">
        <v>0</v>
      </c>
      <c r="L85" s="80">
        <f t="shared" si="25"/>
        <v>0</v>
      </c>
      <c r="M85" s="178">
        <v>0</v>
      </c>
      <c r="N85" s="80">
        <f t="shared" si="26"/>
        <v>0</v>
      </c>
      <c r="O85" s="178">
        <v>0</v>
      </c>
      <c r="P85" s="80">
        <f t="shared" si="27"/>
        <v>0</v>
      </c>
      <c r="Q85" s="178">
        <v>0</v>
      </c>
      <c r="R85" s="80">
        <f t="shared" si="28"/>
        <v>0</v>
      </c>
      <c r="S85" s="178">
        <v>0</v>
      </c>
      <c r="T85" s="80">
        <f t="shared" si="29"/>
        <v>0</v>
      </c>
      <c r="U85" s="178">
        <v>0</v>
      </c>
      <c r="V85" s="80">
        <f t="shared" si="30"/>
        <v>0</v>
      </c>
      <c r="X85" s="192"/>
    </row>
    <row r="86" spans="1:24" ht="12.75" customHeight="1">
      <c r="A86" s="2" t="s">
        <v>430</v>
      </c>
      <c r="B86" s="35"/>
      <c r="C86" s="178">
        <v>0</v>
      </c>
      <c r="D86" s="80">
        <f t="shared" si="21"/>
        <v>0</v>
      </c>
      <c r="E86" s="178">
        <v>1900</v>
      </c>
      <c r="F86" s="80">
        <f t="shared" si="22"/>
        <v>4.0000000000000001E-3</v>
      </c>
      <c r="G86" s="178">
        <v>1938</v>
      </c>
      <c r="H86" s="80">
        <f t="shared" si="23"/>
        <v>4.0000000000000001E-3</v>
      </c>
      <c r="I86" s="178">
        <v>1976.76</v>
      </c>
      <c r="J86" s="80">
        <f t="shared" si="24"/>
        <v>4.0000000000000001E-3</v>
      </c>
      <c r="K86" s="178">
        <v>2016.2952</v>
      </c>
      <c r="L86" s="80">
        <f t="shared" si="25"/>
        <v>4.0000000000000001E-3</v>
      </c>
      <c r="M86" s="178">
        <v>2056.6211039999998</v>
      </c>
      <c r="N86" s="80">
        <f t="shared" si="26"/>
        <v>3.9999999999999992E-3</v>
      </c>
      <c r="O86" s="178">
        <v>2097.75352608</v>
      </c>
      <c r="P86" s="80">
        <f t="shared" si="27"/>
        <v>3.9999999999999992E-3</v>
      </c>
      <c r="Q86" s="178">
        <v>2139.7085966016007</v>
      </c>
      <c r="R86" s="80">
        <f t="shared" si="28"/>
        <v>4.000000000000001E-3</v>
      </c>
      <c r="S86" s="178">
        <v>2182.5027685336318</v>
      </c>
      <c r="T86" s="80">
        <f t="shared" si="29"/>
        <v>3.9999999999999992E-3</v>
      </c>
      <c r="U86" s="178">
        <v>2226.1528239043046</v>
      </c>
      <c r="V86" s="80">
        <f t="shared" si="30"/>
        <v>3.9999999999999992E-3</v>
      </c>
      <c r="X86" s="192"/>
    </row>
    <row r="87" spans="1:24" ht="12.75" customHeight="1">
      <c r="A87" s="2" t="s">
        <v>431</v>
      </c>
      <c r="B87" s="35"/>
      <c r="C87" s="178">
        <v>0</v>
      </c>
      <c r="D87" s="80">
        <f t="shared" si="21"/>
        <v>0</v>
      </c>
      <c r="E87" s="178">
        <v>0</v>
      </c>
      <c r="F87" s="80">
        <f t="shared" si="22"/>
        <v>0</v>
      </c>
      <c r="G87" s="178">
        <v>0</v>
      </c>
      <c r="H87" s="80">
        <f t="shared" si="23"/>
        <v>0</v>
      </c>
      <c r="I87" s="178">
        <v>0</v>
      </c>
      <c r="J87" s="80">
        <f t="shared" si="24"/>
        <v>0</v>
      </c>
      <c r="K87" s="178">
        <v>0</v>
      </c>
      <c r="L87" s="80">
        <f t="shared" si="25"/>
        <v>0</v>
      </c>
      <c r="M87" s="178">
        <v>0</v>
      </c>
      <c r="N87" s="80">
        <f t="shared" si="26"/>
        <v>0</v>
      </c>
      <c r="O87" s="178">
        <v>0</v>
      </c>
      <c r="P87" s="80">
        <f t="shared" si="27"/>
        <v>0</v>
      </c>
      <c r="Q87" s="178">
        <v>0</v>
      </c>
      <c r="R87" s="80">
        <f t="shared" si="28"/>
        <v>0</v>
      </c>
      <c r="S87" s="178">
        <v>0</v>
      </c>
      <c r="T87" s="80">
        <f t="shared" si="29"/>
        <v>0</v>
      </c>
      <c r="U87" s="178">
        <v>0</v>
      </c>
      <c r="V87" s="80">
        <f t="shared" si="30"/>
        <v>0</v>
      </c>
      <c r="X87" s="192"/>
    </row>
    <row r="88" spans="1:24" ht="12.75" customHeight="1">
      <c r="A88" s="2" t="s">
        <v>432</v>
      </c>
      <c r="B88" s="35"/>
      <c r="C88" s="178">
        <v>0</v>
      </c>
      <c r="D88" s="80">
        <f t="shared" si="21"/>
        <v>0</v>
      </c>
      <c r="E88" s="178">
        <v>2422.5</v>
      </c>
      <c r="F88" s="80">
        <f t="shared" si="22"/>
        <v>5.1000000000000004E-3</v>
      </c>
      <c r="G88" s="178">
        <v>2470.9500000000003</v>
      </c>
      <c r="H88" s="80">
        <f t="shared" si="23"/>
        <v>5.1000000000000004E-3</v>
      </c>
      <c r="I88" s="178">
        <v>2520.3690000000001</v>
      </c>
      <c r="J88" s="80">
        <f t="shared" si="24"/>
        <v>5.1000000000000004E-3</v>
      </c>
      <c r="K88" s="178">
        <v>2570.7763800000002</v>
      </c>
      <c r="L88" s="80">
        <f t="shared" si="25"/>
        <v>5.1000000000000004E-3</v>
      </c>
      <c r="M88" s="178">
        <v>2622.1919076000004</v>
      </c>
      <c r="N88" s="80">
        <f t="shared" si="26"/>
        <v>5.1000000000000004E-3</v>
      </c>
      <c r="O88" s="178">
        <v>2674.6357457519998</v>
      </c>
      <c r="P88" s="80">
        <f t="shared" si="27"/>
        <v>5.0999999999999995E-3</v>
      </c>
      <c r="Q88" s="178">
        <v>2728.1284606670406</v>
      </c>
      <c r="R88" s="80">
        <f t="shared" si="28"/>
        <v>5.1000000000000004E-3</v>
      </c>
      <c r="S88" s="178">
        <v>2782.6910298803809</v>
      </c>
      <c r="T88" s="80">
        <f t="shared" si="29"/>
        <v>5.0999999999999995E-3</v>
      </c>
      <c r="U88" s="178">
        <v>2838.3448504779885</v>
      </c>
      <c r="V88" s="80">
        <f t="shared" si="30"/>
        <v>5.0999999999999995E-3</v>
      </c>
      <c r="X88" s="192"/>
    </row>
    <row r="89" spans="1:24" ht="12.75" customHeight="1">
      <c r="A89" s="2" t="s">
        <v>433</v>
      </c>
      <c r="B89" s="35"/>
      <c r="C89" s="178">
        <v>0</v>
      </c>
      <c r="D89" s="80">
        <f t="shared" si="21"/>
        <v>0</v>
      </c>
      <c r="E89" s="178">
        <v>0</v>
      </c>
      <c r="F89" s="80">
        <f t="shared" si="22"/>
        <v>0</v>
      </c>
      <c r="G89" s="178">
        <v>0</v>
      </c>
      <c r="H89" s="80">
        <f t="shared" si="23"/>
        <v>0</v>
      </c>
      <c r="I89" s="178">
        <v>0</v>
      </c>
      <c r="J89" s="80">
        <f t="shared" si="24"/>
        <v>0</v>
      </c>
      <c r="K89" s="178">
        <v>0</v>
      </c>
      <c r="L89" s="80">
        <f t="shared" si="25"/>
        <v>0</v>
      </c>
      <c r="M89" s="178">
        <v>0</v>
      </c>
      <c r="N89" s="80">
        <f t="shared" si="26"/>
        <v>0</v>
      </c>
      <c r="O89" s="178">
        <v>0</v>
      </c>
      <c r="P89" s="80">
        <f t="shared" si="27"/>
        <v>0</v>
      </c>
      <c r="Q89" s="178">
        <v>0</v>
      </c>
      <c r="R89" s="80">
        <f t="shared" si="28"/>
        <v>0</v>
      </c>
      <c r="S89" s="178">
        <v>0</v>
      </c>
      <c r="T89" s="80">
        <f t="shared" si="29"/>
        <v>0</v>
      </c>
      <c r="U89" s="178">
        <v>0</v>
      </c>
      <c r="V89" s="80">
        <f t="shared" si="30"/>
        <v>0</v>
      </c>
      <c r="X89" s="192"/>
    </row>
    <row r="90" spans="1:24" ht="12.75" customHeight="1">
      <c r="A90" s="2" t="s">
        <v>434</v>
      </c>
      <c r="B90" s="35"/>
      <c r="C90" s="178">
        <v>0</v>
      </c>
      <c r="D90" s="80">
        <f t="shared" si="21"/>
        <v>0</v>
      </c>
      <c r="E90" s="178">
        <v>95.000000000000014</v>
      </c>
      <c r="F90" s="80">
        <f t="shared" si="22"/>
        <v>2.0000000000000004E-4</v>
      </c>
      <c r="G90" s="178">
        <v>96.9</v>
      </c>
      <c r="H90" s="80">
        <f t="shared" si="23"/>
        <v>2.0000000000000001E-4</v>
      </c>
      <c r="I90" s="178">
        <v>98.837999999999994</v>
      </c>
      <c r="J90" s="80">
        <f t="shared" si="24"/>
        <v>1.9999999999999998E-4</v>
      </c>
      <c r="K90" s="178">
        <v>100.81475999999999</v>
      </c>
      <c r="L90" s="80">
        <f t="shared" si="25"/>
        <v>1.9999999999999998E-4</v>
      </c>
      <c r="M90" s="178">
        <v>102.83105520000001</v>
      </c>
      <c r="N90" s="80">
        <f t="shared" si="26"/>
        <v>2.0000000000000001E-4</v>
      </c>
      <c r="O90" s="178">
        <v>104.887676304</v>
      </c>
      <c r="P90" s="80">
        <f t="shared" si="27"/>
        <v>1.9999999999999998E-4</v>
      </c>
      <c r="Q90" s="178">
        <v>106.98542983008004</v>
      </c>
      <c r="R90" s="80">
        <f t="shared" si="28"/>
        <v>2.0000000000000004E-4</v>
      </c>
      <c r="S90" s="178">
        <v>109.1251384266816</v>
      </c>
      <c r="T90" s="80">
        <f t="shared" si="29"/>
        <v>1.9999999999999998E-4</v>
      </c>
      <c r="U90" s="178">
        <v>111.30764119521523</v>
      </c>
      <c r="V90" s="80">
        <f t="shared" si="30"/>
        <v>1.9999999999999998E-4</v>
      </c>
      <c r="X90" s="192"/>
    </row>
    <row r="91" spans="1:24" ht="12.75" customHeight="1">
      <c r="A91" s="2" t="s">
        <v>435</v>
      </c>
      <c r="C91" s="178">
        <v>0</v>
      </c>
      <c r="D91" s="80">
        <f t="shared" si="21"/>
        <v>0</v>
      </c>
      <c r="E91" s="178">
        <v>0</v>
      </c>
      <c r="F91" s="80">
        <f t="shared" si="22"/>
        <v>0</v>
      </c>
      <c r="G91" s="178">
        <v>0</v>
      </c>
      <c r="H91" s="80">
        <f t="shared" si="23"/>
        <v>0</v>
      </c>
      <c r="I91" s="178">
        <v>0</v>
      </c>
      <c r="J91" s="80">
        <f t="shared" si="24"/>
        <v>0</v>
      </c>
      <c r="K91" s="178">
        <v>0</v>
      </c>
      <c r="L91" s="80">
        <f t="shared" si="25"/>
        <v>0</v>
      </c>
      <c r="M91" s="178">
        <v>0</v>
      </c>
      <c r="N91" s="80">
        <f t="shared" si="26"/>
        <v>0</v>
      </c>
      <c r="O91" s="178">
        <v>0</v>
      </c>
      <c r="P91" s="80">
        <f t="shared" si="27"/>
        <v>0</v>
      </c>
      <c r="Q91" s="178">
        <v>0</v>
      </c>
      <c r="R91" s="80">
        <f t="shared" si="28"/>
        <v>0</v>
      </c>
      <c r="S91" s="178">
        <v>0</v>
      </c>
      <c r="T91" s="80">
        <f t="shared" si="29"/>
        <v>0</v>
      </c>
      <c r="U91" s="178">
        <v>0</v>
      </c>
      <c r="V91" s="80">
        <f t="shared" si="30"/>
        <v>0</v>
      </c>
      <c r="X91" s="192"/>
    </row>
    <row r="92" spans="1:24" ht="12.75" customHeight="1">
      <c r="A92" s="2" t="s">
        <v>436</v>
      </c>
      <c r="B92" s="35"/>
      <c r="C92" s="178">
        <v>0</v>
      </c>
      <c r="D92" s="80">
        <f t="shared" si="21"/>
        <v>0</v>
      </c>
      <c r="E92" s="178">
        <v>2470</v>
      </c>
      <c r="F92" s="80">
        <f t="shared" si="22"/>
        <v>5.1999999999999998E-3</v>
      </c>
      <c r="G92" s="178">
        <v>2519.4</v>
      </c>
      <c r="H92" s="80">
        <f t="shared" si="23"/>
        <v>5.1999999999999998E-3</v>
      </c>
      <c r="I92" s="178">
        <v>2569.788</v>
      </c>
      <c r="J92" s="80">
        <f t="shared" si="24"/>
        <v>5.1999999999999998E-3</v>
      </c>
      <c r="K92" s="178">
        <v>2621.1837599999994</v>
      </c>
      <c r="L92" s="80">
        <f t="shared" si="25"/>
        <v>5.1999999999999989E-3</v>
      </c>
      <c r="M92" s="178">
        <v>2673.6074352000001</v>
      </c>
      <c r="N92" s="80">
        <f t="shared" si="26"/>
        <v>5.1999999999999998E-3</v>
      </c>
      <c r="O92" s="178">
        <v>2727.0795839039997</v>
      </c>
      <c r="P92" s="80">
        <f t="shared" si="27"/>
        <v>5.1999999999999989E-3</v>
      </c>
      <c r="Q92" s="178">
        <v>2781.62117558208</v>
      </c>
      <c r="R92" s="80">
        <f t="shared" si="28"/>
        <v>5.1999999999999989E-3</v>
      </c>
      <c r="S92" s="178">
        <v>2837.2535990937217</v>
      </c>
      <c r="T92" s="80">
        <f t="shared" si="29"/>
        <v>5.1999999999999998E-3</v>
      </c>
      <c r="U92" s="178">
        <v>2893.9986710755961</v>
      </c>
      <c r="V92" s="80">
        <f t="shared" si="30"/>
        <v>5.1999999999999998E-3</v>
      </c>
      <c r="X92" s="192"/>
    </row>
    <row r="93" spans="1:24" ht="12.75" customHeight="1">
      <c r="A93" s="2" t="s">
        <v>437</v>
      </c>
      <c r="B93" s="35"/>
      <c r="C93" s="178">
        <v>0</v>
      </c>
      <c r="D93" s="80">
        <f t="shared" si="21"/>
        <v>0</v>
      </c>
      <c r="E93" s="178">
        <v>0</v>
      </c>
      <c r="F93" s="80">
        <f t="shared" si="22"/>
        <v>0</v>
      </c>
      <c r="G93" s="178">
        <v>0</v>
      </c>
      <c r="H93" s="80">
        <f t="shared" si="23"/>
        <v>0</v>
      </c>
      <c r="I93" s="178">
        <v>0</v>
      </c>
      <c r="J93" s="80">
        <f t="shared" si="24"/>
        <v>0</v>
      </c>
      <c r="K93" s="178">
        <v>0</v>
      </c>
      <c r="L93" s="80">
        <f t="shared" si="25"/>
        <v>0</v>
      </c>
      <c r="M93" s="178">
        <v>0</v>
      </c>
      <c r="N93" s="80">
        <f t="shared" si="26"/>
        <v>0</v>
      </c>
      <c r="O93" s="178">
        <v>0</v>
      </c>
      <c r="P93" s="80">
        <f t="shared" si="27"/>
        <v>0</v>
      </c>
      <c r="Q93" s="178">
        <v>0</v>
      </c>
      <c r="R93" s="80">
        <f t="shared" si="28"/>
        <v>0</v>
      </c>
      <c r="S93" s="178">
        <v>0</v>
      </c>
      <c r="T93" s="80">
        <f t="shared" si="29"/>
        <v>0</v>
      </c>
      <c r="U93" s="178">
        <v>0</v>
      </c>
      <c r="V93" s="80">
        <f t="shared" si="30"/>
        <v>0</v>
      </c>
      <c r="X93" s="192"/>
    </row>
    <row r="94" spans="1:24" ht="12.75" customHeight="1">
      <c r="A94" s="2" t="s">
        <v>438</v>
      </c>
      <c r="B94" s="35"/>
      <c r="C94" s="178">
        <v>0</v>
      </c>
      <c r="D94" s="80">
        <f t="shared" si="21"/>
        <v>0</v>
      </c>
      <c r="E94" s="178">
        <v>0</v>
      </c>
      <c r="F94" s="80">
        <f t="shared" si="22"/>
        <v>0</v>
      </c>
      <c r="G94" s="178">
        <v>0</v>
      </c>
      <c r="H94" s="80">
        <f t="shared" si="23"/>
        <v>0</v>
      </c>
      <c r="I94" s="178">
        <v>0</v>
      </c>
      <c r="J94" s="80">
        <f t="shared" si="24"/>
        <v>0</v>
      </c>
      <c r="K94" s="178">
        <v>0</v>
      </c>
      <c r="L94" s="80">
        <f t="shared" si="25"/>
        <v>0</v>
      </c>
      <c r="M94" s="178">
        <v>0</v>
      </c>
      <c r="N94" s="80">
        <f t="shared" si="26"/>
        <v>0</v>
      </c>
      <c r="O94" s="178">
        <v>0</v>
      </c>
      <c r="P94" s="80">
        <f t="shared" si="27"/>
        <v>0</v>
      </c>
      <c r="Q94" s="178">
        <v>0</v>
      </c>
      <c r="R94" s="80">
        <f t="shared" si="28"/>
        <v>0</v>
      </c>
      <c r="S94" s="178">
        <v>0</v>
      </c>
      <c r="T94" s="80">
        <f t="shared" si="29"/>
        <v>0</v>
      </c>
      <c r="U94" s="178">
        <v>0</v>
      </c>
      <c r="V94" s="80">
        <f t="shared" si="30"/>
        <v>0</v>
      </c>
      <c r="X94" s="192"/>
    </row>
    <row r="95" spans="1:24" ht="12.75" customHeight="1">
      <c r="A95" s="2" t="s">
        <v>439</v>
      </c>
      <c r="B95" s="35"/>
      <c r="C95" s="178">
        <v>0</v>
      </c>
      <c r="D95" s="80">
        <f t="shared" si="21"/>
        <v>0</v>
      </c>
      <c r="E95" s="178">
        <v>0</v>
      </c>
      <c r="F95" s="80">
        <f t="shared" si="22"/>
        <v>0</v>
      </c>
      <c r="G95" s="178">
        <v>0</v>
      </c>
      <c r="H95" s="80">
        <f t="shared" si="23"/>
        <v>0</v>
      </c>
      <c r="I95" s="178">
        <v>0</v>
      </c>
      <c r="J95" s="80">
        <f t="shared" si="24"/>
        <v>0</v>
      </c>
      <c r="K95" s="178">
        <v>0</v>
      </c>
      <c r="L95" s="80">
        <f t="shared" si="25"/>
        <v>0</v>
      </c>
      <c r="M95" s="178">
        <v>0</v>
      </c>
      <c r="N95" s="80">
        <f t="shared" si="26"/>
        <v>0</v>
      </c>
      <c r="O95" s="178">
        <v>0</v>
      </c>
      <c r="P95" s="80">
        <f t="shared" si="27"/>
        <v>0</v>
      </c>
      <c r="Q95" s="178">
        <v>0</v>
      </c>
      <c r="R95" s="80">
        <f t="shared" si="28"/>
        <v>0</v>
      </c>
      <c r="S95" s="178">
        <v>0</v>
      </c>
      <c r="T95" s="80">
        <f t="shared" si="29"/>
        <v>0</v>
      </c>
      <c r="U95" s="178">
        <v>0</v>
      </c>
      <c r="V95" s="80">
        <f t="shared" si="30"/>
        <v>0</v>
      </c>
      <c r="X95" s="192"/>
    </row>
    <row r="96" spans="1:24" ht="12.75" customHeight="1">
      <c r="A96" s="2" t="s">
        <v>440</v>
      </c>
      <c r="B96" s="35"/>
      <c r="C96" s="178">
        <v>0</v>
      </c>
      <c r="D96" s="80">
        <f t="shared" si="21"/>
        <v>0</v>
      </c>
      <c r="E96" s="178">
        <v>0</v>
      </c>
      <c r="F96" s="80">
        <f t="shared" si="22"/>
        <v>0</v>
      </c>
      <c r="G96" s="178">
        <v>0</v>
      </c>
      <c r="H96" s="80">
        <f t="shared" si="23"/>
        <v>0</v>
      </c>
      <c r="I96" s="178">
        <v>0</v>
      </c>
      <c r="J96" s="80">
        <f t="shared" si="24"/>
        <v>0</v>
      </c>
      <c r="K96" s="178">
        <v>0</v>
      </c>
      <c r="L96" s="80">
        <f t="shared" si="25"/>
        <v>0</v>
      </c>
      <c r="M96" s="178">
        <v>0</v>
      </c>
      <c r="N96" s="80">
        <f t="shared" si="26"/>
        <v>0</v>
      </c>
      <c r="O96" s="178">
        <v>0</v>
      </c>
      <c r="P96" s="80">
        <f t="shared" si="27"/>
        <v>0</v>
      </c>
      <c r="Q96" s="178">
        <v>0</v>
      </c>
      <c r="R96" s="80">
        <f t="shared" si="28"/>
        <v>0</v>
      </c>
      <c r="S96" s="178">
        <v>0</v>
      </c>
      <c r="T96" s="80">
        <f t="shared" si="29"/>
        <v>0</v>
      </c>
      <c r="U96" s="178">
        <v>0</v>
      </c>
      <c r="V96" s="80">
        <f t="shared" si="30"/>
        <v>0</v>
      </c>
      <c r="X96" s="192"/>
    </row>
    <row r="97" spans="1:24" ht="12.75" customHeight="1">
      <c r="A97" s="2" t="s">
        <v>441</v>
      </c>
      <c r="B97" s="35"/>
      <c r="C97" s="178">
        <v>0</v>
      </c>
      <c r="D97" s="80">
        <f t="shared" si="21"/>
        <v>0</v>
      </c>
      <c r="E97" s="178">
        <v>9834.6</v>
      </c>
      <c r="F97" s="80">
        <f t="shared" si="22"/>
        <v>2.070442105263158E-2</v>
      </c>
      <c r="G97" s="178">
        <v>7053.445999999999</v>
      </c>
      <c r="H97" s="80">
        <f t="shared" si="23"/>
        <v>1.455819607843137E-2</v>
      </c>
      <c r="I97" s="178">
        <v>7261.6743844999974</v>
      </c>
      <c r="J97" s="80">
        <f t="shared" si="24"/>
        <v>1.4694094142940969E-2</v>
      </c>
      <c r="K97" s="178">
        <v>7443.2162441124965</v>
      </c>
      <c r="L97" s="80">
        <f t="shared" si="25"/>
        <v>1.4766124016190678E-2</v>
      </c>
      <c r="M97" s="178">
        <v>7629.2966502153104</v>
      </c>
      <c r="N97" s="80">
        <f t="shared" si="26"/>
        <v>1.4838506977054361E-2</v>
      </c>
      <c r="O97" s="178">
        <v>7820.0290664706909</v>
      </c>
      <c r="P97" s="80">
        <f t="shared" si="27"/>
        <v>1.491124475635364E-2</v>
      </c>
      <c r="Q97" s="178">
        <v>8015.5297931324594</v>
      </c>
      <c r="R97" s="80">
        <f t="shared" si="28"/>
        <v>1.4984339093394592E-2</v>
      </c>
      <c r="S97" s="178">
        <v>8215.9180379607697</v>
      </c>
      <c r="T97" s="80">
        <f t="shared" si="29"/>
        <v>1.505779173600927E-2</v>
      </c>
      <c r="U97" s="178">
        <v>8421.3159889097878</v>
      </c>
      <c r="V97" s="80">
        <f t="shared" si="30"/>
        <v>1.513160444059755E-2</v>
      </c>
      <c r="X97" s="192"/>
    </row>
    <row r="98" spans="1:24" ht="12.75" customHeight="1">
      <c r="A98" s="117" t="s">
        <v>444</v>
      </c>
      <c r="B98" s="35"/>
      <c r="C98" s="178">
        <v>0</v>
      </c>
      <c r="D98" s="80">
        <f t="shared" si="21"/>
        <v>0</v>
      </c>
      <c r="E98" s="178">
        <v>569.99999999999989</v>
      </c>
      <c r="F98" s="80">
        <f t="shared" si="22"/>
        <v>1.1999999999999997E-3</v>
      </c>
      <c r="G98" s="178">
        <v>581.4</v>
      </c>
      <c r="H98" s="80">
        <f t="shared" si="23"/>
        <v>1.1999999999999999E-3</v>
      </c>
      <c r="I98" s="178">
        <v>593.02799999999979</v>
      </c>
      <c r="J98" s="80">
        <f t="shared" si="24"/>
        <v>1.1999999999999997E-3</v>
      </c>
      <c r="K98" s="178">
        <v>604.88855999999998</v>
      </c>
      <c r="L98" s="80">
        <f t="shared" si="25"/>
        <v>1.1999999999999999E-3</v>
      </c>
      <c r="M98" s="178">
        <v>616.9863312</v>
      </c>
      <c r="N98" s="80">
        <f t="shared" si="26"/>
        <v>1.1999999999999999E-3</v>
      </c>
      <c r="O98" s="178">
        <v>629.32605782400003</v>
      </c>
      <c r="P98" s="80">
        <f t="shared" si="27"/>
        <v>1.1999999999999999E-3</v>
      </c>
      <c r="Q98" s="178">
        <v>641.91257898048002</v>
      </c>
      <c r="R98" s="80">
        <f t="shared" si="28"/>
        <v>1.1999999999999999E-3</v>
      </c>
      <c r="S98" s="178">
        <v>654.75083056008953</v>
      </c>
      <c r="T98" s="80">
        <f t="shared" si="29"/>
        <v>1.1999999999999997E-3</v>
      </c>
      <c r="U98" s="178">
        <v>667.84584717129133</v>
      </c>
      <c r="V98" s="80">
        <f t="shared" si="30"/>
        <v>1.1999999999999999E-3</v>
      </c>
      <c r="X98" s="192"/>
    </row>
    <row r="99" spans="1:24" ht="12.75" customHeight="1">
      <c r="A99" s="117" t="s">
        <v>444</v>
      </c>
      <c r="B99" s="35"/>
      <c r="C99" s="178">
        <v>0</v>
      </c>
      <c r="D99" s="80">
        <f t="shared" si="21"/>
        <v>0</v>
      </c>
      <c r="E99" s="178">
        <v>0</v>
      </c>
      <c r="F99" s="80">
        <f t="shared" si="22"/>
        <v>0</v>
      </c>
      <c r="G99" s="178">
        <v>0</v>
      </c>
      <c r="H99" s="80">
        <f t="shared" si="23"/>
        <v>0</v>
      </c>
      <c r="I99" s="178">
        <v>0</v>
      </c>
      <c r="J99" s="80">
        <f t="shared" si="24"/>
        <v>0</v>
      </c>
      <c r="K99" s="178">
        <v>0</v>
      </c>
      <c r="L99" s="80">
        <f t="shared" si="25"/>
        <v>0</v>
      </c>
      <c r="M99" s="178">
        <v>0</v>
      </c>
      <c r="N99" s="80">
        <f t="shared" si="26"/>
        <v>0</v>
      </c>
      <c r="O99" s="178">
        <v>0</v>
      </c>
      <c r="P99" s="80">
        <f t="shared" si="27"/>
        <v>0</v>
      </c>
      <c r="Q99" s="178">
        <v>0</v>
      </c>
      <c r="R99" s="80">
        <f t="shared" si="28"/>
        <v>0</v>
      </c>
      <c r="S99" s="178">
        <v>0</v>
      </c>
      <c r="T99" s="80">
        <f t="shared" si="29"/>
        <v>0</v>
      </c>
      <c r="U99" s="178">
        <v>0</v>
      </c>
      <c r="V99" s="80">
        <f t="shared" si="30"/>
        <v>0</v>
      </c>
      <c r="X99" s="192"/>
    </row>
    <row r="100" spans="1:24" ht="12.75" customHeight="1">
      <c r="A100" s="117" t="s">
        <v>444</v>
      </c>
      <c r="B100" s="35"/>
      <c r="C100" s="178">
        <v>0</v>
      </c>
      <c r="D100" s="80">
        <f t="shared" si="21"/>
        <v>0</v>
      </c>
      <c r="E100" s="178">
        <v>0</v>
      </c>
      <c r="F100" s="80">
        <f t="shared" si="22"/>
        <v>0</v>
      </c>
      <c r="G100" s="178">
        <v>0</v>
      </c>
      <c r="H100" s="80">
        <f t="shared" si="23"/>
        <v>0</v>
      </c>
      <c r="I100" s="178">
        <v>0</v>
      </c>
      <c r="J100" s="80">
        <f t="shared" si="24"/>
        <v>0</v>
      </c>
      <c r="K100" s="178">
        <v>0</v>
      </c>
      <c r="L100" s="80">
        <f t="shared" si="25"/>
        <v>0</v>
      </c>
      <c r="M100" s="178">
        <v>0</v>
      </c>
      <c r="N100" s="80">
        <f t="shared" si="26"/>
        <v>0</v>
      </c>
      <c r="O100" s="178">
        <v>0</v>
      </c>
      <c r="P100" s="80">
        <f t="shared" si="27"/>
        <v>0</v>
      </c>
      <c r="Q100" s="178">
        <v>0</v>
      </c>
      <c r="R100" s="80">
        <f t="shared" si="28"/>
        <v>0</v>
      </c>
      <c r="S100" s="178">
        <v>0</v>
      </c>
      <c r="T100" s="80">
        <f t="shared" si="29"/>
        <v>0</v>
      </c>
      <c r="U100" s="178">
        <v>0</v>
      </c>
      <c r="V100" s="80">
        <f t="shared" si="30"/>
        <v>0</v>
      </c>
      <c r="X100" s="192"/>
    </row>
    <row r="101" spans="1:24" ht="12.75" customHeight="1">
      <c r="A101" s="2" t="s">
        <v>445</v>
      </c>
      <c r="B101" s="35"/>
      <c r="C101" s="178"/>
      <c r="D101" s="80">
        <f t="shared" si="21"/>
        <v>0</v>
      </c>
      <c r="E101" s="178"/>
      <c r="F101" s="80">
        <f t="shared" si="22"/>
        <v>0</v>
      </c>
      <c r="G101" s="178"/>
      <c r="H101" s="80">
        <f t="shared" si="23"/>
        <v>0</v>
      </c>
      <c r="I101" s="178">
        <v>0</v>
      </c>
      <c r="J101" s="80">
        <f t="shared" si="24"/>
        <v>0</v>
      </c>
      <c r="K101" s="178">
        <v>0</v>
      </c>
      <c r="L101" s="80">
        <f t="shared" si="25"/>
        <v>0</v>
      </c>
      <c r="M101" s="178">
        <v>0</v>
      </c>
      <c r="N101" s="80">
        <f t="shared" si="26"/>
        <v>0</v>
      </c>
      <c r="O101" s="178">
        <v>0</v>
      </c>
      <c r="P101" s="80">
        <f t="shared" si="27"/>
        <v>0</v>
      </c>
      <c r="Q101" s="178">
        <v>0</v>
      </c>
      <c r="R101" s="80">
        <f t="shared" si="28"/>
        <v>0</v>
      </c>
      <c r="S101" s="178">
        <v>0</v>
      </c>
      <c r="T101" s="80">
        <f t="shared" si="29"/>
        <v>0</v>
      </c>
      <c r="U101" s="178">
        <v>0</v>
      </c>
      <c r="V101" s="80">
        <f t="shared" si="30"/>
        <v>0</v>
      </c>
      <c r="X101" s="192"/>
    </row>
    <row r="102" spans="1:24" ht="12.75" customHeight="1">
      <c r="A102" s="117" t="s">
        <v>446</v>
      </c>
      <c r="B102" s="35"/>
      <c r="C102" s="178">
        <v>0</v>
      </c>
      <c r="D102" s="80">
        <f t="shared" si="21"/>
        <v>0</v>
      </c>
      <c r="E102" s="178">
        <v>4750</v>
      </c>
      <c r="F102" s="80">
        <f t="shared" si="22"/>
        <v>0.01</v>
      </c>
      <c r="G102" s="178">
        <v>4845</v>
      </c>
      <c r="H102" s="80">
        <f t="shared" si="23"/>
        <v>0.01</v>
      </c>
      <c r="I102" s="178">
        <v>4941.9000000000005</v>
      </c>
      <c r="J102" s="80">
        <f t="shared" si="24"/>
        <v>1.0000000000000002E-2</v>
      </c>
      <c r="K102" s="178">
        <v>5040.7380000000003</v>
      </c>
      <c r="L102" s="80">
        <f t="shared" si="25"/>
        <v>0.01</v>
      </c>
      <c r="M102" s="178">
        <v>5141.5527599999996</v>
      </c>
      <c r="N102" s="80">
        <f t="shared" si="26"/>
        <v>9.9999999999999985E-3</v>
      </c>
      <c r="O102" s="178">
        <v>5244.3838152000008</v>
      </c>
      <c r="P102" s="80">
        <f t="shared" si="27"/>
        <v>0.01</v>
      </c>
      <c r="Q102" s="178">
        <v>5349.2714915040015</v>
      </c>
      <c r="R102" s="80">
        <f t="shared" si="28"/>
        <v>1.0000000000000002E-2</v>
      </c>
      <c r="S102" s="178">
        <v>5456.2569213340803</v>
      </c>
      <c r="T102" s="80">
        <f t="shared" si="29"/>
        <v>0.01</v>
      </c>
      <c r="U102" s="178">
        <v>5565.382059760761</v>
      </c>
      <c r="V102" s="80">
        <f t="shared" si="30"/>
        <v>9.9999999999999985E-3</v>
      </c>
      <c r="X102" s="192"/>
    </row>
    <row r="103" spans="1:24" ht="12.75" customHeight="1">
      <c r="A103" s="117" t="s">
        <v>446</v>
      </c>
      <c r="B103" s="35"/>
      <c r="C103" s="178">
        <v>0</v>
      </c>
      <c r="D103" s="80">
        <f t="shared" si="21"/>
        <v>0</v>
      </c>
      <c r="E103" s="178">
        <v>0</v>
      </c>
      <c r="F103" s="80">
        <f t="shared" si="22"/>
        <v>0</v>
      </c>
      <c r="G103" s="178">
        <v>0</v>
      </c>
      <c r="H103" s="80">
        <f t="shared" si="23"/>
        <v>0</v>
      </c>
      <c r="I103" s="178">
        <v>0</v>
      </c>
      <c r="J103" s="80">
        <f t="shared" si="24"/>
        <v>0</v>
      </c>
      <c r="K103" s="178">
        <v>0</v>
      </c>
      <c r="L103" s="80">
        <f t="shared" si="25"/>
        <v>0</v>
      </c>
      <c r="M103" s="178">
        <v>0</v>
      </c>
      <c r="N103" s="80">
        <f t="shared" si="26"/>
        <v>0</v>
      </c>
      <c r="O103" s="178">
        <v>0</v>
      </c>
      <c r="P103" s="80">
        <f t="shared" si="27"/>
        <v>0</v>
      </c>
      <c r="Q103" s="178">
        <v>0</v>
      </c>
      <c r="R103" s="80">
        <f t="shared" si="28"/>
        <v>0</v>
      </c>
      <c r="S103" s="178">
        <v>0</v>
      </c>
      <c r="T103" s="80">
        <f t="shared" si="29"/>
        <v>0</v>
      </c>
      <c r="U103" s="178">
        <v>0</v>
      </c>
      <c r="V103" s="80">
        <f t="shared" si="30"/>
        <v>0</v>
      </c>
      <c r="X103" s="192"/>
    </row>
    <row r="104" spans="1:24" ht="12.75" customHeight="1">
      <c r="A104" s="117" t="s">
        <v>446</v>
      </c>
      <c r="B104" s="1"/>
      <c r="C104" s="178">
        <v>0</v>
      </c>
      <c r="D104" s="80">
        <f t="shared" si="21"/>
        <v>0</v>
      </c>
      <c r="E104" s="178">
        <v>0</v>
      </c>
      <c r="F104" s="80">
        <f t="shared" si="22"/>
        <v>0</v>
      </c>
      <c r="G104" s="178">
        <v>0</v>
      </c>
      <c r="H104" s="80">
        <f t="shared" si="23"/>
        <v>0</v>
      </c>
      <c r="I104" s="178">
        <v>0</v>
      </c>
      <c r="J104" s="80">
        <f t="shared" si="24"/>
        <v>0</v>
      </c>
      <c r="K104" s="178">
        <v>0</v>
      </c>
      <c r="L104" s="80">
        <f t="shared" si="25"/>
        <v>0</v>
      </c>
      <c r="M104" s="178">
        <v>0</v>
      </c>
      <c r="N104" s="80">
        <f t="shared" si="26"/>
        <v>0</v>
      </c>
      <c r="O104" s="178">
        <v>0</v>
      </c>
      <c r="P104" s="80">
        <f t="shared" si="27"/>
        <v>0</v>
      </c>
      <c r="Q104" s="178">
        <v>0</v>
      </c>
      <c r="R104" s="80">
        <f t="shared" si="28"/>
        <v>0</v>
      </c>
      <c r="S104" s="178">
        <v>0</v>
      </c>
      <c r="T104" s="80">
        <f t="shared" si="29"/>
        <v>0</v>
      </c>
      <c r="U104" s="178">
        <v>0</v>
      </c>
      <c r="V104" s="80">
        <f t="shared" si="30"/>
        <v>0</v>
      </c>
      <c r="X104" s="192"/>
    </row>
    <row r="105" spans="1:24" ht="12.75" customHeight="1">
      <c r="A105" s="1" t="s">
        <v>447</v>
      </c>
      <c r="B105" s="53"/>
      <c r="C105" s="82">
        <f>SUM(C52:C104)</f>
        <v>0</v>
      </c>
      <c r="D105" s="83">
        <f t="shared" ref="D105" si="31">IFERROR(C105/C$28,0)</f>
        <v>0</v>
      </c>
      <c r="E105" s="82">
        <f>SUM(E52:E104)</f>
        <v>53703.363238564758</v>
      </c>
      <c r="F105" s="83">
        <f t="shared" ref="F105" si="32">IFERROR(E105/E$28,0)</f>
        <v>0.11305971208118896</v>
      </c>
      <c r="G105" s="82">
        <f>SUM(G52:G104)</f>
        <v>51736.272578417527</v>
      </c>
      <c r="H105" s="83">
        <f t="shared" ref="H105" si="33">IFERROR(G105/G$28,0)</f>
        <v>0.10678281233935506</v>
      </c>
      <c r="I105" s="82">
        <f>SUM(I52:I104)</f>
        <v>52853.657456990848</v>
      </c>
      <c r="J105" s="83">
        <f t="shared" ref="J105" si="34">IFERROR(I105/I$28,0)</f>
        <v>0.10695007478295969</v>
      </c>
      <c r="K105" s="82">
        <f>SUM(K52:K104)</f>
        <v>53928.014394224869</v>
      </c>
      <c r="L105" s="83">
        <f t="shared" ref="L105" si="35">IFERROR(K105/K$28,0)</f>
        <v>0.10698436299253179</v>
      </c>
      <c r="M105" s="82">
        <f>SUM(M52:M104)</f>
        <v>55054.373043410131</v>
      </c>
      <c r="N105" s="83">
        <f t="shared" ref="N105" si="36">IFERROR(M105/M$28,0)</f>
        <v>0.10707732782928815</v>
      </c>
      <c r="O105" s="82">
        <f>SUM(O52:O104)</f>
        <v>56206.828621180903</v>
      </c>
      <c r="P105" s="83">
        <f t="shared" ref="P105" si="37">IFERROR(O105/O$28,0)</f>
        <v>0.10717527664217573</v>
      </c>
      <c r="Q105" s="82">
        <f>SUM(Q52:Q104)</f>
        <v>57389.316262901382</v>
      </c>
      <c r="R105" s="83">
        <f t="shared" ref="R105" si="38">IFERROR(Q105/Q$28,0)</f>
        <v>0.10728435891513483</v>
      </c>
      <c r="S105" s="82">
        <f>SUM(S52:S104)</f>
        <v>58596.33661325217</v>
      </c>
      <c r="T105" s="83">
        <f t="shared" ref="T105" si="39">IFERROR(S105/S$28,0)</f>
        <v>0.10739292056453437</v>
      </c>
      <c r="U105" s="82">
        <f>SUM(U52:U104)</f>
        <v>59830.222542349169</v>
      </c>
      <c r="V105" s="83">
        <f t="shared" si="30"/>
        <v>0.10750425020222436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448</v>
      </c>
      <c r="B107" s="53"/>
      <c r="C107" s="82">
        <f>C28-C33-C46-C105</f>
        <v>0</v>
      </c>
      <c r="D107" s="83">
        <f>IFERROR(C107/C$28,0)</f>
        <v>0</v>
      </c>
      <c r="E107" s="82">
        <f>E28-E33-E46-E105</f>
        <v>-2291.3632385647579</v>
      </c>
      <c r="F107" s="83">
        <f>IFERROR(E107/E$28,0)</f>
        <v>-4.8239226075047536E-3</v>
      </c>
      <c r="G107" s="82">
        <f>G28-G33-G46-G105</f>
        <v>80222.547421582509</v>
      </c>
      <c r="H107" s="83">
        <f>IFERROR(G107/G$28,0)</f>
        <v>0.16557801325404026</v>
      </c>
      <c r="I107" s="82">
        <f>I28-I33-I46-I105</f>
        <v>79971.258033009217</v>
      </c>
      <c r="J107" s="83">
        <f>IFERROR(I107/I$28,0)</f>
        <v>0.1618228981424335</v>
      </c>
      <c r="K107" s="82">
        <f>K28-K33-K46-K105</f>
        <v>80586.696983025191</v>
      </c>
      <c r="L107" s="83">
        <f>IFERROR(K107/K$28,0)</f>
        <v>0.15987083038837804</v>
      </c>
      <c r="M107" s="82">
        <f>M28-M33-M46-M105</f>
        <v>81159.762578271184</v>
      </c>
      <c r="N107" s="83">
        <f>IFERROR(M107/M$28,0)</f>
        <v>0.15785068512701828</v>
      </c>
      <c r="O107" s="82">
        <f>O28-O33-O46-O105</f>
        <v>81715.94798024249</v>
      </c>
      <c r="P107" s="83">
        <f>IFERROR(O107/O$28,0)</f>
        <v>0.1558161089266617</v>
      </c>
      <c r="Q107" s="82">
        <f>Q28-Q33-Q46-Q105</f>
        <v>82250.883094541641</v>
      </c>
      <c r="R107" s="83">
        <f>IFERROR(Q107/Q$28,0)</f>
        <v>0.15376090599472639</v>
      </c>
      <c r="S107" s="82">
        <f>S28-S33-S46-S105</f>
        <v>82769.608135930583</v>
      </c>
      <c r="T107" s="83">
        <f>IFERROR(S107/S$28,0)</f>
        <v>0.15169668387919868</v>
      </c>
      <c r="U107" s="82">
        <f>U28-U33-U46-U105</f>
        <v>83269.30604152297</v>
      </c>
      <c r="V107" s="83">
        <f>IFERROR(U107/U$28,0)</f>
        <v>0.14962010720446828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449</v>
      </c>
      <c r="B110" s="40"/>
      <c r="C110" s="86" t="str">
        <f>C50</f>
        <v>FY 2018-19</v>
      </c>
      <c r="D110" s="86" t="s">
        <v>366</v>
      </c>
      <c r="E110" s="86" t="str">
        <f>E50</f>
        <v>FY 2019-20</v>
      </c>
      <c r="F110" s="86" t="s">
        <v>366</v>
      </c>
      <c r="G110" s="86" t="str">
        <f>G50</f>
        <v>FY 2020-21</v>
      </c>
      <c r="H110" s="86" t="s">
        <v>366</v>
      </c>
      <c r="I110" s="86" t="str">
        <f>I50</f>
        <v>FY 2021-22</v>
      </c>
      <c r="J110" s="86" t="s">
        <v>366</v>
      </c>
      <c r="K110" s="86" t="str">
        <f>K50</f>
        <v>FY 2022-23</v>
      </c>
      <c r="L110" s="86" t="s">
        <v>366</v>
      </c>
      <c r="M110" s="86" t="str">
        <f>M50</f>
        <v>FY 2023-24</v>
      </c>
      <c r="N110" s="86" t="s">
        <v>366</v>
      </c>
      <c r="O110" s="86" t="str">
        <f>O50</f>
        <v>FY 2024-25</v>
      </c>
      <c r="P110" s="86" t="s">
        <v>366</v>
      </c>
      <c r="Q110" s="86" t="str">
        <f>Q50</f>
        <v>FY 2025-26</v>
      </c>
      <c r="R110" s="86" t="s">
        <v>366</v>
      </c>
      <c r="S110" s="86" t="str">
        <f>S50</f>
        <v>FY 2026-27</v>
      </c>
      <c r="T110" s="86" t="s">
        <v>366</v>
      </c>
      <c r="U110" s="86" t="str">
        <f>U50</f>
        <v>FY 2027-28</v>
      </c>
      <c r="V110" s="86" t="s">
        <v>366</v>
      </c>
    </row>
    <row r="111" spans="1:24" ht="12.75" customHeight="1">
      <c r="A111" s="2" t="s">
        <v>403</v>
      </c>
      <c r="B111" s="35"/>
      <c r="C111" s="79">
        <f>C59</f>
        <v>0</v>
      </c>
      <c r="D111" s="80">
        <f t="shared" ref="D111:D116" si="40">IFERROR(C111/C$28,0)</f>
        <v>0</v>
      </c>
      <c r="E111" s="79">
        <f>E59</f>
        <v>0</v>
      </c>
      <c r="F111" s="80">
        <f t="shared" ref="F111:F116" si="41">IFERROR(E111/E$28,0)</f>
        <v>0</v>
      </c>
      <c r="G111" s="79">
        <f>G59</f>
        <v>0</v>
      </c>
      <c r="H111" s="80">
        <f t="shared" ref="H111:H116" si="42">IFERROR(G111/G$28,0)</f>
        <v>0</v>
      </c>
      <c r="I111" s="79">
        <f>I59</f>
        <v>0</v>
      </c>
      <c r="J111" s="80">
        <f t="shared" ref="J111:J116" si="43">IFERROR(I111/I$28,0)</f>
        <v>0</v>
      </c>
      <c r="K111" s="79">
        <f>K59</f>
        <v>0</v>
      </c>
      <c r="L111" s="80">
        <f t="shared" ref="L111:L116" si="44">IFERROR(K111/K$28,0)</f>
        <v>0</v>
      </c>
      <c r="M111" s="79">
        <f>M59</f>
        <v>0</v>
      </c>
      <c r="N111" s="80">
        <f t="shared" ref="N111:N116" si="45">IFERROR(M111/M$28,0)</f>
        <v>0</v>
      </c>
      <c r="O111" s="79">
        <f>O59</f>
        <v>0</v>
      </c>
      <c r="P111" s="80">
        <f t="shared" ref="P111:P116" si="46">IFERROR(O111/O$28,0)</f>
        <v>0</v>
      </c>
      <c r="Q111" s="79">
        <f>Q59</f>
        <v>0</v>
      </c>
      <c r="R111" s="80">
        <f t="shared" ref="R111:R116" si="47">IFERROR(Q111/Q$28,0)</f>
        <v>0</v>
      </c>
      <c r="S111" s="79">
        <f>S59</f>
        <v>0</v>
      </c>
      <c r="T111" s="80">
        <f t="shared" ref="T111:T116" si="48">IFERROR(S111/S$28,0)</f>
        <v>0</v>
      </c>
      <c r="U111" s="79">
        <f>U59</f>
        <v>0</v>
      </c>
      <c r="V111" s="80">
        <f t="shared" ref="V111:V116" si="49">IFERROR(U111/U$28,0)</f>
        <v>0</v>
      </c>
    </row>
    <row r="112" spans="1:24" ht="12.75" customHeight="1">
      <c r="A112" s="2" t="s">
        <v>450</v>
      </c>
      <c r="B112" s="35"/>
      <c r="C112" s="79">
        <f>C62</f>
        <v>0</v>
      </c>
      <c r="D112" s="80">
        <f t="shared" si="40"/>
        <v>0</v>
      </c>
      <c r="E112" s="79">
        <f>E62</f>
        <v>0</v>
      </c>
      <c r="F112" s="80">
        <f t="shared" si="41"/>
        <v>0</v>
      </c>
      <c r="G112" s="79">
        <f>G62</f>
        <v>0</v>
      </c>
      <c r="H112" s="80">
        <f t="shared" si="42"/>
        <v>0</v>
      </c>
      <c r="I112" s="79">
        <f>I62</f>
        <v>0</v>
      </c>
      <c r="J112" s="80">
        <f t="shared" si="43"/>
        <v>0</v>
      </c>
      <c r="K112" s="79">
        <f>K62</f>
        <v>0</v>
      </c>
      <c r="L112" s="80">
        <f t="shared" si="44"/>
        <v>0</v>
      </c>
      <c r="M112" s="79">
        <f>M62</f>
        <v>0</v>
      </c>
      <c r="N112" s="80">
        <f t="shared" si="45"/>
        <v>0</v>
      </c>
      <c r="O112" s="79">
        <f>O62</f>
        <v>0</v>
      </c>
      <c r="P112" s="80">
        <f t="shared" si="46"/>
        <v>0</v>
      </c>
      <c r="Q112" s="79">
        <f>Q62</f>
        <v>0</v>
      </c>
      <c r="R112" s="80">
        <f t="shared" si="47"/>
        <v>0</v>
      </c>
      <c r="S112" s="79">
        <f>S62</f>
        <v>0</v>
      </c>
      <c r="T112" s="80">
        <f t="shared" si="48"/>
        <v>0</v>
      </c>
      <c r="U112" s="79">
        <f>U62</f>
        <v>0</v>
      </c>
      <c r="V112" s="80">
        <f t="shared" si="49"/>
        <v>0</v>
      </c>
    </row>
    <row r="113" spans="1:22" ht="12.75" customHeight="1">
      <c r="A113" s="117" t="s">
        <v>446</v>
      </c>
      <c r="B113" s="41"/>
      <c r="C113" s="111">
        <v>0</v>
      </c>
      <c r="D113" s="80">
        <f t="shared" si="40"/>
        <v>0</v>
      </c>
      <c r="E113" s="111">
        <v>0</v>
      </c>
      <c r="F113" s="80">
        <f t="shared" si="41"/>
        <v>0</v>
      </c>
      <c r="G113" s="111">
        <v>0</v>
      </c>
      <c r="H113" s="80">
        <f t="shared" si="42"/>
        <v>0</v>
      </c>
      <c r="I113" s="111">
        <v>0</v>
      </c>
      <c r="J113" s="80">
        <f t="shared" si="43"/>
        <v>0</v>
      </c>
      <c r="K113" s="111">
        <v>0</v>
      </c>
      <c r="L113" s="80">
        <f t="shared" si="44"/>
        <v>0</v>
      </c>
      <c r="M113" s="111">
        <v>0</v>
      </c>
      <c r="N113" s="80">
        <f t="shared" si="45"/>
        <v>0</v>
      </c>
      <c r="O113" s="111">
        <v>0</v>
      </c>
      <c r="P113" s="80">
        <f t="shared" si="46"/>
        <v>0</v>
      </c>
      <c r="Q113" s="111">
        <v>0</v>
      </c>
      <c r="R113" s="80">
        <f t="shared" si="47"/>
        <v>0</v>
      </c>
      <c r="S113" s="111">
        <v>0</v>
      </c>
      <c r="T113" s="80">
        <f t="shared" si="48"/>
        <v>0</v>
      </c>
      <c r="U113" s="111">
        <v>0</v>
      </c>
      <c r="V113" s="80">
        <f t="shared" si="49"/>
        <v>0</v>
      </c>
    </row>
    <row r="114" spans="1:22" ht="12.75" customHeight="1">
      <c r="A114" s="117" t="s">
        <v>446</v>
      </c>
      <c r="B114" s="41"/>
      <c r="C114" s="111">
        <v>0</v>
      </c>
      <c r="D114" s="80">
        <f t="shared" si="40"/>
        <v>0</v>
      </c>
      <c r="E114" s="111">
        <v>0</v>
      </c>
      <c r="F114" s="80">
        <f t="shared" si="41"/>
        <v>0</v>
      </c>
      <c r="G114" s="111">
        <v>0</v>
      </c>
      <c r="H114" s="80">
        <f t="shared" si="42"/>
        <v>0</v>
      </c>
      <c r="I114" s="111">
        <v>0</v>
      </c>
      <c r="J114" s="80">
        <f t="shared" si="43"/>
        <v>0</v>
      </c>
      <c r="K114" s="111">
        <v>0</v>
      </c>
      <c r="L114" s="80">
        <f t="shared" si="44"/>
        <v>0</v>
      </c>
      <c r="M114" s="111">
        <v>0</v>
      </c>
      <c r="N114" s="80">
        <f t="shared" si="45"/>
        <v>0</v>
      </c>
      <c r="O114" s="111">
        <v>0</v>
      </c>
      <c r="P114" s="80">
        <f t="shared" si="46"/>
        <v>0</v>
      </c>
      <c r="Q114" s="111">
        <v>0</v>
      </c>
      <c r="R114" s="80">
        <f t="shared" si="47"/>
        <v>0</v>
      </c>
      <c r="S114" s="111">
        <v>0</v>
      </c>
      <c r="T114" s="80">
        <f t="shared" si="48"/>
        <v>0</v>
      </c>
      <c r="U114" s="111">
        <v>0</v>
      </c>
      <c r="V114" s="80">
        <f t="shared" si="49"/>
        <v>0</v>
      </c>
    </row>
    <row r="115" spans="1:22" ht="12.75" customHeight="1">
      <c r="A115" s="117" t="s">
        <v>446</v>
      </c>
      <c r="B115" s="41"/>
      <c r="C115" s="112">
        <v>0</v>
      </c>
      <c r="D115" s="80">
        <f t="shared" si="40"/>
        <v>0</v>
      </c>
      <c r="E115" s="112">
        <v>0</v>
      </c>
      <c r="F115" s="80">
        <f t="shared" si="41"/>
        <v>0</v>
      </c>
      <c r="G115" s="112">
        <v>0</v>
      </c>
      <c r="H115" s="80">
        <f t="shared" si="42"/>
        <v>0</v>
      </c>
      <c r="I115" s="112">
        <v>0</v>
      </c>
      <c r="J115" s="80">
        <f t="shared" si="43"/>
        <v>0</v>
      </c>
      <c r="K115" s="112">
        <v>0</v>
      </c>
      <c r="L115" s="80">
        <f t="shared" si="44"/>
        <v>0</v>
      </c>
      <c r="M115" s="112">
        <v>0</v>
      </c>
      <c r="N115" s="80">
        <f t="shared" si="45"/>
        <v>0</v>
      </c>
      <c r="O115" s="112">
        <v>0</v>
      </c>
      <c r="P115" s="80">
        <f t="shared" si="46"/>
        <v>0</v>
      </c>
      <c r="Q115" s="112">
        <v>0</v>
      </c>
      <c r="R115" s="80">
        <f t="shared" si="47"/>
        <v>0</v>
      </c>
      <c r="S115" s="112">
        <v>0</v>
      </c>
      <c r="T115" s="80">
        <f t="shared" si="48"/>
        <v>0</v>
      </c>
      <c r="U115" s="112">
        <v>0</v>
      </c>
      <c r="V115" s="80">
        <f t="shared" si="49"/>
        <v>0</v>
      </c>
    </row>
    <row r="116" spans="1:22" ht="12.75" customHeight="1">
      <c r="A116" s="40" t="s">
        <v>451</v>
      </c>
      <c r="B116" s="42"/>
      <c r="C116" s="85">
        <f>SUM(C111:C115)</f>
        <v>0</v>
      </c>
      <c r="D116" s="83">
        <f t="shared" si="40"/>
        <v>0</v>
      </c>
      <c r="E116" s="85">
        <f>SUM(E111:E115)</f>
        <v>0</v>
      </c>
      <c r="F116" s="83">
        <f t="shared" si="41"/>
        <v>0</v>
      </c>
      <c r="G116" s="85">
        <f>SUM(G111:G115)</f>
        <v>0</v>
      </c>
      <c r="H116" s="83">
        <f t="shared" si="42"/>
        <v>0</v>
      </c>
      <c r="I116" s="85">
        <f>SUM(I111:I115)</f>
        <v>0</v>
      </c>
      <c r="J116" s="83">
        <f t="shared" si="43"/>
        <v>0</v>
      </c>
      <c r="K116" s="85">
        <f>SUM(K111:K115)</f>
        <v>0</v>
      </c>
      <c r="L116" s="83">
        <f t="shared" si="44"/>
        <v>0</v>
      </c>
      <c r="M116" s="85">
        <f>SUM(M111:M115)</f>
        <v>0</v>
      </c>
      <c r="N116" s="83">
        <f t="shared" si="45"/>
        <v>0</v>
      </c>
      <c r="O116" s="85">
        <f>SUM(O111:O115)</f>
        <v>0</v>
      </c>
      <c r="P116" s="83">
        <f t="shared" si="46"/>
        <v>0</v>
      </c>
      <c r="Q116" s="85">
        <f>SUM(Q111:Q115)</f>
        <v>0</v>
      </c>
      <c r="R116" s="83">
        <f t="shared" si="47"/>
        <v>0</v>
      </c>
      <c r="S116" s="85">
        <f>SUM(S111:S115)</f>
        <v>0</v>
      </c>
      <c r="T116" s="83">
        <f t="shared" si="48"/>
        <v>0</v>
      </c>
      <c r="U116" s="85">
        <f>SUM(U111:U115)</f>
        <v>0</v>
      </c>
      <c r="V116" s="83">
        <f t="shared" si="49"/>
        <v>0</v>
      </c>
    </row>
    <row r="118" spans="1:22" ht="12.75" customHeight="1">
      <c r="A118" s="43" t="s">
        <v>452</v>
      </c>
      <c r="B118" s="43"/>
    </row>
    <row r="119" spans="1:22" ht="12.75" customHeight="1">
      <c r="A119" s="47" t="s">
        <v>453</v>
      </c>
      <c r="B119" s="47"/>
    </row>
    <row r="125" spans="1:22" ht="12.75" customHeight="1">
      <c r="G125" s="289" t="s">
        <v>481</v>
      </c>
      <c r="H125" s="289"/>
      <c r="I125" s="289"/>
      <c r="J125" s="289"/>
    </row>
    <row r="126" spans="1:22" ht="12.75" customHeight="1">
      <c r="G126" s="244" t="s">
        <v>482</v>
      </c>
      <c r="H126" s="245"/>
      <c r="I126" s="245"/>
      <c r="J126" s="245" t="s">
        <v>483</v>
      </c>
    </row>
    <row r="127" spans="1:22" ht="12.75" customHeight="1">
      <c r="G127" s="246" t="s">
        <v>484</v>
      </c>
      <c r="H127" s="247"/>
      <c r="I127" s="247"/>
      <c r="J127" s="248">
        <v>4</v>
      </c>
    </row>
    <row r="128" spans="1:22" ht="12.75" customHeight="1">
      <c r="G128" s="246" t="s">
        <v>485</v>
      </c>
      <c r="H128" s="247"/>
      <c r="I128" s="247"/>
      <c r="J128" s="248">
        <v>5</v>
      </c>
    </row>
    <row r="129" spans="7:10" ht="12.75" customHeight="1">
      <c r="G129" s="246" t="s">
        <v>486</v>
      </c>
      <c r="H129" s="247"/>
      <c r="I129" s="247"/>
      <c r="J129" s="248">
        <v>4</v>
      </c>
    </row>
    <row r="130" spans="7:10" ht="12.75" customHeight="1">
      <c r="G130" s="246" t="s">
        <v>487</v>
      </c>
      <c r="H130" s="247"/>
      <c r="I130" s="247"/>
      <c r="J130" s="248">
        <v>4</v>
      </c>
    </row>
    <row r="131" spans="7:10" ht="12.75" customHeight="1">
      <c r="G131" s="246" t="s">
        <v>488</v>
      </c>
      <c r="H131" s="247"/>
      <c r="I131" s="247"/>
      <c r="J131" s="248">
        <v>4</v>
      </c>
    </row>
    <row r="132" spans="7:10" ht="12.75" customHeight="1">
      <c r="G132" s="246" t="s">
        <v>489</v>
      </c>
      <c r="H132" s="247"/>
      <c r="I132" s="247"/>
      <c r="J132" s="248">
        <v>5</v>
      </c>
    </row>
    <row r="133" spans="7:10" ht="12.75" customHeight="1">
      <c r="G133" s="246" t="s">
        <v>490</v>
      </c>
      <c r="H133" s="247"/>
      <c r="I133" s="247"/>
      <c r="J133" s="248">
        <v>2</v>
      </c>
    </row>
    <row r="134" spans="7:10" ht="12.75" customHeight="1">
      <c r="G134" s="246" t="s">
        <v>491</v>
      </c>
      <c r="H134" s="247"/>
      <c r="I134" s="247"/>
      <c r="J134" s="248">
        <v>6</v>
      </c>
    </row>
    <row r="135" spans="7:10" ht="12.75" customHeight="1">
      <c r="G135" s="246" t="s">
        <v>492</v>
      </c>
      <c r="H135" s="247"/>
      <c r="I135" s="247"/>
      <c r="J135" s="248">
        <v>3</v>
      </c>
    </row>
    <row r="136" spans="7:10" ht="12.75" customHeight="1">
      <c r="G136" s="246" t="s">
        <v>493</v>
      </c>
      <c r="H136" s="247"/>
      <c r="I136" s="247"/>
      <c r="J136" s="248">
        <v>4</v>
      </c>
    </row>
    <row r="137" spans="7:10" ht="12.75" customHeight="1">
      <c r="G137" s="246" t="s">
        <v>494</v>
      </c>
      <c r="H137" s="247"/>
      <c r="I137" s="247"/>
      <c r="J137" s="248">
        <v>2</v>
      </c>
    </row>
    <row r="138" spans="7:10" ht="12.75" customHeight="1">
      <c r="G138" s="246" t="s">
        <v>495</v>
      </c>
      <c r="H138" s="247"/>
      <c r="I138" s="247"/>
      <c r="J138" s="248">
        <v>4</v>
      </c>
    </row>
    <row r="139" spans="7:10" ht="12.75" customHeight="1">
      <c r="G139" s="246" t="s">
        <v>496</v>
      </c>
      <c r="H139" s="247"/>
      <c r="I139" s="247"/>
      <c r="J139" s="248">
        <v>4</v>
      </c>
    </row>
    <row r="140" spans="7:10" ht="12.75" customHeight="1">
      <c r="G140" s="246" t="s">
        <v>497</v>
      </c>
      <c r="H140" s="247"/>
      <c r="I140" s="247"/>
      <c r="J140" s="248">
        <v>2</v>
      </c>
    </row>
    <row r="141" spans="7:10" ht="12.75" customHeight="1">
      <c r="G141" s="246" t="s">
        <v>498</v>
      </c>
      <c r="H141" s="247"/>
      <c r="I141" s="247"/>
      <c r="J141" s="248">
        <v>3</v>
      </c>
    </row>
    <row r="142" spans="7:10" ht="12.75" customHeight="1">
      <c r="G142" s="246" t="s">
        <v>499</v>
      </c>
      <c r="H142" s="247"/>
      <c r="I142" s="247"/>
      <c r="J142" s="248">
        <v>5</v>
      </c>
    </row>
    <row r="143" spans="7:10" ht="12.75" customHeight="1">
      <c r="G143" s="246" t="s">
        <v>500</v>
      </c>
      <c r="H143" s="247"/>
      <c r="I143" s="247"/>
      <c r="J143" s="248">
        <v>4</v>
      </c>
    </row>
    <row r="144" spans="7:10" ht="12.75" customHeight="1">
      <c r="G144" s="246" t="s">
        <v>501</v>
      </c>
      <c r="H144" s="247"/>
      <c r="I144" s="247"/>
      <c r="J144" s="248">
        <v>4</v>
      </c>
    </row>
    <row r="145" spans="7:10" ht="12.75" customHeight="1">
      <c r="G145" s="246" t="s">
        <v>502</v>
      </c>
      <c r="H145" s="247"/>
      <c r="I145" s="247"/>
      <c r="J145" s="248">
        <v>6</v>
      </c>
    </row>
    <row r="146" spans="7:10" ht="12.75" customHeight="1">
      <c r="G146" s="246" t="s">
        <v>503</v>
      </c>
      <c r="H146" s="247"/>
      <c r="I146" s="247"/>
      <c r="J146" s="248">
        <v>6</v>
      </c>
    </row>
    <row r="147" spans="7:10" ht="12.75" customHeight="1">
      <c r="G147" s="246" t="s">
        <v>504</v>
      </c>
      <c r="H147" s="247"/>
      <c r="I147" s="247"/>
      <c r="J147" s="248">
        <v>5</v>
      </c>
    </row>
    <row r="148" spans="7:10" ht="12.75" customHeight="1">
      <c r="G148" s="246" t="s">
        <v>505</v>
      </c>
      <c r="H148" s="247"/>
      <c r="I148" s="247"/>
      <c r="J148" s="248">
        <v>6</v>
      </c>
    </row>
    <row r="149" spans="7:10" ht="12.75" customHeight="1">
      <c r="G149" s="246" t="s">
        <v>506</v>
      </c>
      <c r="H149" s="247"/>
      <c r="I149" s="247"/>
      <c r="J149" s="248">
        <v>7.5</v>
      </c>
    </row>
  </sheetData>
  <mergeCells count="1">
    <mergeCell ref="G125:J125"/>
  </mergeCells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7" tint="0.39997558519241921"/>
  </sheetPr>
  <dimension ref="A1:X119"/>
  <sheetViews>
    <sheetView topLeftCell="A9" zoomScale="70" zoomScaleNormal="70" workbookViewId="0" xr3:uid="{8CA7FA36-F026-53D8-85D7-7434F22EA588}">
      <selection activeCell="W59" sqref="W59"/>
    </sheetView>
  </sheetViews>
  <sheetFormatPr defaultColWidth="9.140625" defaultRowHeight="12.75" customHeight="1"/>
  <cols>
    <col min="1" max="1" width="9.5703125" style="2" customWidth="1"/>
    <col min="2" max="2" width="45.5703125" style="2" customWidth="1"/>
    <col min="3" max="3" width="12.7109375" style="2" customWidth="1"/>
    <col min="4" max="4" width="8.7109375" style="2" customWidth="1"/>
    <col min="5" max="5" width="12.7109375" style="2" customWidth="1"/>
    <col min="6" max="6" width="8.7109375" style="2" customWidth="1"/>
    <col min="7" max="7" width="12.710937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355</v>
      </c>
      <c r="G2" s="33" t="s">
        <v>72</v>
      </c>
      <c r="H2" s="34"/>
      <c r="I2" s="34"/>
      <c r="V2" s="32"/>
    </row>
    <row r="3" spans="1:22" ht="12.75" customHeight="1">
      <c r="A3" s="1" t="s">
        <v>357</v>
      </c>
      <c r="D3" s="118" t="s">
        <v>358</v>
      </c>
      <c r="G3" s="115"/>
      <c r="H3" s="116"/>
      <c r="I3" s="116"/>
      <c r="V3" s="32"/>
    </row>
    <row r="4" spans="1:22" ht="12.75" customHeight="1">
      <c r="A4" s="1" t="s">
        <v>359</v>
      </c>
      <c r="B4" s="109"/>
      <c r="D4" s="118" t="s">
        <v>360</v>
      </c>
      <c r="G4" s="115"/>
      <c r="H4" s="116"/>
      <c r="I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361</v>
      </c>
      <c r="B7" s="1"/>
    </row>
    <row r="8" spans="1:22" ht="12.75" customHeight="1">
      <c r="A8" s="2" t="s">
        <v>362</v>
      </c>
      <c r="C8" s="109">
        <v>285</v>
      </c>
      <c r="E8" s="109">
        <f>+C8</f>
        <v>285</v>
      </c>
      <c r="G8" s="109">
        <f>+E8</f>
        <v>285</v>
      </c>
      <c r="I8" s="109">
        <f>+G8</f>
        <v>285</v>
      </c>
      <c r="K8" s="109">
        <f>+I8</f>
        <v>285</v>
      </c>
      <c r="M8" s="109">
        <f>+K8</f>
        <v>285</v>
      </c>
      <c r="O8" s="109">
        <f>+M8</f>
        <v>285</v>
      </c>
      <c r="Q8" s="109">
        <f>+O8</f>
        <v>285</v>
      </c>
      <c r="S8" s="109">
        <f>+Q8</f>
        <v>285</v>
      </c>
      <c r="U8" s="109">
        <f>+S8</f>
        <v>285</v>
      </c>
    </row>
    <row r="10" spans="1:22" ht="12.75" customHeight="1">
      <c r="A10" s="2" t="s">
        <v>462</v>
      </c>
      <c r="C10" s="201">
        <f>+C14/C8/C12</f>
        <v>335.53829930016298</v>
      </c>
      <c r="D10" s="202"/>
      <c r="E10" s="201">
        <f>+E14/E8/E12</f>
        <v>347.69318941637221</v>
      </c>
      <c r="F10" s="202"/>
      <c r="G10" s="201">
        <f>+G14/G8/G12</f>
        <v>359.74412565710304</v>
      </c>
      <c r="H10" s="202"/>
      <c r="I10" s="201">
        <f>+I14/I8/I12</f>
        <v>372.29519039969762</v>
      </c>
      <c r="J10" s="202"/>
      <c r="K10" s="201">
        <f>+K14/K8/K12</f>
        <v>380.95238095238102</v>
      </c>
      <c r="L10" s="202"/>
      <c r="M10" s="201">
        <f>+M14/M8/M12</f>
        <v>390.76376554174067</v>
      </c>
      <c r="N10" s="202"/>
      <c r="O10" s="201">
        <f t="shared" ref="O10" si="0">+O14/O8/O12</f>
        <v>399.85121815138552</v>
      </c>
      <c r="P10" s="202"/>
      <c r="Q10" s="201">
        <f t="shared" ref="Q10" si="1">+Q14/Q8/Q12</f>
        <v>410.07615700058579</v>
      </c>
      <c r="R10" s="202"/>
      <c r="S10" s="201">
        <f>+S14/S8/S12</f>
        <v>420.1938412464728</v>
      </c>
      <c r="T10" s="202"/>
      <c r="U10" s="201">
        <f>+U14/U8/U12</f>
        <v>430.20594965675059</v>
      </c>
    </row>
    <row r="12" spans="1:22" ht="12.75" customHeight="1">
      <c r="A12" s="2" t="s">
        <v>463</v>
      </c>
      <c r="C12" s="110">
        <v>5.49</v>
      </c>
      <c r="E12" s="110">
        <v>5.51</v>
      </c>
      <c r="G12" s="110">
        <v>5.54</v>
      </c>
      <c r="I12" s="110">
        <v>5.57</v>
      </c>
      <c r="K12" s="110">
        <v>5.6</v>
      </c>
      <c r="M12" s="110">
        <v>5.63</v>
      </c>
      <c r="O12" s="110">
        <v>5.66</v>
      </c>
      <c r="Q12" s="110">
        <v>5.69</v>
      </c>
      <c r="S12" s="110">
        <v>5.72</v>
      </c>
      <c r="U12" s="110">
        <v>5.75</v>
      </c>
    </row>
    <row r="14" spans="1:22" ht="12.75" customHeight="1">
      <c r="A14" s="2" t="s">
        <v>464</v>
      </c>
      <c r="C14" s="121">
        <v>525000</v>
      </c>
      <c r="E14" s="121">
        <v>546000</v>
      </c>
      <c r="G14" s="121">
        <v>568000</v>
      </c>
      <c r="I14" s="121">
        <v>591000</v>
      </c>
      <c r="K14" s="121">
        <v>608000</v>
      </c>
      <c r="M14" s="121">
        <v>627000</v>
      </c>
      <c r="O14" s="121">
        <v>645000</v>
      </c>
      <c r="Q14" s="121">
        <v>665000</v>
      </c>
      <c r="S14" s="121">
        <v>685000</v>
      </c>
      <c r="U14" s="121">
        <v>705000</v>
      </c>
    </row>
    <row r="15" spans="1:22" ht="12.75" customHeight="1">
      <c r="A15" s="39">
        <v>0.05</v>
      </c>
    </row>
    <row r="16" spans="1:22" ht="12.75" customHeight="1">
      <c r="B16" s="35"/>
      <c r="C16" s="86" t="str">
        <f>C6</f>
        <v>FY 2018-19</v>
      </c>
      <c r="D16" s="86" t="s">
        <v>366</v>
      </c>
      <c r="E16" s="86" t="str">
        <f>E6</f>
        <v>FY 2019-20</v>
      </c>
      <c r="F16" s="86" t="s">
        <v>366</v>
      </c>
      <c r="G16" s="86" t="str">
        <f>G6</f>
        <v>FY 2020-21</v>
      </c>
      <c r="H16" s="86" t="s">
        <v>366</v>
      </c>
      <c r="I16" s="86" t="str">
        <f>I6</f>
        <v>FY 2021-22</v>
      </c>
      <c r="J16" s="86" t="s">
        <v>366</v>
      </c>
      <c r="K16" s="86" t="str">
        <f>K6</f>
        <v>FY 2022-23</v>
      </c>
      <c r="L16" s="86" t="s">
        <v>366</v>
      </c>
      <c r="M16" s="86" t="str">
        <f>M6</f>
        <v>FY 2023-24</v>
      </c>
      <c r="N16" s="86" t="s">
        <v>366</v>
      </c>
      <c r="O16" s="86" t="str">
        <f>O6</f>
        <v>FY 2024-25</v>
      </c>
      <c r="P16" s="86" t="s">
        <v>366</v>
      </c>
      <c r="Q16" s="86" t="str">
        <f>Q6</f>
        <v>FY 2025-26</v>
      </c>
      <c r="R16" s="86" t="s">
        <v>366</v>
      </c>
      <c r="S16" s="86" t="str">
        <f>S6</f>
        <v>FY 2026-27</v>
      </c>
      <c r="T16" s="86" t="s">
        <v>366</v>
      </c>
      <c r="U16" s="86" t="str">
        <f>U6</f>
        <v>FY 2027-28</v>
      </c>
      <c r="V16" s="86" t="s">
        <v>366</v>
      </c>
    </row>
    <row r="17" spans="1:24" ht="12.75" customHeight="1">
      <c r="A17" s="1" t="s">
        <v>367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368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369</v>
      </c>
      <c r="B19" s="35"/>
      <c r="C19" s="200">
        <f>+C14-C20</f>
        <v>460005</v>
      </c>
      <c r="D19" s="80">
        <f>IFERROR(C19/C$28,0)</f>
        <v>0.87619999999999998</v>
      </c>
      <c r="E19" s="200">
        <f>+E14-E20</f>
        <v>458640</v>
      </c>
      <c r="F19" s="80">
        <f>IFERROR(E19/E$28,0)</f>
        <v>0.84</v>
      </c>
      <c r="G19" s="200">
        <f>+G14-G20</f>
        <v>478892.79999999999</v>
      </c>
      <c r="H19" s="80">
        <f>IFERROR(G19/G$28,0)</f>
        <v>0.84312112676056339</v>
      </c>
      <c r="I19" s="200">
        <f>+I14-I20</f>
        <v>500110.65600000002</v>
      </c>
      <c r="J19" s="80">
        <f>IFERROR(I19/I$28,0)</f>
        <v>0.846210923857868</v>
      </c>
      <c r="K19" s="200">
        <f>+K14-K20</f>
        <v>515292.86911999999</v>
      </c>
      <c r="L19" s="80">
        <f>IFERROR(K19/K$28,0)</f>
        <v>0.84752116631578944</v>
      </c>
      <c r="M19" s="200">
        <f>+M14-M20</f>
        <v>532438.72650240001</v>
      </c>
      <c r="N19" s="80">
        <f>IFERROR(M19/M$28,0)</f>
        <v>0.84918457177416273</v>
      </c>
      <c r="O19" s="200">
        <f>+O14-O20</f>
        <v>548547.50103244802</v>
      </c>
      <c r="P19" s="80">
        <f>IFERROR(O19/O$28,0)</f>
        <v>0.8504612419107721</v>
      </c>
      <c r="Q19" s="200">
        <f>+Q14-Q20</f>
        <v>566618.45105309691</v>
      </c>
      <c r="R19" s="80">
        <f>IFERROR(Q19/Q$28,0)</f>
        <v>0.85205782113247652</v>
      </c>
      <c r="S19" s="200">
        <f>+S14-S20</f>
        <v>584650.82007415895</v>
      </c>
      <c r="T19" s="80">
        <f>IFERROR(S19/S$28,0)</f>
        <v>0.85350484682358974</v>
      </c>
      <c r="U19" s="200">
        <f>+U14-U20</f>
        <v>602643.83647564205</v>
      </c>
      <c r="V19" s="80">
        <f>IFERROR(U19/U$28,0)</f>
        <v>0.85481395244771918</v>
      </c>
    </row>
    <row r="20" spans="1:24" ht="12.75" customHeight="1">
      <c r="A20" s="2" t="s">
        <v>370</v>
      </c>
      <c r="B20" s="35"/>
      <c r="C20" s="111">
        <f>+C14*12.38%</f>
        <v>64995.000000000007</v>
      </c>
      <c r="D20" s="80">
        <f>IFERROR(C20/C$28,0)</f>
        <v>0.12380000000000001</v>
      </c>
      <c r="E20" s="111">
        <f>+E14*16%</f>
        <v>87360</v>
      </c>
      <c r="F20" s="80">
        <f>IFERROR(E20/E$28,0)</f>
        <v>0.16</v>
      </c>
      <c r="G20" s="111">
        <f t="shared" ref="G20:U21" si="2">E20*1.02</f>
        <v>89107.199999999997</v>
      </c>
      <c r="H20" s="80">
        <f>IFERROR(G20/G$28,0)</f>
        <v>0.15687887323943661</v>
      </c>
      <c r="I20" s="111">
        <f t="shared" si="2"/>
        <v>90889.343999999997</v>
      </c>
      <c r="J20" s="80">
        <f>IFERROR(I20/I$28,0)</f>
        <v>0.15378907614213197</v>
      </c>
      <c r="K20" s="111">
        <f t="shared" si="2"/>
        <v>92707.130879999997</v>
      </c>
      <c r="L20" s="80">
        <f>IFERROR(K20/K$28,0)</f>
        <v>0.15247883368421053</v>
      </c>
      <c r="M20" s="111">
        <f t="shared" si="2"/>
        <v>94561.273497599992</v>
      </c>
      <c r="N20" s="80">
        <f>IFERROR(M20/M$28,0)</f>
        <v>0.15081542822583729</v>
      </c>
      <c r="O20" s="111">
        <f t="shared" si="2"/>
        <v>96452.49896755199</v>
      </c>
      <c r="P20" s="80">
        <f>IFERROR(O20/O$28,0)</f>
        <v>0.1495387580892279</v>
      </c>
      <c r="Q20" s="111">
        <f t="shared" si="2"/>
        <v>98381.548946903029</v>
      </c>
      <c r="R20" s="80">
        <f>IFERROR(Q20/Q$28,0)</f>
        <v>0.14794217886752334</v>
      </c>
      <c r="S20" s="111">
        <f t="shared" si="2"/>
        <v>100349.17992584109</v>
      </c>
      <c r="T20" s="80">
        <f>IFERROR(S20/S$28,0)</f>
        <v>0.14649515317641035</v>
      </c>
      <c r="U20" s="111">
        <f t="shared" si="2"/>
        <v>102356.16352435791</v>
      </c>
      <c r="V20" s="80">
        <f>IFERROR(U20/U$28,0)</f>
        <v>0.14518604755228073</v>
      </c>
    </row>
    <row r="21" spans="1:24" ht="12.75" customHeight="1">
      <c r="A21" s="2" t="s">
        <v>371</v>
      </c>
      <c r="B21" s="35"/>
      <c r="C21" s="111"/>
      <c r="D21" s="80">
        <f>IFERROR(C21/C$28,0)</f>
        <v>0</v>
      </c>
      <c r="E21" s="111">
        <v>0</v>
      </c>
      <c r="F21" s="80">
        <f>IFERROR(E21/E$28,0)</f>
        <v>0</v>
      </c>
      <c r="G21" s="111">
        <f t="shared" si="2"/>
        <v>0</v>
      </c>
      <c r="H21" s="80">
        <f>IFERROR(G21/G$28,0)</f>
        <v>0</v>
      </c>
      <c r="I21" s="111">
        <f t="shared" si="2"/>
        <v>0</v>
      </c>
      <c r="J21" s="80">
        <f>IFERROR(I21/I$28,0)</f>
        <v>0</v>
      </c>
      <c r="K21" s="111">
        <f t="shared" si="2"/>
        <v>0</v>
      </c>
      <c r="L21" s="80">
        <f>IFERROR(K21/K$28,0)</f>
        <v>0</v>
      </c>
      <c r="M21" s="111">
        <f t="shared" si="2"/>
        <v>0</v>
      </c>
      <c r="N21" s="80">
        <f>IFERROR(M21/M$28,0)</f>
        <v>0</v>
      </c>
      <c r="O21" s="111">
        <f t="shared" si="2"/>
        <v>0</v>
      </c>
      <c r="P21" s="80">
        <f>IFERROR(O21/O$28,0)</f>
        <v>0</v>
      </c>
      <c r="Q21" s="111">
        <f t="shared" si="2"/>
        <v>0</v>
      </c>
      <c r="R21" s="80">
        <f>IFERROR(Q21/Q$28,0)</f>
        <v>0</v>
      </c>
      <c r="S21" s="111">
        <f t="shared" si="2"/>
        <v>0</v>
      </c>
      <c r="T21" s="80">
        <f>IFERROR(S21/S$28,0)</f>
        <v>0</v>
      </c>
      <c r="U21" s="111">
        <f t="shared" si="2"/>
        <v>0</v>
      </c>
      <c r="V21" s="80">
        <f>IFERROR(U21/U$28,0)</f>
        <v>0</v>
      </c>
    </row>
    <row r="22" spans="1:24" ht="12.75" customHeight="1">
      <c r="A22" s="2" t="s">
        <v>372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373</v>
      </c>
      <c r="B23" s="123"/>
      <c r="C23" s="79"/>
      <c r="D23" s="80">
        <f t="shared" ref="D23:D28" si="3">IFERROR(C23/C$28,0)</f>
        <v>0</v>
      </c>
      <c r="E23" s="79"/>
      <c r="F23" s="80">
        <f t="shared" ref="F23:F28" si="4">IFERROR(E23/E$28,0)</f>
        <v>0</v>
      </c>
      <c r="G23" s="79"/>
      <c r="H23" s="80">
        <f t="shared" ref="H23:H28" si="5">IFERROR(G23/G$28,0)</f>
        <v>0</v>
      </c>
      <c r="I23" s="79"/>
      <c r="J23" s="80">
        <f t="shared" ref="J23:J28" si="6">IFERROR(I23/I$28,0)</f>
        <v>0</v>
      </c>
      <c r="K23" s="79"/>
      <c r="L23" s="80">
        <f t="shared" ref="L23:L28" si="7">IFERROR(K23/K$28,0)</f>
        <v>0</v>
      </c>
      <c r="M23" s="79"/>
      <c r="N23" s="80">
        <f t="shared" ref="N23:N28" si="8">IFERROR(M23/M$28,0)</f>
        <v>0</v>
      </c>
      <c r="O23" s="79"/>
      <c r="P23" s="80">
        <f t="shared" ref="P23:P28" si="9">IFERROR(O23/O$28,0)</f>
        <v>0</v>
      </c>
      <c r="Q23" s="79"/>
      <c r="R23" s="80">
        <f t="shared" ref="R23:R28" si="10">IFERROR(Q23/Q$28,0)</f>
        <v>0</v>
      </c>
      <c r="S23" s="79"/>
      <c r="T23" s="80">
        <f t="shared" ref="T23:T28" si="11">IFERROR(S23/S$28,0)</f>
        <v>0</v>
      </c>
      <c r="U23" s="79"/>
      <c r="V23" s="80">
        <f t="shared" ref="V23:V28" si="12">IFERROR(U23/U$28,0)</f>
        <v>0</v>
      </c>
    </row>
    <row r="24" spans="1:24" ht="12.75" customHeight="1">
      <c r="A24" s="122" t="s">
        <v>374</v>
      </c>
      <c r="B24" s="123"/>
      <c r="C24" s="79"/>
      <c r="D24" s="80">
        <f t="shared" si="3"/>
        <v>0</v>
      </c>
      <c r="E24" s="79"/>
      <c r="F24" s="80">
        <f t="shared" si="4"/>
        <v>0</v>
      </c>
      <c r="G24" s="79"/>
      <c r="H24" s="80">
        <f t="shared" si="5"/>
        <v>0</v>
      </c>
      <c r="I24" s="79"/>
      <c r="J24" s="80">
        <f t="shared" si="6"/>
        <v>0</v>
      </c>
      <c r="K24" s="79"/>
      <c r="L24" s="80">
        <f t="shared" si="7"/>
        <v>0</v>
      </c>
      <c r="M24" s="79"/>
      <c r="N24" s="80">
        <f t="shared" si="8"/>
        <v>0</v>
      </c>
      <c r="O24" s="79"/>
      <c r="P24" s="80">
        <f t="shared" si="9"/>
        <v>0</v>
      </c>
      <c r="Q24" s="79"/>
      <c r="R24" s="80">
        <f t="shared" si="10"/>
        <v>0</v>
      </c>
      <c r="S24" s="79"/>
      <c r="T24" s="80">
        <f t="shared" si="11"/>
        <v>0</v>
      </c>
      <c r="U24" s="79"/>
      <c r="V24" s="80">
        <f t="shared" si="12"/>
        <v>0</v>
      </c>
      <c r="X24" s="79"/>
    </row>
    <row r="25" spans="1:24" ht="12.75" customHeight="1">
      <c r="A25" s="2" t="s">
        <v>375</v>
      </c>
      <c r="B25" s="35"/>
      <c r="C25" s="111"/>
      <c r="D25" s="80">
        <f t="shared" si="3"/>
        <v>0</v>
      </c>
      <c r="E25" s="111"/>
      <c r="F25" s="80">
        <f t="shared" si="4"/>
        <v>0</v>
      </c>
      <c r="G25" s="111"/>
      <c r="H25" s="80">
        <f t="shared" si="5"/>
        <v>0</v>
      </c>
      <c r="I25" s="111"/>
      <c r="J25" s="80">
        <f t="shared" si="6"/>
        <v>0</v>
      </c>
      <c r="K25" s="111"/>
      <c r="L25" s="80">
        <f t="shared" si="7"/>
        <v>0</v>
      </c>
      <c r="M25" s="111"/>
      <c r="N25" s="80">
        <f t="shared" si="8"/>
        <v>0</v>
      </c>
      <c r="O25" s="111"/>
      <c r="P25" s="80">
        <f t="shared" si="9"/>
        <v>0</v>
      </c>
      <c r="Q25" s="111"/>
      <c r="R25" s="80">
        <f t="shared" si="10"/>
        <v>0</v>
      </c>
      <c r="S25" s="111"/>
      <c r="T25" s="80">
        <f t="shared" si="11"/>
        <v>0</v>
      </c>
      <c r="U25" s="111"/>
      <c r="V25" s="80">
        <f t="shared" si="12"/>
        <v>0</v>
      </c>
      <c r="X25" s="79"/>
    </row>
    <row r="26" spans="1:24" ht="12.75" customHeight="1">
      <c r="A26" s="122" t="s">
        <v>376</v>
      </c>
      <c r="B26" s="35"/>
      <c r="C26" s="79"/>
      <c r="D26" s="80">
        <f t="shared" si="3"/>
        <v>0</v>
      </c>
      <c r="E26" s="79"/>
      <c r="F26" s="80">
        <f t="shared" si="4"/>
        <v>0</v>
      </c>
      <c r="G26" s="79"/>
      <c r="H26" s="80">
        <f t="shared" si="5"/>
        <v>0</v>
      </c>
      <c r="I26" s="79"/>
      <c r="J26" s="80">
        <f t="shared" si="6"/>
        <v>0</v>
      </c>
      <c r="K26" s="79"/>
      <c r="L26" s="80">
        <f t="shared" si="7"/>
        <v>0</v>
      </c>
      <c r="M26" s="79"/>
      <c r="N26" s="80">
        <f t="shared" si="8"/>
        <v>0</v>
      </c>
      <c r="O26" s="79"/>
      <c r="P26" s="80">
        <f t="shared" si="9"/>
        <v>0</v>
      </c>
      <c r="Q26" s="79"/>
      <c r="R26" s="80">
        <f t="shared" si="10"/>
        <v>0</v>
      </c>
      <c r="S26" s="79"/>
      <c r="T26" s="80">
        <f t="shared" si="11"/>
        <v>0</v>
      </c>
      <c r="U26" s="79"/>
      <c r="V26" s="80">
        <f t="shared" si="12"/>
        <v>0</v>
      </c>
    </row>
    <row r="27" spans="1:24" ht="12.75" customHeight="1">
      <c r="A27" s="2" t="s">
        <v>377</v>
      </c>
      <c r="B27" s="35"/>
      <c r="C27" s="112"/>
      <c r="D27" s="80">
        <f t="shared" si="3"/>
        <v>0</v>
      </c>
      <c r="E27" s="112"/>
      <c r="F27" s="80">
        <f t="shared" si="4"/>
        <v>0</v>
      </c>
      <c r="G27" s="112"/>
      <c r="H27" s="80">
        <f t="shared" si="5"/>
        <v>0</v>
      </c>
      <c r="I27" s="112"/>
      <c r="J27" s="80">
        <f t="shared" si="6"/>
        <v>0</v>
      </c>
      <c r="K27" s="112"/>
      <c r="L27" s="80">
        <f t="shared" si="7"/>
        <v>0</v>
      </c>
      <c r="M27" s="112"/>
      <c r="N27" s="80">
        <f t="shared" si="8"/>
        <v>0</v>
      </c>
      <c r="O27" s="112"/>
      <c r="P27" s="80">
        <f t="shared" si="9"/>
        <v>0</v>
      </c>
      <c r="Q27" s="112"/>
      <c r="R27" s="80">
        <f t="shared" si="10"/>
        <v>0</v>
      </c>
      <c r="S27" s="112"/>
      <c r="T27" s="80">
        <f t="shared" si="11"/>
        <v>0</v>
      </c>
      <c r="U27" s="112"/>
      <c r="V27" s="80">
        <f t="shared" si="12"/>
        <v>0</v>
      </c>
    </row>
    <row r="28" spans="1:24" ht="12.75" customHeight="1">
      <c r="A28" s="1" t="s">
        <v>378</v>
      </c>
      <c r="B28" s="53"/>
      <c r="C28" s="82">
        <f>SUM(C19:C27)</f>
        <v>525000</v>
      </c>
      <c r="D28" s="83">
        <f t="shared" si="3"/>
        <v>1</v>
      </c>
      <c r="E28" s="82">
        <f>SUM(E19:E27)</f>
        <v>546000</v>
      </c>
      <c r="F28" s="83">
        <f t="shared" si="4"/>
        <v>1</v>
      </c>
      <c r="G28" s="82">
        <f>SUM(G19:G27)</f>
        <v>568000</v>
      </c>
      <c r="H28" s="83">
        <f t="shared" si="5"/>
        <v>1</v>
      </c>
      <c r="I28" s="82">
        <f>SUM(I19:I27)</f>
        <v>591000</v>
      </c>
      <c r="J28" s="83">
        <f t="shared" si="6"/>
        <v>1</v>
      </c>
      <c r="K28" s="82">
        <f>SUM(K19:K27)</f>
        <v>608000</v>
      </c>
      <c r="L28" s="83">
        <f t="shared" si="7"/>
        <v>1</v>
      </c>
      <c r="M28" s="82">
        <f>SUM(M19:M27)</f>
        <v>627000</v>
      </c>
      <c r="N28" s="83">
        <f t="shared" si="8"/>
        <v>1</v>
      </c>
      <c r="O28" s="82">
        <f>SUM(O19:O27)</f>
        <v>645000</v>
      </c>
      <c r="P28" s="83">
        <f t="shared" si="9"/>
        <v>1</v>
      </c>
      <c r="Q28" s="82">
        <f>SUM(Q19:Q27)</f>
        <v>665000</v>
      </c>
      <c r="R28" s="83">
        <f t="shared" si="10"/>
        <v>1</v>
      </c>
      <c r="S28" s="82">
        <f>SUM(S19:S27)</f>
        <v>685000</v>
      </c>
      <c r="T28" s="83">
        <f t="shared" si="11"/>
        <v>1</v>
      </c>
      <c r="U28" s="82">
        <f>SUM(U19:U27)</f>
        <v>705000</v>
      </c>
      <c r="V28" s="83">
        <f t="shared" si="12"/>
        <v>1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379</v>
      </c>
      <c r="B30" s="53"/>
      <c r="C30" s="197">
        <v>0.34499999999999997</v>
      </c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380</v>
      </c>
      <c r="B31" s="35"/>
      <c r="C31" s="178">
        <f>$C$30*C14</f>
        <v>181125</v>
      </c>
      <c r="D31" s="80">
        <f>IFERROR(C31/C$28,0)</f>
        <v>0.34499999999999997</v>
      </c>
      <c r="E31" s="178">
        <f>$C$30*E14</f>
        <v>188370</v>
      </c>
      <c r="F31" s="80">
        <f>IFERROR(E31/E$28,0)</f>
        <v>0.34499999999999997</v>
      </c>
      <c r="G31" s="178">
        <f>$C$30*G14</f>
        <v>195959.99999999997</v>
      </c>
      <c r="H31" s="80">
        <f>IFERROR(G31/G$28,0)</f>
        <v>0.34499999999999997</v>
      </c>
      <c r="I31" s="178">
        <f>$C$30*I14</f>
        <v>203894.99999999997</v>
      </c>
      <c r="J31" s="80">
        <f>IFERROR(I31/I$28,0)</f>
        <v>0.34499999999999997</v>
      </c>
      <c r="K31" s="178">
        <f>$C$30*K14</f>
        <v>209759.99999999997</v>
      </c>
      <c r="L31" s="80">
        <f>IFERROR(K31/K$28,0)</f>
        <v>0.34499999999999997</v>
      </c>
      <c r="M31" s="178">
        <f>$C$30*M14</f>
        <v>216314.99999999997</v>
      </c>
      <c r="N31" s="80">
        <f>IFERROR(M31/M$28,0)</f>
        <v>0.34499999999999997</v>
      </c>
      <c r="O31" s="178">
        <f>$C$30*O14</f>
        <v>222524.99999999997</v>
      </c>
      <c r="P31" s="80">
        <f>IFERROR(O31/O$28,0)</f>
        <v>0.34499999999999997</v>
      </c>
      <c r="Q31" s="178">
        <f>$C$30*Q14</f>
        <v>229424.99999999997</v>
      </c>
      <c r="R31" s="80">
        <f>IFERROR(Q31/Q$28,0)</f>
        <v>0.34499999999999997</v>
      </c>
      <c r="S31" s="178">
        <f>$C$30*S14</f>
        <v>236324.99999999997</v>
      </c>
      <c r="T31" s="80">
        <f>IFERROR(S31/S$28,0)</f>
        <v>0.34499999999999997</v>
      </c>
      <c r="U31" s="178">
        <f>$C$30*U14</f>
        <v>243224.99999999997</v>
      </c>
      <c r="V31" s="80">
        <f>IFERROR(U31/U$28,0)</f>
        <v>0.34499999999999997</v>
      </c>
    </row>
    <row r="32" spans="1:24" ht="12.75" customHeight="1">
      <c r="A32" s="8" t="s">
        <v>381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382</v>
      </c>
      <c r="B33" s="53"/>
      <c r="C33" s="82">
        <f>SUM(C31:C32)</f>
        <v>181125</v>
      </c>
      <c r="D33" s="83">
        <f>IFERROR(C33/C$28,0)</f>
        <v>0.34499999999999997</v>
      </c>
      <c r="E33" s="82">
        <f>SUM(E31:E32)</f>
        <v>188370</v>
      </c>
      <c r="F33" s="83">
        <f>IFERROR(E33/E$28,0)</f>
        <v>0.34499999999999997</v>
      </c>
      <c r="G33" s="82">
        <f>SUM(G31:G32)</f>
        <v>195959.99999999997</v>
      </c>
      <c r="H33" s="83">
        <f>IFERROR(G33/G$28,0)</f>
        <v>0.34499999999999997</v>
      </c>
      <c r="I33" s="82">
        <f>SUM(I31:I32)</f>
        <v>203894.99999999997</v>
      </c>
      <c r="J33" s="83">
        <f>IFERROR(I33/I$28,0)</f>
        <v>0.34499999999999997</v>
      </c>
      <c r="K33" s="82">
        <f>SUM(K31:K32)</f>
        <v>209759.99999999997</v>
      </c>
      <c r="L33" s="83">
        <f>IFERROR(K33/K$28,0)</f>
        <v>0.34499999999999997</v>
      </c>
      <c r="M33" s="82">
        <f>SUM(M31:M32)</f>
        <v>216314.99999999997</v>
      </c>
      <c r="N33" s="83">
        <f>IFERROR(M33/M$28,0)</f>
        <v>0.34499999999999997</v>
      </c>
      <c r="O33" s="82">
        <f>SUM(O31:O32)</f>
        <v>222524.99999999997</v>
      </c>
      <c r="P33" s="83">
        <f>IFERROR(O33/O$28,0)</f>
        <v>0.34499999999999997</v>
      </c>
      <c r="Q33" s="82">
        <f>SUM(Q31:Q32)</f>
        <v>229424.99999999997</v>
      </c>
      <c r="R33" s="83">
        <f>IFERROR(Q33/Q$28,0)</f>
        <v>0.34499999999999997</v>
      </c>
      <c r="S33" s="82">
        <f>SUM(S31:S32)</f>
        <v>236324.99999999997</v>
      </c>
      <c r="T33" s="83">
        <f>IFERROR(S33/S$28,0)</f>
        <v>0.34499999999999997</v>
      </c>
      <c r="U33" s="82">
        <f>SUM(U31:U32)</f>
        <v>243224.99999999997</v>
      </c>
      <c r="V33" s="83">
        <f>IFERROR(U33/U$28,0)</f>
        <v>0.34499999999999997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383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384</v>
      </c>
      <c r="B36" s="35"/>
      <c r="C36" s="178"/>
      <c r="D36" s="80">
        <f t="shared" ref="D36:D46" si="13">IFERROR(C36/C$28,0)</f>
        <v>0</v>
      </c>
      <c r="E36" s="178"/>
      <c r="F36" s="80">
        <f t="shared" ref="F36:F46" si="14">IFERROR(E36/E$28,0)</f>
        <v>0</v>
      </c>
      <c r="G36" s="178"/>
      <c r="H36" s="80">
        <f t="shared" ref="H36:H46" si="15">IFERROR(G36/G$28,0)</f>
        <v>0</v>
      </c>
      <c r="I36" s="178"/>
      <c r="J36" s="80">
        <f t="shared" ref="J36:J46" si="16">IFERROR(I36/I$28,0)</f>
        <v>0</v>
      </c>
      <c r="K36" s="178"/>
      <c r="L36" s="80">
        <f t="shared" ref="L36:L46" si="17">IFERROR(K36/K$28,0)</f>
        <v>0</v>
      </c>
      <c r="M36" s="178"/>
      <c r="N36" s="80">
        <f t="shared" ref="N36:N46" si="18">IFERROR(M36/M$28,0)</f>
        <v>0</v>
      </c>
      <c r="O36" s="178"/>
      <c r="P36" s="80">
        <f t="shared" ref="P36:P46" si="19">IFERROR(O36/O$28,0)</f>
        <v>0</v>
      </c>
      <c r="Q36" s="178"/>
      <c r="R36" s="80">
        <f t="shared" ref="R36:R46" si="20">IFERROR(Q36/Q$28,0)</f>
        <v>0</v>
      </c>
      <c r="S36" s="178"/>
      <c r="T36" s="80">
        <f t="shared" ref="T36:T46" si="21">IFERROR(S36/S$28,0)</f>
        <v>0</v>
      </c>
      <c r="U36" s="178"/>
      <c r="V36" s="80">
        <f t="shared" ref="V36:V46" si="22">IFERROR(U36/U$28,0)</f>
        <v>0</v>
      </c>
    </row>
    <row r="37" spans="1:22" ht="12.75" customHeight="1">
      <c r="A37" s="2" t="s">
        <v>385</v>
      </c>
      <c r="B37" s="35"/>
      <c r="C37" s="178">
        <v>100901</v>
      </c>
      <c r="D37" s="80">
        <f t="shared" si="13"/>
        <v>0.19219238095238095</v>
      </c>
      <c r="E37" s="178">
        <f>+C37*1.112</f>
        <v>112201.91200000001</v>
      </c>
      <c r="F37" s="80">
        <f t="shared" si="14"/>
        <v>0.20549800732600734</v>
      </c>
      <c r="G37" s="178">
        <f>+E37*1.035</f>
        <v>116128.97892000001</v>
      </c>
      <c r="H37" s="80">
        <f t="shared" si="15"/>
        <v>0.20445242767605634</v>
      </c>
      <c r="I37" s="178">
        <f>+G37*1.032</f>
        <v>119845.10624544001</v>
      </c>
      <c r="J37" s="80">
        <f t="shared" si="16"/>
        <v>0.20278359770802032</v>
      </c>
      <c r="K37" s="178">
        <f>+I37*1.02</f>
        <v>122242.00837034881</v>
      </c>
      <c r="L37" s="80">
        <f t="shared" si="17"/>
        <v>0.20105593481965264</v>
      </c>
      <c r="M37" s="178">
        <f>+K37*1.025</f>
        <v>125298.05857960752</v>
      </c>
      <c r="N37" s="80">
        <f t="shared" si="18"/>
        <v>0.19983741400256383</v>
      </c>
      <c r="O37" s="178">
        <f>+M37*1.025</f>
        <v>128430.5100440977</v>
      </c>
      <c r="P37" s="80">
        <f t="shared" si="19"/>
        <v>0.19911706983581037</v>
      </c>
      <c r="Q37" s="178">
        <f>+O37*1.025</f>
        <v>131641.27279520012</v>
      </c>
      <c r="R37" s="80">
        <f t="shared" si="20"/>
        <v>0.19795680119578965</v>
      </c>
      <c r="S37" s="178">
        <f>+Q37*1.025</f>
        <v>134932.30461508009</v>
      </c>
      <c r="T37" s="80">
        <f t="shared" si="21"/>
        <v>0.19698146659135779</v>
      </c>
      <c r="U37" s="178">
        <f>+S37*1.025</f>
        <v>138305.61223045707</v>
      </c>
      <c r="V37" s="80">
        <f t="shared" si="22"/>
        <v>0.19617817337653487</v>
      </c>
    </row>
    <row r="38" spans="1:22" ht="12.75" customHeight="1">
      <c r="A38" s="2" t="s">
        <v>386</v>
      </c>
      <c r="B38" s="35"/>
      <c r="C38" s="178">
        <v>10933</v>
      </c>
      <c r="D38" s="80">
        <f t="shared" si="13"/>
        <v>2.0824761904761905E-2</v>
      </c>
      <c r="E38" s="178">
        <f t="shared" ref="E38:E39" si="23">+C38*1.112</f>
        <v>12157.496000000001</v>
      </c>
      <c r="F38" s="80">
        <f t="shared" si="14"/>
        <v>2.2266476190476191E-2</v>
      </c>
      <c r="G38" s="178">
        <f>+E38*1.035</f>
        <v>12583.00836</v>
      </c>
      <c r="H38" s="80">
        <f t="shared" si="15"/>
        <v>2.2153183732394367E-2</v>
      </c>
      <c r="I38" s="178">
        <f>+G38*1.032</f>
        <v>12985.66462752</v>
      </c>
      <c r="J38" s="80">
        <f t="shared" si="16"/>
        <v>2.1972359775837565E-2</v>
      </c>
      <c r="K38" s="178">
        <f>+I38*1.02</f>
        <v>13245.377920070401</v>
      </c>
      <c r="L38" s="80">
        <f t="shared" si="17"/>
        <v>2.178516105274737E-2</v>
      </c>
      <c r="M38" s="178">
        <f>+K38*1.025</f>
        <v>13576.512368072161</v>
      </c>
      <c r="N38" s="80">
        <f t="shared" si="18"/>
        <v>2.1653129773639809E-2</v>
      </c>
      <c r="O38" s="178">
        <f>+M38*1.025</f>
        <v>13915.925177273964</v>
      </c>
      <c r="P38" s="80">
        <f t="shared" si="19"/>
        <v>2.1575077794223199E-2</v>
      </c>
      <c r="Q38" s="178">
        <f>+O38*1.025</f>
        <v>14263.823306705812</v>
      </c>
      <c r="R38" s="80">
        <f t="shared" si="20"/>
        <v>2.1449358355948588E-2</v>
      </c>
      <c r="S38" s="178">
        <f>+Q38*1.025</f>
        <v>14620.418889373455</v>
      </c>
      <c r="T38" s="80">
        <f t="shared" si="21"/>
        <v>2.1343677210764168E-2</v>
      </c>
      <c r="U38" s="178">
        <f>+S38*1.025</f>
        <v>14985.92936160779</v>
      </c>
      <c r="V38" s="80">
        <f t="shared" si="22"/>
        <v>2.1256637392351476E-2</v>
      </c>
    </row>
    <row r="39" spans="1:22" ht="12.75" customHeight="1">
      <c r="A39" s="2" t="s">
        <v>387</v>
      </c>
      <c r="B39" s="35"/>
      <c r="C39" s="178">
        <v>45607</v>
      </c>
      <c r="D39" s="80">
        <f t="shared" si="13"/>
        <v>8.6870476190476192E-2</v>
      </c>
      <c r="E39" s="178">
        <f t="shared" si="23"/>
        <v>50714.984000000004</v>
      </c>
      <c r="F39" s="80">
        <f t="shared" si="14"/>
        <v>9.2884586080586085E-2</v>
      </c>
      <c r="G39" s="178">
        <f>+E39*1.035</f>
        <v>52490.008439999998</v>
      </c>
      <c r="H39" s="80">
        <f t="shared" si="15"/>
        <v>9.2411986690140835E-2</v>
      </c>
      <c r="I39" s="178">
        <f>+G39*1.032</f>
        <v>54169.688710080001</v>
      </c>
      <c r="J39" s="80">
        <f t="shared" si="16"/>
        <v>9.1657679712487311E-2</v>
      </c>
      <c r="K39" s="178">
        <f>+I39*1.02</f>
        <v>55253.0824842816</v>
      </c>
      <c r="L39" s="80">
        <f t="shared" si="17"/>
        <v>9.0876780401778948E-2</v>
      </c>
      <c r="M39" s="178">
        <f>+K39*1.025</f>
        <v>56634.409546388633</v>
      </c>
      <c r="N39" s="80">
        <f t="shared" si="18"/>
        <v>9.0326012035707545E-2</v>
      </c>
      <c r="O39" s="178">
        <f>+M39*1.025</f>
        <v>58050.269785048346</v>
      </c>
      <c r="P39" s="80">
        <f t="shared" si="19"/>
        <v>9.0000418271392782E-2</v>
      </c>
      <c r="Q39" s="178">
        <f>+O39*1.025</f>
        <v>59501.526529674549</v>
      </c>
      <c r="R39" s="80">
        <f t="shared" si="20"/>
        <v>8.9475979743871503E-2</v>
      </c>
      <c r="S39" s="178">
        <f>+Q39*1.025</f>
        <v>60989.064692916407</v>
      </c>
      <c r="T39" s="80">
        <f t="shared" si="21"/>
        <v>8.9035130938564092E-2</v>
      </c>
      <c r="U39" s="178">
        <f>+S39*1.025</f>
        <v>62513.791310239314</v>
      </c>
      <c r="V39" s="80">
        <f t="shared" si="22"/>
        <v>8.8672044411686968E-2</v>
      </c>
    </row>
    <row r="40" spans="1:22" ht="12.75" customHeight="1">
      <c r="A40" s="2" t="s">
        <v>388</v>
      </c>
      <c r="B40" s="35"/>
      <c r="C40" s="178">
        <f>C36*0.124</f>
        <v>0</v>
      </c>
      <c r="D40" s="80">
        <f t="shared" si="13"/>
        <v>0</v>
      </c>
      <c r="E40" s="113">
        <f>E36*0.124</f>
        <v>0</v>
      </c>
      <c r="F40" s="80">
        <f t="shared" si="14"/>
        <v>0</v>
      </c>
      <c r="G40" s="113">
        <f>G36*0.124</f>
        <v>0</v>
      </c>
      <c r="H40" s="80">
        <f t="shared" si="15"/>
        <v>0</v>
      </c>
      <c r="I40" s="113">
        <f>I36*0.124</f>
        <v>0</v>
      </c>
      <c r="J40" s="80">
        <f t="shared" si="16"/>
        <v>0</v>
      </c>
      <c r="K40" s="178">
        <f>K36*0.124</f>
        <v>0</v>
      </c>
      <c r="L40" s="80">
        <f t="shared" si="17"/>
        <v>0</v>
      </c>
      <c r="M40" s="113">
        <f>M36*0.124</f>
        <v>0</v>
      </c>
      <c r="N40" s="80">
        <f t="shared" si="18"/>
        <v>0</v>
      </c>
      <c r="O40" s="113">
        <f>O36*0.124</f>
        <v>0</v>
      </c>
      <c r="P40" s="80">
        <f t="shared" si="19"/>
        <v>0</v>
      </c>
      <c r="Q40" s="178">
        <f>Q36*0.124</f>
        <v>0</v>
      </c>
      <c r="R40" s="80">
        <f t="shared" si="20"/>
        <v>0</v>
      </c>
      <c r="S40" s="113">
        <f>S36*0.124</f>
        <v>0</v>
      </c>
      <c r="T40" s="80">
        <f t="shared" si="21"/>
        <v>0</v>
      </c>
      <c r="U40" s="113">
        <f>U36*0.124</f>
        <v>0</v>
      </c>
      <c r="V40" s="80">
        <f t="shared" si="22"/>
        <v>0</v>
      </c>
    </row>
    <row r="41" spans="1:22" ht="12.75" customHeight="1">
      <c r="A41" s="2" t="s">
        <v>389</v>
      </c>
      <c r="B41" s="35"/>
      <c r="C41" s="178">
        <f>C37*0.124</f>
        <v>12511.724</v>
      </c>
      <c r="D41" s="80">
        <f t="shared" si="13"/>
        <v>2.3831855238095237E-2</v>
      </c>
      <c r="E41" s="178">
        <f>E37*0.124</f>
        <v>13913.037088000001</v>
      </c>
      <c r="F41" s="80">
        <f t="shared" si="14"/>
        <v>2.5481752908424912E-2</v>
      </c>
      <c r="G41" s="178">
        <f>G37*0.124</f>
        <v>14399.993386080001</v>
      </c>
      <c r="H41" s="80">
        <f t="shared" si="15"/>
        <v>2.5352101031830988E-2</v>
      </c>
      <c r="I41" s="178">
        <f>I37*0.124</f>
        <v>14860.793174434561</v>
      </c>
      <c r="J41" s="80">
        <f t="shared" si="16"/>
        <v>2.514516611579452E-2</v>
      </c>
      <c r="K41" s="178">
        <f>K37*0.124</f>
        <v>15158.009037923252</v>
      </c>
      <c r="L41" s="80">
        <f t="shared" si="17"/>
        <v>2.4930935917636926E-2</v>
      </c>
      <c r="M41" s="178">
        <f>M37*0.124</f>
        <v>15536.959263871333</v>
      </c>
      <c r="N41" s="80">
        <f t="shared" si="18"/>
        <v>2.4779839336317916E-2</v>
      </c>
      <c r="O41" s="178">
        <f>O37*0.124</f>
        <v>15925.383245468114</v>
      </c>
      <c r="P41" s="80">
        <f t="shared" si="19"/>
        <v>2.4690516659640487E-2</v>
      </c>
      <c r="Q41" s="178">
        <f>Q37*0.124</f>
        <v>16323.517826604813</v>
      </c>
      <c r="R41" s="80">
        <f t="shared" si="20"/>
        <v>2.4546643348277913E-2</v>
      </c>
      <c r="S41" s="178">
        <f>S37*0.124</f>
        <v>16731.605772269933</v>
      </c>
      <c r="T41" s="80">
        <f t="shared" si="21"/>
        <v>2.4425701857328369E-2</v>
      </c>
      <c r="U41" s="178">
        <f>U37*0.124</f>
        <v>17149.895916576676</v>
      </c>
      <c r="V41" s="80">
        <f t="shared" si="22"/>
        <v>2.4326093498690318E-2</v>
      </c>
    </row>
    <row r="42" spans="1:22" ht="12.75" customHeight="1">
      <c r="A42" s="2" t="s">
        <v>390</v>
      </c>
      <c r="B42" s="35"/>
      <c r="C42" s="178"/>
      <c r="D42" s="80">
        <f t="shared" si="13"/>
        <v>0</v>
      </c>
      <c r="E42" s="178"/>
      <c r="F42" s="80">
        <f t="shared" si="14"/>
        <v>0</v>
      </c>
      <c r="G42" s="178"/>
      <c r="H42" s="80">
        <f t="shared" si="15"/>
        <v>0</v>
      </c>
      <c r="I42" s="178"/>
      <c r="J42" s="80">
        <f t="shared" si="16"/>
        <v>0</v>
      </c>
      <c r="K42" s="178"/>
      <c r="L42" s="80">
        <f t="shared" si="17"/>
        <v>0</v>
      </c>
      <c r="M42" s="178"/>
      <c r="N42" s="80">
        <f t="shared" si="18"/>
        <v>0</v>
      </c>
      <c r="O42" s="178"/>
      <c r="P42" s="80">
        <f t="shared" si="19"/>
        <v>0</v>
      </c>
      <c r="Q42" s="178"/>
      <c r="R42" s="80">
        <f t="shared" si="20"/>
        <v>0</v>
      </c>
      <c r="S42" s="178"/>
      <c r="T42" s="80">
        <f t="shared" si="21"/>
        <v>0</v>
      </c>
      <c r="U42" s="178"/>
      <c r="V42" s="80">
        <f t="shared" si="22"/>
        <v>0</v>
      </c>
    </row>
    <row r="43" spans="1:22" ht="12.75" customHeight="1">
      <c r="A43" s="2" t="s">
        <v>391</v>
      </c>
      <c r="B43" s="35"/>
      <c r="C43" s="178"/>
      <c r="D43" s="80">
        <f t="shared" si="13"/>
        <v>0</v>
      </c>
      <c r="E43" s="178"/>
      <c r="F43" s="80">
        <f t="shared" si="14"/>
        <v>0</v>
      </c>
      <c r="G43" s="178"/>
      <c r="H43" s="80">
        <f t="shared" si="15"/>
        <v>0</v>
      </c>
      <c r="I43" s="178"/>
      <c r="J43" s="80">
        <f t="shared" si="16"/>
        <v>0</v>
      </c>
      <c r="K43" s="178"/>
      <c r="L43" s="80">
        <f t="shared" si="17"/>
        <v>0</v>
      </c>
      <c r="M43" s="178"/>
      <c r="N43" s="80">
        <f t="shared" si="18"/>
        <v>0</v>
      </c>
      <c r="O43" s="178"/>
      <c r="P43" s="80">
        <f t="shared" si="19"/>
        <v>0</v>
      </c>
      <c r="Q43" s="178"/>
      <c r="R43" s="80">
        <f t="shared" si="20"/>
        <v>0</v>
      </c>
      <c r="S43" s="178"/>
      <c r="T43" s="80">
        <f t="shared" si="21"/>
        <v>0</v>
      </c>
      <c r="U43" s="178"/>
      <c r="V43" s="80">
        <f t="shared" si="22"/>
        <v>0</v>
      </c>
    </row>
    <row r="44" spans="1:22" ht="12.75" customHeight="1">
      <c r="A44" s="2" t="s">
        <v>392</v>
      </c>
      <c r="B44" s="35"/>
      <c r="C44" s="178"/>
      <c r="D44" s="80">
        <f t="shared" si="13"/>
        <v>0</v>
      </c>
      <c r="E44" s="178"/>
      <c r="F44" s="80">
        <f t="shared" si="14"/>
        <v>0</v>
      </c>
      <c r="G44" s="178"/>
      <c r="H44" s="80">
        <f t="shared" si="15"/>
        <v>0</v>
      </c>
      <c r="I44" s="178"/>
      <c r="J44" s="80">
        <f t="shared" si="16"/>
        <v>0</v>
      </c>
      <c r="K44" s="178"/>
      <c r="L44" s="80">
        <f t="shared" si="17"/>
        <v>0</v>
      </c>
      <c r="M44" s="178"/>
      <c r="N44" s="80">
        <f t="shared" si="18"/>
        <v>0</v>
      </c>
      <c r="O44" s="178"/>
      <c r="P44" s="80">
        <f t="shared" si="19"/>
        <v>0</v>
      </c>
      <c r="Q44" s="178"/>
      <c r="R44" s="80">
        <f t="shared" si="20"/>
        <v>0</v>
      </c>
      <c r="S44" s="178"/>
      <c r="T44" s="80">
        <f t="shared" si="21"/>
        <v>0</v>
      </c>
      <c r="U44" s="178"/>
      <c r="V44" s="80">
        <f t="shared" si="22"/>
        <v>0</v>
      </c>
    </row>
    <row r="45" spans="1:22" ht="12.75" customHeight="1">
      <c r="A45" s="2" t="s">
        <v>393</v>
      </c>
      <c r="B45" s="35"/>
      <c r="C45" s="181">
        <f>SUM(C36:C39)*0.094</f>
        <v>14799.454</v>
      </c>
      <c r="D45" s="80">
        <f t="shared" si="13"/>
        <v>2.8189436190476189E-2</v>
      </c>
      <c r="E45" s="181">
        <f>SUM(E36:E39)*0.094</f>
        <v>16456.992848000002</v>
      </c>
      <c r="F45" s="80">
        <f t="shared" si="14"/>
        <v>3.0141012542124545E-2</v>
      </c>
      <c r="G45" s="181">
        <f>SUM(G36:G39)*0.094</f>
        <v>17032.987597679999</v>
      </c>
      <c r="H45" s="80">
        <f t="shared" si="15"/>
        <v>2.9987654221267604E-2</v>
      </c>
      <c r="I45" s="181">
        <f>SUM(I36:I39)*0.094</f>
        <v>17578.043200805761</v>
      </c>
      <c r="J45" s="80">
        <f t="shared" si="16"/>
        <v>2.974288189645645E-2</v>
      </c>
      <c r="K45" s="181">
        <f>SUM(K36:K39)*0.094</f>
        <v>17929.604064821877</v>
      </c>
      <c r="L45" s="80">
        <f t="shared" si="17"/>
        <v>2.9489480369772825E-2</v>
      </c>
      <c r="M45" s="181">
        <f>SUM(M36:M39)*0.094</f>
        <v>18377.844166442421</v>
      </c>
      <c r="N45" s="80">
        <f t="shared" si="18"/>
        <v>2.9310756246319649E-2</v>
      </c>
      <c r="O45" s="181">
        <f>SUM(O36:O39)*0.094</f>
        <v>18837.29027060348</v>
      </c>
      <c r="P45" s="80">
        <f t="shared" si="19"/>
        <v>2.9205101194734077E-2</v>
      </c>
      <c r="Q45" s="181">
        <f>SUM(Q36:Q39)*0.094</f>
        <v>19308.222527368562</v>
      </c>
      <c r="R45" s="80">
        <f t="shared" si="20"/>
        <v>2.903492109378731E-2</v>
      </c>
      <c r="S45" s="181">
        <f>SUM(S36:S39)*0.094</f>
        <v>19790.928090552778</v>
      </c>
      <c r="T45" s="80">
        <f t="shared" si="21"/>
        <v>2.8891865825624492E-2</v>
      </c>
      <c r="U45" s="181">
        <f>SUM(U36:U39)*0.094</f>
        <v>20285.701292816593</v>
      </c>
      <c r="V45" s="80">
        <f t="shared" si="22"/>
        <v>2.8774044386973893E-2</v>
      </c>
    </row>
    <row r="46" spans="1:22" ht="12.75" customHeight="1">
      <c r="A46" s="1" t="s">
        <v>394</v>
      </c>
      <c r="B46" s="53"/>
      <c r="C46" s="82">
        <f>SUM(C36:C45)</f>
        <v>184752.17799999999</v>
      </c>
      <c r="D46" s="83">
        <f t="shared" si="13"/>
        <v>0.35190891047619044</v>
      </c>
      <c r="E46" s="82">
        <f>SUM(E36:E45)</f>
        <v>205444.42193600003</v>
      </c>
      <c r="F46" s="83">
        <f t="shared" si="14"/>
        <v>0.37627183504761907</v>
      </c>
      <c r="G46" s="82">
        <f>SUM(G36:G45)</f>
        <v>212634.97670376001</v>
      </c>
      <c r="H46" s="83">
        <f t="shared" si="15"/>
        <v>0.37435735335169018</v>
      </c>
      <c r="I46" s="82">
        <f>SUM(I36:I45)</f>
        <v>219439.29595828033</v>
      </c>
      <c r="J46" s="83">
        <f t="shared" si="16"/>
        <v>0.37130168520859613</v>
      </c>
      <c r="K46" s="82">
        <f>SUM(K36:K45)</f>
        <v>223828.08187744592</v>
      </c>
      <c r="L46" s="83">
        <f t="shared" si="17"/>
        <v>0.3681382925615887</v>
      </c>
      <c r="M46" s="82">
        <f>SUM(M36:M45)</f>
        <v>229423.78392438209</v>
      </c>
      <c r="N46" s="83">
        <f t="shared" si="18"/>
        <v>0.36590715139454877</v>
      </c>
      <c r="O46" s="82">
        <f>SUM(O36:O45)</f>
        <v>235159.37852249161</v>
      </c>
      <c r="P46" s="83">
        <f t="shared" si="19"/>
        <v>0.36458818375580093</v>
      </c>
      <c r="Q46" s="82">
        <f>SUM(Q36:Q45)</f>
        <v>241038.3629855538</v>
      </c>
      <c r="R46" s="83">
        <f t="shared" si="20"/>
        <v>0.36246370373767489</v>
      </c>
      <c r="S46" s="82">
        <f>SUM(S36:S45)</f>
        <v>247064.32206019267</v>
      </c>
      <c r="T46" s="83">
        <f t="shared" si="21"/>
        <v>0.36067784242363893</v>
      </c>
      <c r="U46" s="82">
        <f>SUM(U36:U45)</f>
        <v>253240.93011169747</v>
      </c>
      <c r="V46" s="83">
        <f t="shared" si="22"/>
        <v>0.35920699306623755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>
        <f>B4</f>
        <v>0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366</v>
      </c>
      <c r="E50" s="86" t="str">
        <f>E6</f>
        <v>FY 2019-20</v>
      </c>
      <c r="F50" s="86" t="s">
        <v>366</v>
      </c>
      <c r="G50" s="86" t="str">
        <f>G6</f>
        <v>FY 2020-21</v>
      </c>
      <c r="H50" s="86" t="s">
        <v>366</v>
      </c>
      <c r="I50" s="86" t="str">
        <f>I6</f>
        <v>FY 2021-22</v>
      </c>
      <c r="J50" s="86" t="s">
        <v>366</v>
      </c>
      <c r="K50" s="86" t="str">
        <f>K6</f>
        <v>FY 2022-23</v>
      </c>
      <c r="L50" s="86" t="s">
        <v>366</v>
      </c>
      <c r="M50" s="86" t="str">
        <f>M6</f>
        <v>FY 2023-24</v>
      </c>
      <c r="N50" s="86" t="s">
        <v>366</v>
      </c>
      <c r="O50" s="86" t="str">
        <f>O6</f>
        <v>FY 2024-25</v>
      </c>
      <c r="P50" s="86" t="s">
        <v>366</v>
      </c>
      <c r="Q50" s="86" t="str">
        <f>Q6</f>
        <v>FY 2025-26</v>
      </c>
      <c r="R50" s="86" t="s">
        <v>366</v>
      </c>
      <c r="S50" s="86" t="str">
        <f>S6</f>
        <v>FY 2026-27</v>
      </c>
      <c r="T50" s="86" t="s">
        <v>366</v>
      </c>
      <c r="U50" s="86" t="str">
        <f>U6</f>
        <v>FY 2027-28</v>
      </c>
      <c r="V50" s="86" t="s">
        <v>366</v>
      </c>
    </row>
    <row r="51" spans="1:24" ht="12.75" customHeight="1">
      <c r="A51" s="1" t="s">
        <v>395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396</v>
      </c>
      <c r="B52" s="35"/>
      <c r="C52" s="178">
        <v>0</v>
      </c>
      <c r="D52" s="80">
        <f t="shared" ref="D52:D104" si="24">IFERROR(C52/C$28,0)</f>
        <v>0</v>
      </c>
      <c r="E52" s="178">
        <v>0</v>
      </c>
      <c r="F52" s="80">
        <f t="shared" ref="F52:F104" si="25">IFERROR(E52/E$28,0)</f>
        <v>0</v>
      </c>
      <c r="G52" s="178">
        <v>0</v>
      </c>
      <c r="H52" s="80">
        <f t="shared" ref="H52:H104" si="26">IFERROR(G52/G$28,0)</f>
        <v>0</v>
      </c>
      <c r="I52" s="178">
        <v>0</v>
      </c>
      <c r="J52" s="80">
        <f t="shared" ref="J52:J104" si="27">IFERROR(I52/I$28,0)</f>
        <v>0</v>
      </c>
      <c r="K52" s="178">
        <v>0</v>
      </c>
      <c r="L52" s="80">
        <f t="shared" ref="L52:L104" si="28">IFERROR(K52/K$28,0)</f>
        <v>0</v>
      </c>
      <c r="M52" s="178">
        <v>0</v>
      </c>
      <c r="N52" s="80">
        <f t="shared" ref="N52:N104" si="29">IFERROR(M52/M$28,0)</f>
        <v>0</v>
      </c>
      <c r="O52" s="178">
        <v>0</v>
      </c>
      <c r="P52" s="80">
        <f t="shared" ref="P52:P104" si="30">IFERROR(O52/O$28,0)</f>
        <v>0</v>
      </c>
      <c r="Q52" s="178">
        <v>0</v>
      </c>
      <c r="R52" s="80">
        <f t="shared" ref="R52:R104" si="31">IFERROR(Q52/Q$28,0)</f>
        <v>0</v>
      </c>
      <c r="S52" s="178">
        <v>0</v>
      </c>
      <c r="T52" s="80">
        <f t="shared" ref="T52:T104" si="32">IFERROR(S52/S$28,0)</f>
        <v>0</v>
      </c>
      <c r="U52" s="178">
        <v>0</v>
      </c>
      <c r="V52" s="80">
        <f t="shared" ref="V52:V105" si="33">IFERROR(U52/U$28,0)</f>
        <v>0</v>
      </c>
      <c r="X52" s="192"/>
    </row>
    <row r="53" spans="1:24" ht="12.75" customHeight="1">
      <c r="A53" s="2" t="s">
        <v>397</v>
      </c>
      <c r="B53" s="35"/>
      <c r="C53" s="178">
        <v>0</v>
      </c>
      <c r="D53" s="80">
        <f t="shared" si="24"/>
        <v>0</v>
      </c>
      <c r="E53" s="178">
        <v>0</v>
      </c>
      <c r="F53" s="80">
        <f t="shared" si="25"/>
        <v>0</v>
      </c>
      <c r="G53" s="178">
        <v>0</v>
      </c>
      <c r="H53" s="80">
        <f t="shared" si="26"/>
        <v>0</v>
      </c>
      <c r="I53" s="178">
        <v>0</v>
      </c>
      <c r="J53" s="80">
        <f t="shared" si="27"/>
        <v>0</v>
      </c>
      <c r="K53" s="178">
        <v>0</v>
      </c>
      <c r="L53" s="80">
        <f t="shared" si="28"/>
        <v>0</v>
      </c>
      <c r="M53" s="178">
        <v>0</v>
      </c>
      <c r="N53" s="80">
        <f t="shared" si="29"/>
        <v>0</v>
      </c>
      <c r="O53" s="178">
        <v>0</v>
      </c>
      <c r="P53" s="80">
        <f t="shared" si="30"/>
        <v>0</v>
      </c>
      <c r="Q53" s="178">
        <v>0</v>
      </c>
      <c r="R53" s="80">
        <f t="shared" si="31"/>
        <v>0</v>
      </c>
      <c r="S53" s="178">
        <v>0</v>
      </c>
      <c r="T53" s="80">
        <f t="shared" si="32"/>
        <v>0</v>
      </c>
      <c r="U53" s="178">
        <v>0</v>
      </c>
      <c r="V53" s="80">
        <f t="shared" si="33"/>
        <v>0</v>
      </c>
      <c r="X53" s="192"/>
    </row>
    <row r="54" spans="1:24" ht="12.75" customHeight="1">
      <c r="A54" s="2" t="s">
        <v>398</v>
      </c>
      <c r="B54" s="35"/>
      <c r="C54" s="178">
        <v>367.5</v>
      </c>
      <c r="D54" s="80">
        <f t="shared" si="24"/>
        <v>6.9999999999999999E-4</v>
      </c>
      <c r="E54" s="178">
        <v>382.2</v>
      </c>
      <c r="F54" s="80">
        <f t="shared" si="25"/>
        <v>6.9999999999999999E-4</v>
      </c>
      <c r="G54" s="178">
        <v>397.6</v>
      </c>
      <c r="H54" s="80">
        <f t="shared" si="26"/>
        <v>6.9999999999999999E-4</v>
      </c>
      <c r="I54" s="178">
        <v>413.7</v>
      </c>
      <c r="J54" s="80">
        <f t="shared" si="27"/>
        <v>6.9999999999999999E-4</v>
      </c>
      <c r="K54" s="178">
        <v>425.6</v>
      </c>
      <c r="L54" s="80">
        <f t="shared" si="28"/>
        <v>6.9999999999999999E-4</v>
      </c>
      <c r="M54" s="178">
        <v>438.90000000000003</v>
      </c>
      <c r="N54" s="80">
        <f t="shared" si="29"/>
        <v>7.000000000000001E-4</v>
      </c>
      <c r="O54" s="178">
        <v>451.5</v>
      </c>
      <c r="P54" s="80">
        <f t="shared" si="30"/>
        <v>6.9999999999999999E-4</v>
      </c>
      <c r="Q54" s="178">
        <v>465.5</v>
      </c>
      <c r="R54" s="80">
        <f t="shared" si="31"/>
        <v>6.9999999999999999E-4</v>
      </c>
      <c r="S54" s="178">
        <v>479.5</v>
      </c>
      <c r="T54" s="80">
        <f t="shared" si="32"/>
        <v>6.9999999999999999E-4</v>
      </c>
      <c r="U54" s="178">
        <v>493.50000000000006</v>
      </c>
      <c r="V54" s="80">
        <f t="shared" si="33"/>
        <v>7.000000000000001E-4</v>
      </c>
      <c r="X54" s="192"/>
    </row>
    <row r="55" spans="1:24" ht="12.75" customHeight="1">
      <c r="A55" s="2" t="s">
        <v>399</v>
      </c>
      <c r="B55" s="35"/>
      <c r="C55" s="178">
        <v>36750</v>
      </c>
      <c r="D55" s="80">
        <f t="shared" si="24"/>
        <v>7.0000000000000007E-2</v>
      </c>
      <c r="E55" s="178">
        <v>38220</v>
      </c>
      <c r="F55" s="80">
        <f t="shared" si="25"/>
        <v>7.0000000000000007E-2</v>
      </c>
      <c r="G55" s="178">
        <v>39760.000000000007</v>
      </c>
      <c r="H55" s="80">
        <f t="shared" si="26"/>
        <v>7.0000000000000007E-2</v>
      </c>
      <c r="I55" s="178">
        <v>41370.000000000007</v>
      </c>
      <c r="J55" s="80">
        <f t="shared" si="27"/>
        <v>7.0000000000000007E-2</v>
      </c>
      <c r="K55" s="178">
        <v>42560.000000000007</v>
      </c>
      <c r="L55" s="80">
        <f t="shared" si="28"/>
        <v>7.0000000000000007E-2</v>
      </c>
      <c r="M55" s="178">
        <v>43890.000000000007</v>
      </c>
      <c r="N55" s="80">
        <f t="shared" si="29"/>
        <v>7.0000000000000007E-2</v>
      </c>
      <c r="O55" s="178">
        <v>45150.000000000007</v>
      </c>
      <c r="P55" s="80">
        <f t="shared" si="30"/>
        <v>7.0000000000000007E-2</v>
      </c>
      <c r="Q55" s="178">
        <v>46550.000000000007</v>
      </c>
      <c r="R55" s="80">
        <f t="shared" si="31"/>
        <v>7.0000000000000007E-2</v>
      </c>
      <c r="S55" s="178">
        <v>47950.000000000007</v>
      </c>
      <c r="T55" s="80">
        <f t="shared" si="32"/>
        <v>7.0000000000000007E-2</v>
      </c>
      <c r="U55" s="178">
        <v>49350.000000000007</v>
      </c>
      <c r="V55" s="80">
        <f t="shared" si="33"/>
        <v>7.0000000000000007E-2</v>
      </c>
      <c r="X55" s="192"/>
    </row>
    <row r="56" spans="1:24" ht="12.75" customHeight="1">
      <c r="A56" s="2" t="s">
        <v>400</v>
      </c>
      <c r="B56" s="35"/>
      <c r="C56" s="178">
        <v>267.75</v>
      </c>
      <c r="D56" s="80">
        <f t="shared" si="24"/>
        <v>5.1000000000000004E-4</v>
      </c>
      <c r="E56" s="178">
        <v>278.46000000000004</v>
      </c>
      <c r="F56" s="80">
        <f t="shared" si="25"/>
        <v>5.1000000000000004E-4</v>
      </c>
      <c r="G56" s="178">
        <v>289.68</v>
      </c>
      <c r="H56" s="80">
        <f t="shared" si="26"/>
        <v>5.1000000000000004E-4</v>
      </c>
      <c r="I56" s="178">
        <v>301.41000000000003</v>
      </c>
      <c r="J56" s="80">
        <f t="shared" si="27"/>
        <v>5.1000000000000004E-4</v>
      </c>
      <c r="K56" s="178">
        <v>310.08000000000004</v>
      </c>
      <c r="L56" s="80">
        <f t="shared" si="28"/>
        <v>5.1000000000000004E-4</v>
      </c>
      <c r="M56" s="178">
        <v>319.77000000000004</v>
      </c>
      <c r="N56" s="80">
        <f t="shared" si="29"/>
        <v>5.1000000000000004E-4</v>
      </c>
      <c r="O56" s="178">
        <v>328.95000000000005</v>
      </c>
      <c r="P56" s="80">
        <f t="shared" si="30"/>
        <v>5.1000000000000004E-4</v>
      </c>
      <c r="Q56" s="178">
        <v>339.15000000000003</v>
      </c>
      <c r="R56" s="80">
        <f t="shared" si="31"/>
        <v>5.1000000000000004E-4</v>
      </c>
      <c r="S56" s="178">
        <v>349.35</v>
      </c>
      <c r="T56" s="80">
        <f t="shared" si="32"/>
        <v>5.1000000000000004E-4</v>
      </c>
      <c r="U56" s="178">
        <v>359.55</v>
      </c>
      <c r="V56" s="80">
        <f t="shared" si="33"/>
        <v>5.1000000000000004E-4</v>
      </c>
      <c r="X56" s="192"/>
    </row>
    <row r="57" spans="1:24" ht="12.75" customHeight="1">
      <c r="A57" s="2" t="s">
        <v>401</v>
      </c>
      <c r="B57" s="35"/>
      <c r="C57" s="178">
        <v>0</v>
      </c>
      <c r="D57" s="80">
        <f t="shared" si="24"/>
        <v>0</v>
      </c>
      <c r="E57" s="178">
        <v>0</v>
      </c>
      <c r="F57" s="80">
        <f t="shared" si="25"/>
        <v>0</v>
      </c>
      <c r="G57" s="178">
        <v>0</v>
      </c>
      <c r="H57" s="80">
        <f t="shared" si="26"/>
        <v>0</v>
      </c>
      <c r="I57" s="178">
        <v>0</v>
      </c>
      <c r="J57" s="80">
        <f t="shared" si="27"/>
        <v>0</v>
      </c>
      <c r="K57" s="178">
        <v>0</v>
      </c>
      <c r="L57" s="80">
        <f t="shared" si="28"/>
        <v>0</v>
      </c>
      <c r="M57" s="178">
        <v>0</v>
      </c>
      <c r="N57" s="80">
        <f t="shared" si="29"/>
        <v>0</v>
      </c>
      <c r="O57" s="178">
        <v>0</v>
      </c>
      <c r="P57" s="80">
        <f t="shared" si="30"/>
        <v>0</v>
      </c>
      <c r="Q57" s="178">
        <v>0</v>
      </c>
      <c r="R57" s="80">
        <f t="shared" si="31"/>
        <v>0</v>
      </c>
      <c r="S57" s="178">
        <v>0</v>
      </c>
      <c r="T57" s="80">
        <f t="shared" si="32"/>
        <v>0</v>
      </c>
      <c r="U57" s="178">
        <v>0</v>
      </c>
      <c r="V57" s="80">
        <f t="shared" si="33"/>
        <v>0</v>
      </c>
      <c r="X57" s="192"/>
    </row>
    <row r="58" spans="1:24" ht="12.75" customHeight="1">
      <c r="A58" s="2" t="s">
        <v>402</v>
      </c>
      <c r="B58" s="35"/>
      <c r="C58" s="178">
        <v>0</v>
      </c>
      <c r="D58" s="80">
        <f t="shared" si="24"/>
        <v>0</v>
      </c>
      <c r="E58" s="178">
        <v>0</v>
      </c>
      <c r="F58" s="80">
        <f t="shared" si="25"/>
        <v>0</v>
      </c>
      <c r="G58" s="178">
        <v>0</v>
      </c>
      <c r="H58" s="80">
        <f t="shared" si="26"/>
        <v>0</v>
      </c>
      <c r="I58" s="178">
        <v>0</v>
      </c>
      <c r="J58" s="80">
        <f t="shared" si="27"/>
        <v>0</v>
      </c>
      <c r="K58" s="178">
        <v>0</v>
      </c>
      <c r="L58" s="80">
        <f t="shared" si="28"/>
        <v>0</v>
      </c>
      <c r="M58" s="178">
        <v>0</v>
      </c>
      <c r="N58" s="80">
        <f t="shared" si="29"/>
        <v>0</v>
      </c>
      <c r="O58" s="178">
        <v>0</v>
      </c>
      <c r="P58" s="80">
        <f t="shared" si="30"/>
        <v>0</v>
      </c>
      <c r="Q58" s="178">
        <v>0</v>
      </c>
      <c r="R58" s="80">
        <f t="shared" si="31"/>
        <v>0</v>
      </c>
      <c r="S58" s="178">
        <v>0</v>
      </c>
      <c r="T58" s="80">
        <f t="shared" si="32"/>
        <v>0</v>
      </c>
      <c r="U58" s="178">
        <v>0</v>
      </c>
      <c r="V58" s="80">
        <f t="shared" si="33"/>
        <v>0</v>
      </c>
      <c r="X58" s="192"/>
    </row>
    <row r="59" spans="1:24" ht="12.75" customHeight="1">
      <c r="A59" s="2" t="s">
        <v>403</v>
      </c>
      <c r="B59" s="35"/>
      <c r="C59" s="178"/>
      <c r="D59" s="80">
        <f t="shared" si="24"/>
        <v>0</v>
      </c>
      <c r="E59" s="178"/>
      <c r="F59" s="80">
        <f t="shared" si="25"/>
        <v>0</v>
      </c>
      <c r="G59" s="178"/>
      <c r="H59" s="80">
        <f t="shared" si="26"/>
        <v>0</v>
      </c>
      <c r="I59" s="178"/>
      <c r="J59" s="80">
        <f t="shared" si="27"/>
        <v>0</v>
      </c>
      <c r="K59" s="178"/>
      <c r="L59" s="80">
        <f t="shared" si="28"/>
        <v>0</v>
      </c>
      <c r="M59" s="178"/>
      <c r="N59" s="80">
        <f t="shared" si="29"/>
        <v>0</v>
      </c>
      <c r="O59" s="178"/>
      <c r="P59" s="80">
        <f t="shared" si="30"/>
        <v>0</v>
      </c>
      <c r="Q59" s="178"/>
      <c r="R59" s="80">
        <f t="shared" si="31"/>
        <v>0</v>
      </c>
      <c r="S59" s="178"/>
      <c r="T59" s="80">
        <f t="shared" si="32"/>
        <v>0</v>
      </c>
      <c r="U59" s="178"/>
      <c r="V59" s="80">
        <f t="shared" si="33"/>
        <v>0</v>
      </c>
      <c r="X59" s="192"/>
    </row>
    <row r="60" spans="1:24" ht="12.75" customHeight="1">
      <c r="A60" s="2" t="s">
        <v>404</v>
      </c>
      <c r="B60" s="35"/>
      <c r="C60" s="178">
        <v>0</v>
      </c>
      <c r="D60" s="80">
        <f t="shared" si="24"/>
        <v>0</v>
      </c>
      <c r="E60" s="178">
        <v>0</v>
      </c>
      <c r="F60" s="80">
        <f t="shared" si="25"/>
        <v>0</v>
      </c>
      <c r="G60" s="178">
        <v>0</v>
      </c>
      <c r="H60" s="80">
        <f t="shared" si="26"/>
        <v>0</v>
      </c>
      <c r="I60" s="178">
        <v>0</v>
      </c>
      <c r="J60" s="80">
        <f t="shared" si="27"/>
        <v>0</v>
      </c>
      <c r="K60" s="178">
        <v>0</v>
      </c>
      <c r="L60" s="80">
        <f t="shared" si="28"/>
        <v>0</v>
      </c>
      <c r="M60" s="178">
        <v>0</v>
      </c>
      <c r="N60" s="80">
        <f t="shared" si="29"/>
        <v>0</v>
      </c>
      <c r="O60" s="178">
        <v>0</v>
      </c>
      <c r="P60" s="80">
        <f t="shared" si="30"/>
        <v>0</v>
      </c>
      <c r="Q60" s="178">
        <v>0</v>
      </c>
      <c r="R60" s="80">
        <f t="shared" si="31"/>
        <v>0</v>
      </c>
      <c r="S60" s="178">
        <v>0</v>
      </c>
      <c r="T60" s="80">
        <f t="shared" si="32"/>
        <v>0</v>
      </c>
      <c r="U60" s="178">
        <v>0</v>
      </c>
      <c r="V60" s="80">
        <f t="shared" si="33"/>
        <v>0</v>
      </c>
      <c r="X60" s="192"/>
    </row>
    <row r="61" spans="1:24" ht="12.75" customHeight="1">
      <c r="A61" s="2" t="s">
        <v>405</v>
      </c>
      <c r="B61" s="35"/>
      <c r="C61" s="178">
        <v>0</v>
      </c>
      <c r="D61" s="80">
        <f t="shared" si="24"/>
        <v>0</v>
      </c>
      <c r="E61" s="178">
        <v>0</v>
      </c>
      <c r="F61" s="80">
        <f t="shared" si="25"/>
        <v>0</v>
      </c>
      <c r="G61" s="178">
        <v>0</v>
      </c>
      <c r="H61" s="80">
        <f t="shared" si="26"/>
        <v>0</v>
      </c>
      <c r="I61" s="178">
        <v>0</v>
      </c>
      <c r="J61" s="80">
        <f t="shared" si="27"/>
        <v>0</v>
      </c>
      <c r="K61" s="178">
        <v>0</v>
      </c>
      <c r="L61" s="80">
        <f t="shared" si="28"/>
        <v>0</v>
      </c>
      <c r="M61" s="178">
        <v>0</v>
      </c>
      <c r="N61" s="80">
        <f t="shared" si="29"/>
        <v>0</v>
      </c>
      <c r="O61" s="178">
        <v>0</v>
      </c>
      <c r="P61" s="80">
        <f t="shared" si="30"/>
        <v>0</v>
      </c>
      <c r="Q61" s="178">
        <v>0</v>
      </c>
      <c r="R61" s="80">
        <f t="shared" si="31"/>
        <v>0</v>
      </c>
      <c r="S61" s="178">
        <v>0</v>
      </c>
      <c r="T61" s="80">
        <f t="shared" si="32"/>
        <v>0</v>
      </c>
      <c r="U61" s="178">
        <v>0</v>
      </c>
      <c r="V61" s="80">
        <f t="shared" si="33"/>
        <v>0</v>
      </c>
      <c r="X61" s="192"/>
    </row>
    <row r="62" spans="1:24" ht="12.75" customHeight="1">
      <c r="A62" s="2" t="s">
        <v>406</v>
      </c>
      <c r="B62" s="35"/>
      <c r="C62" s="178">
        <v>0</v>
      </c>
      <c r="D62" s="80">
        <f t="shared" si="24"/>
        <v>0</v>
      </c>
      <c r="E62" s="178">
        <v>0</v>
      </c>
      <c r="F62" s="80">
        <f t="shared" si="25"/>
        <v>0</v>
      </c>
      <c r="G62" s="178">
        <v>0</v>
      </c>
      <c r="H62" s="80">
        <f t="shared" si="26"/>
        <v>0</v>
      </c>
      <c r="I62" s="178">
        <v>0</v>
      </c>
      <c r="J62" s="80">
        <f t="shared" si="27"/>
        <v>0</v>
      </c>
      <c r="K62" s="178">
        <v>0</v>
      </c>
      <c r="L62" s="80">
        <f t="shared" si="28"/>
        <v>0</v>
      </c>
      <c r="M62" s="178">
        <v>0</v>
      </c>
      <c r="N62" s="80">
        <f t="shared" si="29"/>
        <v>0</v>
      </c>
      <c r="O62" s="178">
        <v>0</v>
      </c>
      <c r="P62" s="80">
        <f t="shared" si="30"/>
        <v>0</v>
      </c>
      <c r="Q62" s="178">
        <v>0</v>
      </c>
      <c r="R62" s="80">
        <f t="shared" si="31"/>
        <v>0</v>
      </c>
      <c r="S62" s="178">
        <v>0</v>
      </c>
      <c r="T62" s="80">
        <f t="shared" si="32"/>
        <v>0</v>
      </c>
      <c r="U62" s="178">
        <v>0</v>
      </c>
      <c r="V62" s="80">
        <f t="shared" si="33"/>
        <v>0</v>
      </c>
      <c r="X62" s="192"/>
    </row>
    <row r="63" spans="1:24" ht="12.75" customHeight="1">
      <c r="A63" s="2" t="s">
        <v>407</v>
      </c>
      <c r="B63" s="35"/>
      <c r="C63" s="178">
        <v>6386.9819179060032</v>
      </c>
      <c r="D63" s="80">
        <f t="shared" si="24"/>
        <v>1.2165679843630482E-2</v>
      </c>
      <c r="E63" s="178">
        <v>6740.5289015923317</v>
      </c>
      <c r="F63" s="80">
        <f t="shared" si="25"/>
        <v>1.2345291028557383E-2</v>
      </c>
      <c r="G63" s="178">
        <v>6937.9020362046576</v>
      </c>
      <c r="H63" s="80">
        <f t="shared" si="26"/>
        <v>1.2214616260923693E-2</v>
      </c>
      <c r="I63" s="178">
        <v>7237.3745582510637</v>
      </c>
      <c r="J63" s="80">
        <f t="shared" si="27"/>
        <v>1.224598064001872E-2</v>
      </c>
      <c r="K63" s="178">
        <v>7422.6092976153932</v>
      </c>
      <c r="L63" s="80">
        <f t="shared" si="28"/>
        <v>1.2208238976341107E-2</v>
      </c>
      <c r="M63" s="178">
        <v>7667.4706743505967</v>
      </c>
      <c r="N63" s="80">
        <f t="shared" si="29"/>
        <v>1.2228820852233806E-2</v>
      </c>
      <c r="O63" s="178">
        <v>7903.8505663552451</v>
      </c>
      <c r="P63" s="80">
        <f t="shared" si="30"/>
        <v>1.2254031885822086E-2</v>
      </c>
      <c r="Q63" s="178">
        <v>8172.8631814572627</v>
      </c>
      <c r="R63" s="80">
        <f t="shared" si="31"/>
        <v>1.2290019821740245E-2</v>
      </c>
      <c r="S63" s="178">
        <v>8442.7132475396847</v>
      </c>
      <c r="T63" s="80">
        <f t="shared" si="32"/>
        <v>1.2325128828525087E-2</v>
      </c>
      <c r="U63" s="178">
        <v>8715.6652619469023</v>
      </c>
      <c r="V63" s="80">
        <f t="shared" si="33"/>
        <v>1.2362645761626812E-2</v>
      </c>
      <c r="X63" s="192"/>
    </row>
    <row r="64" spans="1:24" ht="12.75" customHeight="1">
      <c r="A64" s="2" t="s">
        <v>408</v>
      </c>
      <c r="B64" s="35"/>
      <c r="C64" s="178">
        <v>2519.9999999999995</v>
      </c>
      <c r="D64" s="80">
        <f t="shared" si="24"/>
        <v>4.7999999999999987E-3</v>
      </c>
      <c r="E64" s="178">
        <v>2620.7999999999997</v>
      </c>
      <c r="F64" s="80">
        <f t="shared" si="25"/>
        <v>4.7999999999999996E-3</v>
      </c>
      <c r="G64" s="178">
        <v>2726.3999999999996</v>
      </c>
      <c r="H64" s="80">
        <f t="shared" si="26"/>
        <v>4.7999999999999996E-3</v>
      </c>
      <c r="I64" s="178">
        <v>2836.7999999999993</v>
      </c>
      <c r="J64" s="80">
        <f t="shared" si="27"/>
        <v>4.7999999999999987E-3</v>
      </c>
      <c r="K64" s="178">
        <v>2918.4</v>
      </c>
      <c r="L64" s="80">
        <f t="shared" si="28"/>
        <v>4.8000000000000004E-3</v>
      </c>
      <c r="M64" s="178">
        <v>3009.6</v>
      </c>
      <c r="N64" s="80">
        <f t="shared" si="29"/>
        <v>4.7999999999999996E-3</v>
      </c>
      <c r="O64" s="178">
        <v>3096</v>
      </c>
      <c r="P64" s="80">
        <f t="shared" si="30"/>
        <v>4.7999999999999996E-3</v>
      </c>
      <c r="Q64" s="178">
        <v>3191.9999999999995</v>
      </c>
      <c r="R64" s="80">
        <f t="shared" si="31"/>
        <v>4.7999999999999996E-3</v>
      </c>
      <c r="S64" s="178">
        <v>3287.9999999999995</v>
      </c>
      <c r="T64" s="80">
        <f t="shared" si="32"/>
        <v>4.7999999999999996E-3</v>
      </c>
      <c r="U64" s="178">
        <v>3384</v>
      </c>
      <c r="V64" s="80">
        <f t="shared" si="33"/>
        <v>4.7999999999999996E-3</v>
      </c>
      <c r="X64" s="192"/>
    </row>
    <row r="65" spans="1:24" ht="12.75" customHeight="1">
      <c r="A65" s="2" t="s">
        <v>409</v>
      </c>
      <c r="B65" s="35"/>
      <c r="C65" s="178">
        <v>262.5</v>
      </c>
      <c r="D65" s="80">
        <f t="shared" si="24"/>
        <v>5.0000000000000001E-4</v>
      </c>
      <c r="E65" s="178">
        <v>273</v>
      </c>
      <c r="F65" s="80">
        <f t="shared" si="25"/>
        <v>5.0000000000000001E-4</v>
      </c>
      <c r="G65" s="178">
        <v>284</v>
      </c>
      <c r="H65" s="80">
        <f t="shared" si="26"/>
        <v>5.0000000000000001E-4</v>
      </c>
      <c r="I65" s="178">
        <v>295.5</v>
      </c>
      <c r="J65" s="80">
        <f t="shared" si="27"/>
        <v>5.0000000000000001E-4</v>
      </c>
      <c r="K65" s="178">
        <v>304</v>
      </c>
      <c r="L65" s="80">
        <f t="shared" si="28"/>
        <v>5.0000000000000001E-4</v>
      </c>
      <c r="M65" s="178">
        <v>313.5</v>
      </c>
      <c r="N65" s="80">
        <f t="shared" si="29"/>
        <v>5.0000000000000001E-4</v>
      </c>
      <c r="O65" s="178">
        <v>322.5</v>
      </c>
      <c r="P65" s="80">
        <f t="shared" si="30"/>
        <v>5.0000000000000001E-4</v>
      </c>
      <c r="Q65" s="178">
        <v>332.5</v>
      </c>
      <c r="R65" s="80">
        <f t="shared" si="31"/>
        <v>5.0000000000000001E-4</v>
      </c>
      <c r="S65" s="178">
        <v>342.5</v>
      </c>
      <c r="T65" s="80">
        <f t="shared" si="32"/>
        <v>5.0000000000000001E-4</v>
      </c>
      <c r="U65" s="178">
        <v>352.5</v>
      </c>
      <c r="V65" s="80">
        <f t="shared" si="33"/>
        <v>5.0000000000000001E-4</v>
      </c>
      <c r="X65" s="192"/>
    </row>
    <row r="66" spans="1:24" ht="12.75" customHeight="1">
      <c r="A66" s="2" t="s">
        <v>410</v>
      </c>
      <c r="B66" s="35"/>
      <c r="C66" s="178">
        <v>1470</v>
      </c>
      <c r="D66" s="80">
        <f t="shared" si="24"/>
        <v>2.8E-3</v>
      </c>
      <c r="E66" s="178">
        <v>1528.8</v>
      </c>
      <c r="F66" s="80">
        <f t="shared" si="25"/>
        <v>2.8E-3</v>
      </c>
      <c r="G66" s="178">
        <v>1590.4</v>
      </c>
      <c r="H66" s="80">
        <f t="shared" si="26"/>
        <v>2.8E-3</v>
      </c>
      <c r="I66" s="178">
        <v>1654.8</v>
      </c>
      <c r="J66" s="80">
        <f t="shared" si="27"/>
        <v>2.8E-3</v>
      </c>
      <c r="K66" s="178">
        <v>1702.4</v>
      </c>
      <c r="L66" s="80">
        <f t="shared" si="28"/>
        <v>2.8E-3</v>
      </c>
      <c r="M66" s="178">
        <v>1755.6000000000001</v>
      </c>
      <c r="N66" s="80">
        <f t="shared" si="29"/>
        <v>2.8000000000000004E-3</v>
      </c>
      <c r="O66" s="178">
        <v>1806</v>
      </c>
      <c r="P66" s="80">
        <f t="shared" si="30"/>
        <v>2.8E-3</v>
      </c>
      <c r="Q66" s="178">
        <v>1862</v>
      </c>
      <c r="R66" s="80">
        <f t="shared" si="31"/>
        <v>2.8E-3</v>
      </c>
      <c r="S66" s="178">
        <v>1918</v>
      </c>
      <c r="T66" s="80">
        <f t="shared" si="32"/>
        <v>2.8E-3</v>
      </c>
      <c r="U66" s="178">
        <v>1974.0000000000002</v>
      </c>
      <c r="V66" s="80">
        <f t="shared" si="33"/>
        <v>2.8000000000000004E-3</v>
      </c>
      <c r="X66" s="192"/>
    </row>
    <row r="67" spans="1:24" ht="12.75" customHeight="1">
      <c r="A67" s="2" t="s">
        <v>411</v>
      </c>
      <c r="B67" s="35"/>
      <c r="C67" s="178">
        <v>7874.9999999999991</v>
      </c>
      <c r="D67" s="80">
        <f t="shared" si="24"/>
        <v>1.4999999999999998E-2</v>
      </c>
      <c r="E67" s="178">
        <v>8190.0000000000009</v>
      </c>
      <c r="F67" s="80">
        <f t="shared" si="25"/>
        <v>1.5000000000000001E-2</v>
      </c>
      <c r="G67" s="178">
        <v>8520</v>
      </c>
      <c r="H67" s="80">
        <f t="shared" si="26"/>
        <v>1.4999999999999999E-2</v>
      </c>
      <c r="I67" s="178">
        <v>8865</v>
      </c>
      <c r="J67" s="80">
        <f t="shared" si="27"/>
        <v>1.4999999999999999E-2</v>
      </c>
      <c r="K67" s="178">
        <v>9120</v>
      </c>
      <c r="L67" s="80">
        <f t="shared" si="28"/>
        <v>1.4999999999999999E-2</v>
      </c>
      <c r="M67" s="178">
        <v>9405</v>
      </c>
      <c r="N67" s="80">
        <f t="shared" si="29"/>
        <v>1.4999999999999999E-2</v>
      </c>
      <c r="O67" s="178">
        <v>9675</v>
      </c>
      <c r="P67" s="80">
        <f t="shared" si="30"/>
        <v>1.4999999999999999E-2</v>
      </c>
      <c r="Q67" s="178">
        <v>9974.9999999999982</v>
      </c>
      <c r="R67" s="80">
        <f t="shared" si="31"/>
        <v>1.4999999999999998E-2</v>
      </c>
      <c r="S67" s="178">
        <v>10275</v>
      </c>
      <c r="T67" s="80">
        <f t="shared" si="32"/>
        <v>1.4999999999999999E-2</v>
      </c>
      <c r="U67" s="178">
        <v>10575</v>
      </c>
      <c r="V67" s="80">
        <f t="shared" si="33"/>
        <v>1.4999999999999999E-2</v>
      </c>
      <c r="X67" s="192"/>
    </row>
    <row r="68" spans="1:24" ht="12.75" customHeight="1">
      <c r="A68" s="2" t="s">
        <v>412</v>
      </c>
      <c r="B68" s="35"/>
      <c r="C68" s="178">
        <v>892.49999999999989</v>
      </c>
      <c r="D68" s="80">
        <f t="shared" si="24"/>
        <v>1.6999999999999997E-3</v>
      </c>
      <c r="E68" s="178">
        <v>928.19999999999993</v>
      </c>
      <c r="F68" s="80">
        <f t="shared" si="25"/>
        <v>1.6999999999999999E-3</v>
      </c>
      <c r="G68" s="178">
        <v>965.59999999999991</v>
      </c>
      <c r="H68" s="80">
        <f t="shared" si="26"/>
        <v>1.6999999999999999E-3</v>
      </c>
      <c r="I68" s="178">
        <v>1004.6999999999998</v>
      </c>
      <c r="J68" s="80">
        <f t="shared" si="27"/>
        <v>1.6999999999999997E-3</v>
      </c>
      <c r="K68" s="178">
        <v>1033.5999999999999</v>
      </c>
      <c r="L68" s="80">
        <f t="shared" si="28"/>
        <v>1.6999999999999999E-3</v>
      </c>
      <c r="M68" s="178">
        <v>1065.8999999999999</v>
      </c>
      <c r="N68" s="80">
        <f t="shared" si="29"/>
        <v>1.6999999999999997E-3</v>
      </c>
      <c r="O68" s="178">
        <v>1096.5</v>
      </c>
      <c r="P68" s="80">
        <f t="shared" si="30"/>
        <v>1.6999999999999999E-3</v>
      </c>
      <c r="Q68" s="178">
        <v>1130.5</v>
      </c>
      <c r="R68" s="80">
        <f t="shared" si="31"/>
        <v>1.6999999999999999E-3</v>
      </c>
      <c r="S68" s="178">
        <v>1164.4999999999998</v>
      </c>
      <c r="T68" s="80">
        <f t="shared" si="32"/>
        <v>1.6999999999999997E-3</v>
      </c>
      <c r="U68" s="178">
        <v>1198.5</v>
      </c>
      <c r="V68" s="80">
        <f t="shared" si="33"/>
        <v>1.6999999999999999E-3</v>
      </c>
      <c r="X68" s="192"/>
    </row>
    <row r="69" spans="1:24" ht="12.75" customHeight="1">
      <c r="A69" s="2" t="s">
        <v>413</v>
      </c>
      <c r="B69" s="35"/>
      <c r="C69" s="178">
        <v>0</v>
      </c>
      <c r="D69" s="80">
        <f t="shared" si="24"/>
        <v>0</v>
      </c>
      <c r="E69" s="178">
        <v>0</v>
      </c>
      <c r="F69" s="80">
        <f t="shared" si="25"/>
        <v>0</v>
      </c>
      <c r="G69" s="178">
        <v>0</v>
      </c>
      <c r="H69" s="80">
        <f t="shared" si="26"/>
        <v>0</v>
      </c>
      <c r="I69" s="178">
        <v>0</v>
      </c>
      <c r="J69" s="80">
        <f t="shared" si="27"/>
        <v>0</v>
      </c>
      <c r="K69" s="178">
        <v>0</v>
      </c>
      <c r="L69" s="80">
        <f t="shared" si="28"/>
        <v>0</v>
      </c>
      <c r="M69" s="178">
        <v>0</v>
      </c>
      <c r="N69" s="80">
        <f t="shared" si="29"/>
        <v>0</v>
      </c>
      <c r="O69" s="178">
        <v>0</v>
      </c>
      <c r="P69" s="80">
        <f t="shared" si="30"/>
        <v>0</v>
      </c>
      <c r="Q69" s="178">
        <v>0</v>
      </c>
      <c r="R69" s="80">
        <f t="shared" si="31"/>
        <v>0</v>
      </c>
      <c r="S69" s="178">
        <v>0</v>
      </c>
      <c r="T69" s="80">
        <f t="shared" si="32"/>
        <v>0</v>
      </c>
      <c r="U69" s="178">
        <v>0</v>
      </c>
      <c r="V69" s="80">
        <f t="shared" si="33"/>
        <v>0</v>
      </c>
      <c r="X69" s="192"/>
    </row>
    <row r="70" spans="1:24" ht="12.75" customHeight="1">
      <c r="A70" s="2" t="s">
        <v>414</v>
      </c>
      <c r="B70" s="35"/>
      <c r="C70" s="178">
        <v>52.5</v>
      </c>
      <c r="D70" s="80">
        <f t="shared" si="24"/>
        <v>1E-4</v>
      </c>
      <c r="E70" s="178">
        <v>54.600000000000009</v>
      </c>
      <c r="F70" s="80">
        <f t="shared" si="25"/>
        <v>1.0000000000000002E-4</v>
      </c>
      <c r="G70" s="178">
        <v>56.800000000000004</v>
      </c>
      <c r="H70" s="80">
        <f t="shared" si="26"/>
        <v>1E-4</v>
      </c>
      <c r="I70" s="178">
        <v>59.1</v>
      </c>
      <c r="J70" s="80">
        <f t="shared" si="27"/>
        <v>1E-4</v>
      </c>
      <c r="K70" s="178">
        <v>60.800000000000004</v>
      </c>
      <c r="L70" s="80">
        <f t="shared" si="28"/>
        <v>1E-4</v>
      </c>
      <c r="M70" s="178">
        <v>62.7</v>
      </c>
      <c r="N70" s="80">
        <f t="shared" si="29"/>
        <v>1E-4</v>
      </c>
      <c r="O70" s="178">
        <v>64.5</v>
      </c>
      <c r="P70" s="80">
        <f t="shared" si="30"/>
        <v>1E-4</v>
      </c>
      <c r="Q70" s="178">
        <v>66.5</v>
      </c>
      <c r="R70" s="80">
        <f t="shared" si="31"/>
        <v>1E-4</v>
      </c>
      <c r="S70" s="178">
        <v>68.5</v>
      </c>
      <c r="T70" s="80">
        <f t="shared" si="32"/>
        <v>1E-4</v>
      </c>
      <c r="U70" s="178">
        <v>70.5</v>
      </c>
      <c r="V70" s="80">
        <f t="shared" si="33"/>
        <v>1E-4</v>
      </c>
      <c r="X70" s="192"/>
    </row>
    <row r="71" spans="1:24" ht="12.75" customHeight="1">
      <c r="A71" s="2" t="s">
        <v>415</v>
      </c>
      <c r="B71" s="35"/>
      <c r="C71" s="178">
        <v>0</v>
      </c>
      <c r="D71" s="80">
        <f t="shared" si="24"/>
        <v>0</v>
      </c>
      <c r="E71" s="178">
        <v>0</v>
      </c>
      <c r="F71" s="80">
        <f t="shared" si="25"/>
        <v>0</v>
      </c>
      <c r="G71" s="178">
        <v>0</v>
      </c>
      <c r="H71" s="80">
        <f t="shared" si="26"/>
        <v>0</v>
      </c>
      <c r="I71" s="178">
        <v>0</v>
      </c>
      <c r="J71" s="80">
        <f t="shared" si="27"/>
        <v>0</v>
      </c>
      <c r="K71" s="178">
        <v>0</v>
      </c>
      <c r="L71" s="80">
        <f t="shared" si="28"/>
        <v>0</v>
      </c>
      <c r="M71" s="178">
        <v>0</v>
      </c>
      <c r="N71" s="80">
        <f t="shared" si="29"/>
        <v>0</v>
      </c>
      <c r="O71" s="178">
        <v>0</v>
      </c>
      <c r="P71" s="80">
        <f t="shared" si="30"/>
        <v>0</v>
      </c>
      <c r="Q71" s="178">
        <v>0</v>
      </c>
      <c r="R71" s="80">
        <f t="shared" si="31"/>
        <v>0</v>
      </c>
      <c r="S71" s="178">
        <v>0</v>
      </c>
      <c r="T71" s="80">
        <f t="shared" si="32"/>
        <v>0</v>
      </c>
      <c r="U71" s="178">
        <v>0</v>
      </c>
      <c r="V71" s="80">
        <f t="shared" si="33"/>
        <v>0</v>
      </c>
      <c r="X71" s="192"/>
    </row>
    <row r="72" spans="1:24" ht="12.75" customHeight="1">
      <c r="A72" s="2" t="s">
        <v>416</v>
      </c>
      <c r="B72" s="35"/>
      <c r="C72" s="178">
        <v>0</v>
      </c>
      <c r="D72" s="80">
        <f t="shared" si="24"/>
        <v>0</v>
      </c>
      <c r="E72" s="178">
        <v>0</v>
      </c>
      <c r="F72" s="80">
        <f t="shared" si="25"/>
        <v>0</v>
      </c>
      <c r="G72" s="178">
        <v>0</v>
      </c>
      <c r="H72" s="80">
        <f t="shared" si="26"/>
        <v>0</v>
      </c>
      <c r="I72" s="178">
        <v>0</v>
      </c>
      <c r="J72" s="80">
        <f t="shared" si="27"/>
        <v>0</v>
      </c>
      <c r="K72" s="178">
        <v>0</v>
      </c>
      <c r="L72" s="80">
        <f t="shared" si="28"/>
        <v>0</v>
      </c>
      <c r="M72" s="178">
        <v>0</v>
      </c>
      <c r="N72" s="80">
        <f t="shared" si="29"/>
        <v>0</v>
      </c>
      <c r="O72" s="178">
        <v>0</v>
      </c>
      <c r="P72" s="80">
        <f t="shared" si="30"/>
        <v>0</v>
      </c>
      <c r="Q72" s="178">
        <v>0</v>
      </c>
      <c r="R72" s="80">
        <f t="shared" si="31"/>
        <v>0</v>
      </c>
      <c r="S72" s="178">
        <v>0</v>
      </c>
      <c r="T72" s="80">
        <f t="shared" si="32"/>
        <v>0</v>
      </c>
      <c r="U72" s="178">
        <v>0</v>
      </c>
      <c r="V72" s="80">
        <f t="shared" si="33"/>
        <v>0</v>
      </c>
      <c r="X72" s="192"/>
    </row>
    <row r="73" spans="1:24" ht="12.75" customHeight="1">
      <c r="A73" s="2" t="s">
        <v>417</v>
      </c>
      <c r="B73" s="35"/>
      <c r="C73" s="178">
        <v>0</v>
      </c>
      <c r="D73" s="80">
        <f t="shared" si="24"/>
        <v>0</v>
      </c>
      <c r="E73" s="178">
        <v>0</v>
      </c>
      <c r="F73" s="80">
        <f t="shared" si="25"/>
        <v>0</v>
      </c>
      <c r="G73" s="178">
        <v>0</v>
      </c>
      <c r="H73" s="80">
        <f t="shared" si="26"/>
        <v>0</v>
      </c>
      <c r="I73" s="178">
        <v>0</v>
      </c>
      <c r="J73" s="80">
        <f t="shared" si="27"/>
        <v>0</v>
      </c>
      <c r="K73" s="178">
        <v>0</v>
      </c>
      <c r="L73" s="80">
        <f t="shared" si="28"/>
        <v>0</v>
      </c>
      <c r="M73" s="178">
        <v>0</v>
      </c>
      <c r="N73" s="80">
        <f t="shared" si="29"/>
        <v>0</v>
      </c>
      <c r="O73" s="178">
        <v>0</v>
      </c>
      <c r="P73" s="80">
        <f t="shared" si="30"/>
        <v>0</v>
      </c>
      <c r="Q73" s="178">
        <v>0</v>
      </c>
      <c r="R73" s="80">
        <f t="shared" si="31"/>
        <v>0</v>
      </c>
      <c r="S73" s="178">
        <v>0</v>
      </c>
      <c r="T73" s="80">
        <f t="shared" si="32"/>
        <v>0</v>
      </c>
      <c r="U73" s="178">
        <v>0</v>
      </c>
      <c r="V73" s="80">
        <f t="shared" si="33"/>
        <v>0</v>
      </c>
      <c r="X73" s="192"/>
    </row>
    <row r="74" spans="1:24" ht="12.75" customHeight="1">
      <c r="A74" s="2" t="s">
        <v>418</v>
      </c>
      <c r="B74" s="35"/>
      <c r="C74" s="178">
        <v>0</v>
      </c>
      <c r="D74" s="80">
        <f t="shared" si="24"/>
        <v>0</v>
      </c>
      <c r="E74" s="178">
        <v>0</v>
      </c>
      <c r="F74" s="80">
        <f t="shared" si="25"/>
        <v>0</v>
      </c>
      <c r="G74" s="178">
        <v>0</v>
      </c>
      <c r="H74" s="80">
        <f t="shared" si="26"/>
        <v>0</v>
      </c>
      <c r="I74" s="178">
        <v>0</v>
      </c>
      <c r="J74" s="80">
        <f t="shared" si="27"/>
        <v>0</v>
      </c>
      <c r="K74" s="178">
        <v>0</v>
      </c>
      <c r="L74" s="80">
        <f t="shared" si="28"/>
        <v>0</v>
      </c>
      <c r="M74" s="178">
        <v>0</v>
      </c>
      <c r="N74" s="80">
        <f t="shared" si="29"/>
        <v>0</v>
      </c>
      <c r="O74" s="178">
        <v>0</v>
      </c>
      <c r="P74" s="80">
        <f t="shared" si="30"/>
        <v>0</v>
      </c>
      <c r="Q74" s="178">
        <v>0</v>
      </c>
      <c r="R74" s="80">
        <f t="shared" si="31"/>
        <v>0</v>
      </c>
      <c r="S74" s="178">
        <v>0</v>
      </c>
      <c r="T74" s="80">
        <f t="shared" si="32"/>
        <v>0</v>
      </c>
      <c r="U74" s="178">
        <v>0</v>
      </c>
      <c r="V74" s="80">
        <f t="shared" si="33"/>
        <v>0</v>
      </c>
      <c r="X74" s="192"/>
    </row>
    <row r="75" spans="1:24" ht="12.75" customHeight="1">
      <c r="A75" s="2" t="s">
        <v>419</v>
      </c>
      <c r="B75" s="35"/>
      <c r="C75" s="178">
        <v>2362.4999999999995</v>
      </c>
      <c r="D75" s="80">
        <f t="shared" si="24"/>
        <v>4.4999999999999988E-3</v>
      </c>
      <c r="E75" s="178">
        <v>2457</v>
      </c>
      <c r="F75" s="80">
        <f t="shared" si="25"/>
        <v>4.4999999999999997E-3</v>
      </c>
      <c r="G75" s="178">
        <v>2556</v>
      </c>
      <c r="H75" s="80">
        <f t="shared" si="26"/>
        <v>4.4999999999999997E-3</v>
      </c>
      <c r="I75" s="178">
        <v>2659.5</v>
      </c>
      <c r="J75" s="80">
        <f t="shared" si="27"/>
        <v>4.4999999999999997E-3</v>
      </c>
      <c r="K75" s="178">
        <v>2736</v>
      </c>
      <c r="L75" s="80">
        <f t="shared" si="28"/>
        <v>4.4999999999999997E-3</v>
      </c>
      <c r="M75" s="178">
        <v>2821.5</v>
      </c>
      <c r="N75" s="80">
        <f t="shared" si="29"/>
        <v>4.4999999999999997E-3</v>
      </c>
      <c r="O75" s="178">
        <v>2902.4999999999995</v>
      </c>
      <c r="P75" s="80">
        <f t="shared" si="30"/>
        <v>4.4999999999999997E-3</v>
      </c>
      <c r="Q75" s="178">
        <v>2992.5</v>
      </c>
      <c r="R75" s="80">
        <f t="shared" si="31"/>
        <v>4.4999999999999997E-3</v>
      </c>
      <c r="S75" s="178">
        <v>3082.4999999999995</v>
      </c>
      <c r="T75" s="80">
        <f t="shared" si="32"/>
        <v>4.4999999999999997E-3</v>
      </c>
      <c r="U75" s="178">
        <v>3172.5</v>
      </c>
      <c r="V75" s="80">
        <f t="shared" si="33"/>
        <v>4.4999999999999997E-3</v>
      </c>
      <c r="X75" s="192"/>
    </row>
    <row r="76" spans="1:24" ht="12.75" customHeight="1">
      <c r="A76" s="2" t="s">
        <v>420</v>
      </c>
      <c r="B76" s="35"/>
      <c r="C76" s="178">
        <v>210</v>
      </c>
      <c r="D76" s="80">
        <f t="shared" si="24"/>
        <v>4.0000000000000002E-4</v>
      </c>
      <c r="E76" s="178">
        <v>218.40000000000003</v>
      </c>
      <c r="F76" s="80">
        <f t="shared" si="25"/>
        <v>4.0000000000000007E-4</v>
      </c>
      <c r="G76" s="178">
        <v>227.20000000000002</v>
      </c>
      <c r="H76" s="80">
        <f t="shared" si="26"/>
        <v>4.0000000000000002E-4</v>
      </c>
      <c r="I76" s="178">
        <v>236.4</v>
      </c>
      <c r="J76" s="80">
        <f t="shared" si="27"/>
        <v>4.0000000000000002E-4</v>
      </c>
      <c r="K76" s="178">
        <v>243.20000000000002</v>
      </c>
      <c r="L76" s="80">
        <f t="shared" si="28"/>
        <v>4.0000000000000002E-4</v>
      </c>
      <c r="M76" s="178">
        <v>250.8</v>
      </c>
      <c r="N76" s="80">
        <f t="shared" si="29"/>
        <v>4.0000000000000002E-4</v>
      </c>
      <c r="O76" s="178">
        <v>258</v>
      </c>
      <c r="P76" s="80">
        <f t="shared" si="30"/>
        <v>4.0000000000000002E-4</v>
      </c>
      <c r="Q76" s="178">
        <v>266</v>
      </c>
      <c r="R76" s="80">
        <f t="shared" si="31"/>
        <v>4.0000000000000002E-4</v>
      </c>
      <c r="S76" s="178">
        <v>274</v>
      </c>
      <c r="T76" s="80">
        <f t="shared" si="32"/>
        <v>4.0000000000000002E-4</v>
      </c>
      <c r="U76" s="178">
        <v>282</v>
      </c>
      <c r="V76" s="80">
        <f t="shared" si="33"/>
        <v>4.0000000000000002E-4</v>
      </c>
      <c r="X76" s="192"/>
    </row>
    <row r="77" spans="1:24" ht="12.75" customHeight="1">
      <c r="A77" s="2" t="s">
        <v>421</v>
      </c>
      <c r="B77" s="35"/>
      <c r="C77" s="178">
        <v>682.5</v>
      </c>
      <c r="D77" s="80">
        <f t="shared" si="24"/>
        <v>1.2999999999999999E-3</v>
      </c>
      <c r="E77" s="178">
        <v>709.80000000000007</v>
      </c>
      <c r="F77" s="80">
        <f t="shared" si="25"/>
        <v>1.3000000000000002E-3</v>
      </c>
      <c r="G77" s="178">
        <v>738.4</v>
      </c>
      <c r="H77" s="80">
        <f t="shared" si="26"/>
        <v>1.2999999999999999E-3</v>
      </c>
      <c r="I77" s="178">
        <v>768.30000000000007</v>
      </c>
      <c r="J77" s="80">
        <f t="shared" si="27"/>
        <v>1.3000000000000002E-3</v>
      </c>
      <c r="K77" s="178">
        <v>790.4</v>
      </c>
      <c r="L77" s="80">
        <f t="shared" si="28"/>
        <v>1.2999999999999999E-3</v>
      </c>
      <c r="M77" s="178">
        <v>815.1</v>
      </c>
      <c r="N77" s="80">
        <f t="shared" si="29"/>
        <v>1.2999999999999999E-3</v>
      </c>
      <c r="O77" s="178">
        <v>838.49999999999989</v>
      </c>
      <c r="P77" s="80">
        <f t="shared" si="30"/>
        <v>1.2999999999999997E-3</v>
      </c>
      <c r="Q77" s="178">
        <v>864.49999999999989</v>
      </c>
      <c r="R77" s="80">
        <f t="shared" si="31"/>
        <v>1.2999999999999997E-3</v>
      </c>
      <c r="S77" s="178">
        <v>890.5</v>
      </c>
      <c r="T77" s="80">
        <f t="shared" si="32"/>
        <v>1.2999999999999999E-3</v>
      </c>
      <c r="U77" s="178">
        <v>916.5</v>
      </c>
      <c r="V77" s="80">
        <f t="shared" si="33"/>
        <v>1.2999999999999999E-3</v>
      </c>
      <c r="X77" s="192"/>
    </row>
    <row r="78" spans="1:24" ht="12.75" customHeight="1">
      <c r="A78" s="2" t="s">
        <v>422</v>
      </c>
      <c r="B78" s="35"/>
      <c r="C78" s="178">
        <v>11549.999999999998</v>
      </c>
      <c r="D78" s="80">
        <f t="shared" si="24"/>
        <v>2.1999999999999995E-2</v>
      </c>
      <c r="E78" s="178">
        <v>12012</v>
      </c>
      <c r="F78" s="80">
        <f t="shared" si="25"/>
        <v>2.1999999999999999E-2</v>
      </c>
      <c r="G78" s="178">
        <v>12496</v>
      </c>
      <c r="H78" s="80">
        <f t="shared" si="26"/>
        <v>2.1999999999999999E-2</v>
      </c>
      <c r="I78" s="178">
        <v>13001.999999999998</v>
      </c>
      <c r="J78" s="80">
        <f t="shared" si="27"/>
        <v>2.1999999999999995E-2</v>
      </c>
      <c r="K78" s="178">
        <v>13376</v>
      </c>
      <c r="L78" s="80">
        <f t="shared" si="28"/>
        <v>2.1999999999999999E-2</v>
      </c>
      <c r="M78" s="178">
        <v>13794</v>
      </c>
      <c r="N78" s="80">
        <f t="shared" si="29"/>
        <v>2.1999999999999999E-2</v>
      </c>
      <c r="O78" s="178">
        <v>14189.999999999998</v>
      </c>
      <c r="P78" s="80">
        <f t="shared" si="30"/>
        <v>2.1999999999999999E-2</v>
      </c>
      <c r="Q78" s="178">
        <v>14629.999999999998</v>
      </c>
      <c r="R78" s="80">
        <f t="shared" si="31"/>
        <v>2.1999999999999999E-2</v>
      </c>
      <c r="S78" s="178">
        <v>15070</v>
      </c>
      <c r="T78" s="80">
        <f t="shared" si="32"/>
        <v>2.1999999999999999E-2</v>
      </c>
      <c r="U78" s="178">
        <v>15510</v>
      </c>
      <c r="V78" s="80">
        <f t="shared" si="33"/>
        <v>2.1999999999999999E-2</v>
      </c>
      <c r="X78" s="192"/>
    </row>
    <row r="79" spans="1:24" ht="12.75" customHeight="1">
      <c r="A79" s="2" t="s">
        <v>423</v>
      </c>
      <c r="B79" s="35"/>
      <c r="C79" s="178">
        <v>0</v>
      </c>
      <c r="D79" s="80">
        <f t="shared" si="24"/>
        <v>0</v>
      </c>
      <c r="E79" s="178">
        <v>0</v>
      </c>
      <c r="F79" s="80">
        <f t="shared" si="25"/>
        <v>0</v>
      </c>
      <c r="G79" s="178">
        <v>0</v>
      </c>
      <c r="H79" s="80">
        <f t="shared" si="26"/>
        <v>0</v>
      </c>
      <c r="I79" s="178">
        <v>0</v>
      </c>
      <c r="J79" s="80">
        <f t="shared" si="27"/>
        <v>0</v>
      </c>
      <c r="K79" s="178">
        <v>0</v>
      </c>
      <c r="L79" s="80">
        <f t="shared" si="28"/>
        <v>0</v>
      </c>
      <c r="M79" s="178">
        <v>0</v>
      </c>
      <c r="N79" s="80">
        <f t="shared" si="29"/>
        <v>0</v>
      </c>
      <c r="O79" s="178">
        <v>0</v>
      </c>
      <c r="P79" s="80">
        <f t="shared" si="30"/>
        <v>0</v>
      </c>
      <c r="Q79" s="178">
        <v>0</v>
      </c>
      <c r="R79" s="80">
        <f t="shared" si="31"/>
        <v>0</v>
      </c>
      <c r="S79" s="178">
        <v>0</v>
      </c>
      <c r="T79" s="80">
        <f t="shared" si="32"/>
        <v>0</v>
      </c>
      <c r="U79" s="178">
        <v>0</v>
      </c>
      <c r="V79" s="80">
        <f t="shared" si="33"/>
        <v>0</v>
      </c>
      <c r="X79" s="192"/>
    </row>
    <row r="80" spans="1:24" ht="12.75" customHeight="1">
      <c r="A80" s="2" t="s">
        <v>424</v>
      </c>
      <c r="B80" s="35"/>
      <c r="C80" s="178">
        <v>0</v>
      </c>
      <c r="D80" s="80">
        <f t="shared" si="24"/>
        <v>0</v>
      </c>
      <c r="E80" s="178">
        <v>0</v>
      </c>
      <c r="F80" s="80">
        <f t="shared" si="25"/>
        <v>0</v>
      </c>
      <c r="G80" s="178">
        <v>0</v>
      </c>
      <c r="H80" s="80">
        <f t="shared" si="26"/>
        <v>0</v>
      </c>
      <c r="I80" s="178">
        <v>0</v>
      </c>
      <c r="J80" s="80">
        <f t="shared" si="27"/>
        <v>0</v>
      </c>
      <c r="K80" s="178">
        <v>0</v>
      </c>
      <c r="L80" s="80">
        <f t="shared" si="28"/>
        <v>0</v>
      </c>
      <c r="M80" s="178">
        <v>0</v>
      </c>
      <c r="N80" s="80">
        <f t="shared" si="29"/>
        <v>0</v>
      </c>
      <c r="O80" s="178">
        <v>0</v>
      </c>
      <c r="P80" s="80">
        <f t="shared" si="30"/>
        <v>0</v>
      </c>
      <c r="Q80" s="178">
        <v>0</v>
      </c>
      <c r="R80" s="80">
        <f t="shared" si="31"/>
        <v>0</v>
      </c>
      <c r="S80" s="178">
        <v>0</v>
      </c>
      <c r="T80" s="80">
        <f t="shared" si="32"/>
        <v>0</v>
      </c>
      <c r="U80" s="178">
        <v>0</v>
      </c>
      <c r="V80" s="80">
        <f t="shared" si="33"/>
        <v>0</v>
      </c>
      <c r="X80" s="192"/>
    </row>
    <row r="81" spans="1:24" ht="12.75" customHeight="1">
      <c r="A81" s="2" t="s">
        <v>425</v>
      </c>
      <c r="B81" s="35"/>
      <c r="C81" s="178">
        <v>0</v>
      </c>
      <c r="D81" s="80">
        <f t="shared" si="24"/>
        <v>0</v>
      </c>
      <c r="E81" s="178">
        <v>0</v>
      </c>
      <c r="F81" s="80">
        <f t="shared" si="25"/>
        <v>0</v>
      </c>
      <c r="G81" s="178">
        <v>0</v>
      </c>
      <c r="H81" s="80">
        <f t="shared" si="26"/>
        <v>0</v>
      </c>
      <c r="I81" s="178">
        <v>0</v>
      </c>
      <c r="J81" s="80">
        <f t="shared" si="27"/>
        <v>0</v>
      </c>
      <c r="K81" s="178">
        <v>0</v>
      </c>
      <c r="L81" s="80">
        <f t="shared" si="28"/>
        <v>0</v>
      </c>
      <c r="M81" s="178">
        <v>0</v>
      </c>
      <c r="N81" s="80">
        <f t="shared" si="29"/>
        <v>0</v>
      </c>
      <c r="O81" s="178">
        <v>0</v>
      </c>
      <c r="P81" s="80">
        <f t="shared" si="30"/>
        <v>0</v>
      </c>
      <c r="Q81" s="178">
        <v>0</v>
      </c>
      <c r="R81" s="80">
        <f t="shared" si="31"/>
        <v>0</v>
      </c>
      <c r="S81" s="178">
        <v>0</v>
      </c>
      <c r="T81" s="80">
        <f t="shared" si="32"/>
        <v>0</v>
      </c>
      <c r="U81" s="178">
        <v>0</v>
      </c>
      <c r="V81" s="80">
        <f t="shared" si="33"/>
        <v>0</v>
      </c>
      <c r="X81" s="192"/>
    </row>
    <row r="82" spans="1:24" ht="12.75" customHeight="1">
      <c r="A82" s="2" t="s">
        <v>426</v>
      </c>
      <c r="B82" s="35"/>
      <c r="C82" s="178">
        <v>0</v>
      </c>
      <c r="D82" s="80">
        <f t="shared" si="24"/>
        <v>0</v>
      </c>
      <c r="E82" s="178">
        <v>0</v>
      </c>
      <c r="F82" s="80">
        <f t="shared" si="25"/>
        <v>0</v>
      </c>
      <c r="G82" s="178">
        <v>0</v>
      </c>
      <c r="H82" s="80">
        <f t="shared" si="26"/>
        <v>0</v>
      </c>
      <c r="I82" s="178">
        <v>0</v>
      </c>
      <c r="J82" s="80">
        <f t="shared" si="27"/>
        <v>0</v>
      </c>
      <c r="K82" s="178">
        <v>0</v>
      </c>
      <c r="L82" s="80">
        <f t="shared" si="28"/>
        <v>0</v>
      </c>
      <c r="M82" s="178">
        <v>0</v>
      </c>
      <c r="N82" s="80">
        <f t="shared" si="29"/>
        <v>0</v>
      </c>
      <c r="O82" s="178">
        <v>0</v>
      </c>
      <c r="P82" s="80">
        <f t="shared" si="30"/>
        <v>0</v>
      </c>
      <c r="Q82" s="178">
        <v>0</v>
      </c>
      <c r="R82" s="80">
        <f t="shared" si="31"/>
        <v>0</v>
      </c>
      <c r="S82" s="178">
        <v>0</v>
      </c>
      <c r="T82" s="80">
        <f t="shared" si="32"/>
        <v>0</v>
      </c>
      <c r="U82" s="178">
        <v>0</v>
      </c>
      <c r="V82" s="80">
        <f t="shared" si="33"/>
        <v>0</v>
      </c>
      <c r="X82" s="192"/>
    </row>
    <row r="83" spans="1:24" ht="12.75" customHeight="1">
      <c r="A83" s="2" t="s">
        <v>427</v>
      </c>
      <c r="B83" s="35"/>
      <c r="C83" s="178">
        <v>0</v>
      </c>
      <c r="D83" s="80">
        <f t="shared" si="24"/>
        <v>0</v>
      </c>
      <c r="E83" s="178">
        <v>0</v>
      </c>
      <c r="F83" s="80">
        <f t="shared" si="25"/>
        <v>0</v>
      </c>
      <c r="G83" s="178">
        <v>0</v>
      </c>
      <c r="H83" s="80">
        <f t="shared" si="26"/>
        <v>0</v>
      </c>
      <c r="I83" s="178">
        <v>0</v>
      </c>
      <c r="J83" s="80">
        <f t="shared" si="27"/>
        <v>0</v>
      </c>
      <c r="K83" s="178">
        <v>0</v>
      </c>
      <c r="L83" s="80">
        <f t="shared" si="28"/>
        <v>0</v>
      </c>
      <c r="M83" s="178">
        <v>0</v>
      </c>
      <c r="N83" s="80">
        <f t="shared" si="29"/>
        <v>0</v>
      </c>
      <c r="O83" s="178">
        <v>0</v>
      </c>
      <c r="P83" s="80">
        <f t="shared" si="30"/>
        <v>0</v>
      </c>
      <c r="Q83" s="178">
        <v>0</v>
      </c>
      <c r="R83" s="80">
        <f t="shared" si="31"/>
        <v>0</v>
      </c>
      <c r="S83" s="178">
        <v>0</v>
      </c>
      <c r="T83" s="80">
        <f t="shared" si="32"/>
        <v>0</v>
      </c>
      <c r="U83" s="178">
        <v>0</v>
      </c>
      <c r="V83" s="80">
        <f t="shared" si="33"/>
        <v>0</v>
      </c>
      <c r="X83" s="192"/>
    </row>
    <row r="84" spans="1:24" ht="12.75" customHeight="1">
      <c r="A84" s="2" t="s">
        <v>428</v>
      </c>
      <c r="B84" s="35"/>
      <c r="C84" s="178">
        <v>0</v>
      </c>
      <c r="D84" s="80">
        <f t="shared" si="24"/>
        <v>0</v>
      </c>
      <c r="E84" s="178">
        <v>0</v>
      </c>
      <c r="F84" s="80">
        <f t="shared" si="25"/>
        <v>0</v>
      </c>
      <c r="G84" s="178">
        <v>0</v>
      </c>
      <c r="H84" s="80">
        <f t="shared" si="26"/>
        <v>0</v>
      </c>
      <c r="I84" s="178">
        <v>0</v>
      </c>
      <c r="J84" s="80">
        <f t="shared" si="27"/>
        <v>0</v>
      </c>
      <c r="K84" s="178">
        <v>0</v>
      </c>
      <c r="L84" s="80">
        <f t="shared" si="28"/>
        <v>0</v>
      </c>
      <c r="M84" s="178">
        <v>0</v>
      </c>
      <c r="N84" s="80">
        <f t="shared" si="29"/>
        <v>0</v>
      </c>
      <c r="O84" s="178">
        <v>0</v>
      </c>
      <c r="P84" s="80">
        <f t="shared" si="30"/>
        <v>0</v>
      </c>
      <c r="Q84" s="178">
        <v>0</v>
      </c>
      <c r="R84" s="80">
        <f t="shared" si="31"/>
        <v>0</v>
      </c>
      <c r="S84" s="178">
        <v>0</v>
      </c>
      <c r="T84" s="80">
        <f t="shared" si="32"/>
        <v>0</v>
      </c>
      <c r="U84" s="178">
        <v>0</v>
      </c>
      <c r="V84" s="80">
        <f t="shared" si="33"/>
        <v>0</v>
      </c>
      <c r="X84" s="192"/>
    </row>
    <row r="85" spans="1:24" ht="12.75" customHeight="1">
      <c r="A85" s="2" t="s">
        <v>429</v>
      </c>
      <c r="B85" s="35"/>
      <c r="C85" s="178">
        <v>0</v>
      </c>
      <c r="D85" s="80">
        <f t="shared" si="24"/>
        <v>0</v>
      </c>
      <c r="E85" s="178">
        <v>0</v>
      </c>
      <c r="F85" s="80">
        <f t="shared" si="25"/>
        <v>0</v>
      </c>
      <c r="G85" s="178">
        <v>0</v>
      </c>
      <c r="H85" s="80">
        <f t="shared" si="26"/>
        <v>0</v>
      </c>
      <c r="I85" s="178">
        <v>0</v>
      </c>
      <c r="J85" s="80">
        <f t="shared" si="27"/>
        <v>0</v>
      </c>
      <c r="K85" s="178">
        <v>0</v>
      </c>
      <c r="L85" s="80">
        <f t="shared" si="28"/>
        <v>0</v>
      </c>
      <c r="M85" s="178">
        <v>0</v>
      </c>
      <c r="N85" s="80">
        <f t="shared" si="29"/>
        <v>0</v>
      </c>
      <c r="O85" s="178">
        <v>0</v>
      </c>
      <c r="P85" s="80">
        <f t="shared" si="30"/>
        <v>0</v>
      </c>
      <c r="Q85" s="178">
        <v>0</v>
      </c>
      <c r="R85" s="80">
        <f t="shared" si="31"/>
        <v>0</v>
      </c>
      <c r="S85" s="178">
        <v>0</v>
      </c>
      <c r="T85" s="80">
        <f t="shared" si="32"/>
        <v>0</v>
      </c>
      <c r="U85" s="178">
        <v>0</v>
      </c>
      <c r="V85" s="80">
        <f t="shared" si="33"/>
        <v>0</v>
      </c>
      <c r="X85" s="192"/>
    </row>
    <row r="86" spans="1:24" ht="12.75" customHeight="1">
      <c r="A86" s="2" t="s">
        <v>430</v>
      </c>
      <c r="B86" s="35"/>
      <c r="C86" s="178">
        <v>2100</v>
      </c>
      <c r="D86" s="80">
        <f t="shared" si="24"/>
        <v>4.0000000000000001E-3</v>
      </c>
      <c r="E86" s="178">
        <v>2184</v>
      </c>
      <c r="F86" s="80">
        <f t="shared" si="25"/>
        <v>4.0000000000000001E-3</v>
      </c>
      <c r="G86" s="178">
        <v>2272</v>
      </c>
      <c r="H86" s="80">
        <f t="shared" si="26"/>
        <v>4.0000000000000001E-3</v>
      </c>
      <c r="I86" s="178">
        <v>2364</v>
      </c>
      <c r="J86" s="80">
        <f t="shared" si="27"/>
        <v>4.0000000000000001E-3</v>
      </c>
      <c r="K86" s="178">
        <v>2432</v>
      </c>
      <c r="L86" s="80">
        <f t="shared" si="28"/>
        <v>4.0000000000000001E-3</v>
      </c>
      <c r="M86" s="178">
        <v>2508</v>
      </c>
      <c r="N86" s="80">
        <f t="shared" si="29"/>
        <v>4.0000000000000001E-3</v>
      </c>
      <c r="O86" s="178">
        <v>2580</v>
      </c>
      <c r="P86" s="80">
        <f t="shared" si="30"/>
        <v>4.0000000000000001E-3</v>
      </c>
      <c r="Q86" s="178">
        <v>2660</v>
      </c>
      <c r="R86" s="80">
        <f t="shared" si="31"/>
        <v>4.0000000000000001E-3</v>
      </c>
      <c r="S86" s="178">
        <v>2740</v>
      </c>
      <c r="T86" s="80">
        <f t="shared" si="32"/>
        <v>4.0000000000000001E-3</v>
      </c>
      <c r="U86" s="178">
        <v>2820</v>
      </c>
      <c r="V86" s="80">
        <f t="shared" si="33"/>
        <v>4.0000000000000001E-3</v>
      </c>
      <c r="X86" s="192"/>
    </row>
    <row r="87" spans="1:24" ht="12.75" customHeight="1">
      <c r="A87" s="2" t="s">
        <v>431</v>
      </c>
      <c r="B87" s="35"/>
      <c r="C87" s="178">
        <v>0</v>
      </c>
      <c r="D87" s="80">
        <f t="shared" si="24"/>
        <v>0</v>
      </c>
      <c r="E87" s="178">
        <v>0</v>
      </c>
      <c r="F87" s="80">
        <f t="shared" si="25"/>
        <v>0</v>
      </c>
      <c r="G87" s="178">
        <v>0</v>
      </c>
      <c r="H87" s="80">
        <f t="shared" si="26"/>
        <v>0</v>
      </c>
      <c r="I87" s="178">
        <v>0</v>
      </c>
      <c r="J87" s="80">
        <f t="shared" si="27"/>
        <v>0</v>
      </c>
      <c r="K87" s="178">
        <v>0</v>
      </c>
      <c r="L87" s="80">
        <f t="shared" si="28"/>
        <v>0</v>
      </c>
      <c r="M87" s="178">
        <v>0</v>
      </c>
      <c r="N87" s="80">
        <f t="shared" si="29"/>
        <v>0</v>
      </c>
      <c r="O87" s="178">
        <v>0</v>
      </c>
      <c r="P87" s="80">
        <f t="shared" si="30"/>
        <v>0</v>
      </c>
      <c r="Q87" s="178">
        <v>0</v>
      </c>
      <c r="R87" s="80">
        <f t="shared" si="31"/>
        <v>0</v>
      </c>
      <c r="S87" s="178">
        <v>0</v>
      </c>
      <c r="T87" s="80">
        <f t="shared" si="32"/>
        <v>0</v>
      </c>
      <c r="U87" s="178">
        <v>0</v>
      </c>
      <c r="V87" s="80">
        <f t="shared" si="33"/>
        <v>0</v>
      </c>
      <c r="X87" s="192"/>
    </row>
    <row r="88" spans="1:24" ht="12.75" customHeight="1">
      <c r="A88" s="2" t="s">
        <v>432</v>
      </c>
      <c r="B88" s="35"/>
      <c r="C88" s="178">
        <v>2677.5</v>
      </c>
      <c r="D88" s="80">
        <f t="shared" si="24"/>
        <v>5.1000000000000004E-3</v>
      </c>
      <c r="E88" s="178">
        <v>2784.6000000000004</v>
      </c>
      <c r="F88" s="80">
        <f t="shared" si="25"/>
        <v>5.1000000000000004E-3</v>
      </c>
      <c r="G88" s="178">
        <v>2896.8</v>
      </c>
      <c r="H88" s="80">
        <f t="shared" si="26"/>
        <v>5.1000000000000004E-3</v>
      </c>
      <c r="I88" s="178">
        <v>3014.1000000000004</v>
      </c>
      <c r="J88" s="80">
        <f t="shared" si="27"/>
        <v>5.1000000000000004E-3</v>
      </c>
      <c r="K88" s="178">
        <v>3100.8</v>
      </c>
      <c r="L88" s="80">
        <f t="shared" si="28"/>
        <v>5.1000000000000004E-3</v>
      </c>
      <c r="M88" s="178">
        <v>3197.7000000000003</v>
      </c>
      <c r="N88" s="80">
        <f t="shared" si="29"/>
        <v>5.1000000000000004E-3</v>
      </c>
      <c r="O88" s="178">
        <v>3289.5</v>
      </c>
      <c r="P88" s="80">
        <f t="shared" si="30"/>
        <v>5.1000000000000004E-3</v>
      </c>
      <c r="Q88" s="178">
        <v>3391.5</v>
      </c>
      <c r="R88" s="80">
        <f t="shared" si="31"/>
        <v>5.1000000000000004E-3</v>
      </c>
      <c r="S88" s="178">
        <v>3493.5</v>
      </c>
      <c r="T88" s="80">
        <f t="shared" si="32"/>
        <v>5.1000000000000004E-3</v>
      </c>
      <c r="U88" s="178">
        <v>3595.5000000000005</v>
      </c>
      <c r="V88" s="80">
        <f t="shared" si="33"/>
        <v>5.1000000000000004E-3</v>
      </c>
      <c r="X88" s="192"/>
    </row>
    <row r="89" spans="1:24" ht="12.75" customHeight="1">
      <c r="A89" s="2" t="s">
        <v>433</v>
      </c>
      <c r="B89" s="35"/>
      <c r="C89" s="178">
        <v>0</v>
      </c>
      <c r="D89" s="80">
        <f t="shared" si="24"/>
        <v>0</v>
      </c>
      <c r="E89" s="178">
        <v>0</v>
      </c>
      <c r="F89" s="80">
        <f t="shared" si="25"/>
        <v>0</v>
      </c>
      <c r="G89" s="178">
        <v>0</v>
      </c>
      <c r="H89" s="80">
        <f t="shared" si="26"/>
        <v>0</v>
      </c>
      <c r="I89" s="178">
        <v>0</v>
      </c>
      <c r="J89" s="80">
        <f t="shared" si="27"/>
        <v>0</v>
      </c>
      <c r="K89" s="178">
        <v>0</v>
      </c>
      <c r="L89" s="80">
        <f t="shared" si="28"/>
        <v>0</v>
      </c>
      <c r="M89" s="178">
        <v>0</v>
      </c>
      <c r="N89" s="80">
        <f t="shared" si="29"/>
        <v>0</v>
      </c>
      <c r="O89" s="178">
        <v>0</v>
      </c>
      <c r="P89" s="80">
        <f t="shared" si="30"/>
        <v>0</v>
      </c>
      <c r="Q89" s="178">
        <v>0</v>
      </c>
      <c r="R89" s="80">
        <f t="shared" si="31"/>
        <v>0</v>
      </c>
      <c r="S89" s="178">
        <v>0</v>
      </c>
      <c r="T89" s="80">
        <f t="shared" si="32"/>
        <v>0</v>
      </c>
      <c r="U89" s="178">
        <v>0</v>
      </c>
      <c r="V89" s="80">
        <f t="shared" si="33"/>
        <v>0</v>
      </c>
      <c r="X89" s="192"/>
    </row>
    <row r="90" spans="1:24" ht="12.75" customHeight="1">
      <c r="A90" s="2" t="s">
        <v>434</v>
      </c>
      <c r="B90" s="35"/>
      <c r="C90" s="178">
        <v>105</v>
      </c>
      <c r="D90" s="80">
        <f t="shared" si="24"/>
        <v>2.0000000000000001E-4</v>
      </c>
      <c r="E90" s="178">
        <v>109.20000000000002</v>
      </c>
      <c r="F90" s="80">
        <f t="shared" si="25"/>
        <v>2.0000000000000004E-4</v>
      </c>
      <c r="G90" s="178">
        <v>113.60000000000001</v>
      </c>
      <c r="H90" s="80">
        <f t="shared" si="26"/>
        <v>2.0000000000000001E-4</v>
      </c>
      <c r="I90" s="178">
        <v>118.2</v>
      </c>
      <c r="J90" s="80">
        <f t="shared" si="27"/>
        <v>2.0000000000000001E-4</v>
      </c>
      <c r="K90" s="178">
        <v>121.60000000000001</v>
      </c>
      <c r="L90" s="80">
        <f t="shared" si="28"/>
        <v>2.0000000000000001E-4</v>
      </c>
      <c r="M90" s="178">
        <v>125.4</v>
      </c>
      <c r="N90" s="80">
        <f t="shared" si="29"/>
        <v>2.0000000000000001E-4</v>
      </c>
      <c r="O90" s="178">
        <v>129</v>
      </c>
      <c r="P90" s="80">
        <f t="shared" si="30"/>
        <v>2.0000000000000001E-4</v>
      </c>
      <c r="Q90" s="178">
        <v>133</v>
      </c>
      <c r="R90" s="80">
        <f t="shared" si="31"/>
        <v>2.0000000000000001E-4</v>
      </c>
      <c r="S90" s="178">
        <v>137</v>
      </c>
      <c r="T90" s="80">
        <f t="shared" si="32"/>
        <v>2.0000000000000001E-4</v>
      </c>
      <c r="U90" s="178">
        <v>141</v>
      </c>
      <c r="V90" s="80">
        <f t="shared" si="33"/>
        <v>2.0000000000000001E-4</v>
      </c>
      <c r="X90" s="192"/>
    </row>
    <row r="91" spans="1:24" ht="12.75" customHeight="1">
      <c r="A91" s="2" t="s">
        <v>435</v>
      </c>
      <c r="C91" s="178">
        <v>0</v>
      </c>
      <c r="D91" s="80">
        <f t="shared" si="24"/>
        <v>0</v>
      </c>
      <c r="E91" s="178">
        <v>0</v>
      </c>
      <c r="F91" s="80">
        <f t="shared" si="25"/>
        <v>0</v>
      </c>
      <c r="G91" s="178">
        <v>0</v>
      </c>
      <c r="H91" s="80">
        <f t="shared" si="26"/>
        <v>0</v>
      </c>
      <c r="I91" s="178">
        <v>0</v>
      </c>
      <c r="J91" s="80">
        <f t="shared" si="27"/>
        <v>0</v>
      </c>
      <c r="K91" s="178">
        <v>0</v>
      </c>
      <c r="L91" s="80">
        <f t="shared" si="28"/>
        <v>0</v>
      </c>
      <c r="M91" s="178">
        <v>0</v>
      </c>
      <c r="N91" s="80">
        <f t="shared" si="29"/>
        <v>0</v>
      </c>
      <c r="O91" s="178">
        <v>0</v>
      </c>
      <c r="P91" s="80">
        <f t="shared" si="30"/>
        <v>0</v>
      </c>
      <c r="Q91" s="178">
        <v>0</v>
      </c>
      <c r="R91" s="80">
        <f t="shared" si="31"/>
        <v>0</v>
      </c>
      <c r="S91" s="178">
        <v>0</v>
      </c>
      <c r="T91" s="80">
        <f t="shared" si="32"/>
        <v>0</v>
      </c>
      <c r="U91" s="178">
        <v>0</v>
      </c>
      <c r="V91" s="80">
        <f t="shared" si="33"/>
        <v>0</v>
      </c>
      <c r="X91" s="192"/>
    </row>
    <row r="92" spans="1:24" ht="12.75" customHeight="1">
      <c r="A92" s="2" t="s">
        <v>436</v>
      </c>
      <c r="B92" s="35"/>
      <c r="C92" s="178">
        <v>2730</v>
      </c>
      <c r="D92" s="80">
        <f t="shared" si="24"/>
        <v>5.1999999999999998E-3</v>
      </c>
      <c r="E92" s="178">
        <v>2839.2000000000003</v>
      </c>
      <c r="F92" s="80">
        <f t="shared" si="25"/>
        <v>5.2000000000000006E-3</v>
      </c>
      <c r="G92" s="178">
        <v>2953.6</v>
      </c>
      <c r="H92" s="80">
        <f t="shared" si="26"/>
        <v>5.1999999999999998E-3</v>
      </c>
      <c r="I92" s="178">
        <v>3073.2000000000003</v>
      </c>
      <c r="J92" s="80">
        <f t="shared" si="27"/>
        <v>5.2000000000000006E-3</v>
      </c>
      <c r="K92" s="178">
        <v>3161.6</v>
      </c>
      <c r="L92" s="80">
        <f t="shared" si="28"/>
        <v>5.1999999999999998E-3</v>
      </c>
      <c r="M92" s="178">
        <v>3260.4</v>
      </c>
      <c r="N92" s="80">
        <f t="shared" si="29"/>
        <v>5.1999999999999998E-3</v>
      </c>
      <c r="O92" s="178">
        <v>3353.9999999999995</v>
      </c>
      <c r="P92" s="80">
        <f t="shared" si="30"/>
        <v>5.1999999999999989E-3</v>
      </c>
      <c r="Q92" s="178">
        <v>3457.9999999999995</v>
      </c>
      <c r="R92" s="80">
        <f t="shared" si="31"/>
        <v>5.1999999999999989E-3</v>
      </c>
      <c r="S92" s="178">
        <v>3562</v>
      </c>
      <c r="T92" s="80">
        <f t="shared" si="32"/>
        <v>5.1999999999999998E-3</v>
      </c>
      <c r="U92" s="178">
        <v>3666</v>
      </c>
      <c r="V92" s="80">
        <f t="shared" si="33"/>
        <v>5.1999999999999998E-3</v>
      </c>
      <c r="X92" s="192"/>
    </row>
    <row r="93" spans="1:24" ht="12.75" customHeight="1">
      <c r="A93" s="2" t="s">
        <v>437</v>
      </c>
      <c r="B93" s="35"/>
      <c r="C93" s="178">
        <v>0</v>
      </c>
      <c r="D93" s="80">
        <f t="shared" si="24"/>
        <v>0</v>
      </c>
      <c r="E93" s="178">
        <v>0</v>
      </c>
      <c r="F93" s="80">
        <f t="shared" si="25"/>
        <v>0</v>
      </c>
      <c r="G93" s="178">
        <v>0</v>
      </c>
      <c r="H93" s="80">
        <f t="shared" si="26"/>
        <v>0</v>
      </c>
      <c r="I93" s="178">
        <v>0</v>
      </c>
      <c r="J93" s="80">
        <f t="shared" si="27"/>
        <v>0</v>
      </c>
      <c r="K93" s="178">
        <v>0</v>
      </c>
      <c r="L93" s="80">
        <f t="shared" si="28"/>
        <v>0</v>
      </c>
      <c r="M93" s="178">
        <v>0</v>
      </c>
      <c r="N93" s="80">
        <f t="shared" si="29"/>
        <v>0</v>
      </c>
      <c r="O93" s="178">
        <v>0</v>
      </c>
      <c r="P93" s="80">
        <f t="shared" si="30"/>
        <v>0</v>
      </c>
      <c r="Q93" s="178">
        <v>0</v>
      </c>
      <c r="R93" s="80">
        <f t="shared" si="31"/>
        <v>0</v>
      </c>
      <c r="S93" s="178">
        <v>0</v>
      </c>
      <c r="T93" s="80">
        <f t="shared" si="32"/>
        <v>0</v>
      </c>
      <c r="U93" s="178">
        <v>0</v>
      </c>
      <c r="V93" s="80">
        <f t="shared" si="33"/>
        <v>0</v>
      </c>
      <c r="X93" s="192"/>
    </row>
    <row r="94" spans="1:24" ht="12.75" customHeight="1">
      <c r="A94" s="2" t="s">
        <v>438</v>
      </c>
      <c r="B94" s="35"/>
      <c r="C94" s="178">
        <v>0</v>
      </c>
      <c r="D94" s="80">
        <f t="shared" si="24"/>
        <v>0</v>
      </c>
      <c r="E94" s="178">
        <v>0</v>
      </c>
      <c r="F94" s="80">
        <f t="shared" si="25"/>
        <v>0</v>
      </c>
      <c r="G94" s="178">
        <v>0</v>
      </c>
      <c r="H94" s="80">
        <f t="shared" si="26"/>
        <v>0</v>
      </c>
      <c r="I94" s="178">
        <v>0</v>
      </c>
      <c r="J94" s="80">
        <f t="shared" si="27"/>
        <v>0</v>
      </c>
      <c r="K94" s="178">
        <v>0</v>
      </c>
      <c r="L94" s="80">
        <f t="shared" si="28"/>
        <v>0</v>
      </c>
      <c r="M94" s="178">
        <v>0</v>
      </c>
      <c r="N94" s="80">
        <f t="shared" si="29"/>
        <v>0</v>
      </c>
      <c r="O94" s="178">
        <v>0</v>
      </c>
      <c r="P94" s="80">
        <f t="shared" si="30"/>
        <v>0</v>
      </c>
      <c r="Q94" s="178">
        <v>0</v>
      </c>
      <c r="R94" s="80">
        <f t="shared" si="31"/>
        <v>0</v>
      </c>
      <c r="S94" s="178">
        <v>0</v>
      </c>
      <c r="T94" s="80">
        <f t="shared" si="32"/>
        <v>0</v>
      </c>
      <c r="U94" s="178">
        <v>0</v>
      </c>
      <c r="V94" s="80">
        <f t="shared" si="33"/>
        <v>0</v>
      </c>
      <c r="X94" s="192"/>
    </row>
    <row r="95" spans="1:24" ht="12.75" customHeight="1">
      <c r="A95" s="2" t="s">
        <v>439</v>
      </c>
      <c r="B95" s="35"/>
      <c r="C95" s="178">
        <v>0</v>
      </c>
      <c r="D95" s="80">
        <f t="shared" si="24"/>
        <v>0</v>
      </c>
      <c r="E95" s="178">
        <v>0</v>
      </c>
      <c r="F95" s="80">
        <f t="shared" si="25"/>
        <v>0</v>
      </c>
      <c r="G95" s="178">
        <v>0</v>
      </c>
      <c r="H95" s="80">
        <f t="shared" si="26"/>
        <v>0</v>
      </c>
      <c r="I95" s="178">
        <v>0</v>
      </c>
      <c r="J95" s="80">
        <f t="shared" si="27"/>
        <v>0</v>
      </c>
      <c r="K95" s="178">
        <v>0</v>
      </c>
      <c r="L95" s="80">
        <f t="shared" si="28"/>
        <v>0</v>
      </c>
      <c r="M95" s="178">
        <v>0</v>
      </c>
      <c r="N95" s="80">
        <f t="shared" si="29"/>
        <v>0</v>
      </c>
      <c r="O95" s="178">
        <v>0</v>
      </c>
      <c r="P95" s="80">
        <f t="shared" si="30"/>
        <v>0</v>
      </c>
      <c r="Q95" s="178">
        <v>0</v>
      </c>
      <c r="R95" s="80">
        <f t="shared" si="31"/>
        <v>0</v>
      </c>
      <c r="S95" s="178">
        <v>0</v>
      </c>
      <c r="T95" s="80">
        <f t="shared" si="32"/>
        <v>0</v>
      </c>
      <c r="U95" s="178">
        <v>0</v>
      </c>
      <c r="V95" s="80">
        <f t="shared" si="33"/>
        <v>0</v>
      </c>
      <c r="X95" s="192"/>
    </row>
    <row r="96" spans="1:24" ht="12.75" customHeight="1">
      <c r="A96" s="2" t="s">
        <v>440</v>
      </c>
      <c r="B96" s="35"/>
      <c r="C96" s="178">
        <v>0</v>
      </c>
      <c r="D96" s="80">
        <f t="shared" si="24"/>
        <v>0</v>
      </c>
      <c r="E96" s="178">
        <v>0</v>
      </c>
      <c r="F96" s="80">
        <f t="shared" si="25"/>
        <v>0</v>
      </c>
      <c r="G96" s="178">
        <v>0</v>
      </c>
      <c r="H96" s="80">
        <f t="shared" si="26"/>
        <v>0</v>
      </c>
      <c r="I96" s="178">
        <v>0</v>
      </c>
      <c r="J96" s="80">
        <f t="shared" si="27"/>
        <v>0</v>
      </c>
      <c r="K96" s="178">
        <v>0</v>
      </c>
      <c r="L96" s="80">
        <f t="shared" si="28"/>
        <v>0</v>
      </c>
      <c r="M96" s="178">
        <v>0</v>
      </c>
      <c r="N96" s="80">
        <f t="shared" si="29"/>
        <v>0</v>
      </c>
      <c r="O96" s="178">
        <v>0</v>
      </c>
      <c r="P96" s="80">
        <f t="shared" si="30"/>
        <v>0</v>
      </c>
      <c r="Q96" s="178">
        <v>0</v>
      </c>
      <c r="R96" s="80">
        <f t="shared" si="31"/>
        <v>0</v>
      </c>
      <c r="S96" s="178">
        <v>0</v>
      </c>
      <c r="T96" s="80">
        <f t="shared" si="32"/>
        <v>0</v>
      </c>
      <c r="U96" s="178">
        <v>0</v>
      </c>
      <c r="V96" s="80">
        <f t="shared" si="33"/>
        <v>0</v>
      </c>
      <c r="X96" s="192"/>
    </row>
    <row r="97" spans="1:24" ht="12.75" customHeight="1">
      <c r="A97" s="2" t="s">
        <v>441</v>
      </c>
      <c r="B97" s="35"/>
      <c r="C97" s="178">
        <v>6974.6363000000001</v>
      </c>
      <c r="D97" s="80">
        <f t="shared" si="24"/>
        <v>1.3285021523809525E-2</v>
      </c>
      <c r="E97" s="178">
        <v>7755.7955656000004</v>
      </c>
      <c r="F97" s="80">
        <f t="shared" si="25"/>
        <v>1.4204753783150184E-2</v>
      </c>
      <c r="G97" s="178">
        <v>8027.2484103960005</v>
      </c>
      <c r="H97" s="80">
        <f t="shared" si="26"/>
        <v>1.4132479595767607E-2</v>
      </c>
      <c r="I97" s="178">
        <v>8284.1203595286715</v>
      </c>
      <c r="J97" s="80">
        <f t="shared" si="27"/>
        <v>1.401712412779809E-2</v>
      </c>
      <c r="K97" s="178">
        <v>8449.8027667192455</v>
      </c>
      <c r="L97" s="80">
        <f t="shared" si="28"/>
        <v>1.3897701918946128E-2</v>
      </c>
      <c r="M97" s="178">
        <v>8661.047835887226</v>
      </c>
      <c r="N97" s="80">
        <f t="shared" si="29"/>
        <v>1.3813473422467665E-2</v>
      </c>
      <c r="O97" s="178">
        <v>8877.5740317844065</v>
      </c>
      <c r="P97" s="80">
        <f t="shared" si="30"/>
        <v>1.3763680669433188E-2</v>
      </c>
      <c r="Q97" s="178">
        <v>9099.5133825790144</v>
      </c>
      <c r="R97" s="80">
        <f t="shared" si="31"/>
        <v>1.368347877079551E-2</v>
      </c>
      <c r="S97" s="178">
        <v>9327.0012171434882</v>
      </c>
      <c r="T97" s="80">
        <f t="shared" si="32"/>
        <v>1.3616060171012391E-2</v>
      </c>
      <c r="U97" s="178">
        <v>9560.1762475720752</v>
      </c>
      <c r="V97" s="80">
        <f t="shared" si="33"/>
        <v>1.3560533684499398E-2</v>
      </c>
      <c r="X97" s="192"/>
    </row>
    <row r="98" spans="1:24" ht="12.75" customHeight="1">
      <c r="A98" s="117" t="s">
        <v>444</v>
      </c>
      <c r="B98" s="35"/>
      <c r="C98" s="178">
        <v>629.99999999999989</v>
      </c>
      <c r="D98" s="80">
        <f t="shared" si="24"/>
        <v>1.1999999999999997E-3</v>
      </c>
      <c r="E98" s="178">
        <v>655.19999999999993</v>
      </c>
      <c r="F98" s="80">
        <f t="shared" si="25"/>
        <v>1.1999999999999999E-3</v>
      </c>
      <c r="G98" s="178">
        <v>681.59999999999991</v>
      </c>
      <c r="H98" s="80">
        <f t="shared" si="26"/>
        <v>1.1999999999999999E-3</v>
      </c>
      <c r="I98" s="178">
        <v>709.19999999999982</v>
      </c>
      <c r="J98" s="80">
        <f t="shared" si="27"/>
        <v>1.1999999999999997E-3</v>
      </c>
      <c r="K98" s="178">
        <v>729.6</v>
      </c>
      <c r="L98" s="80">
        <f t="shared" si="28"/>
        <v>1.2000000000000001E-3</v>
      </c>
      <c r="M98" s="178">
        <v>752.4</v>
      </c>
      <c r="N98" s="80">
        <f t="shared" si="29"/>
        <v>1.1999999999999999E-3</v>
      </c>
      <c r="O98" s="178">
        <v>774</v>
      </c>
      <c r="P98" s="80">
        <f t="shared" si="30"/>
        <v>1.1999999999999999E-3</v>
      </c>
      <c r="Q98" s="178">
        <v>797.99999999999989</v>
      </c>
      <c r="R98" s="80">
        <f t="shared" si="31"/>
        <v>1.1999999999999999E-3</v>
      </c>
      <c r="S98" s="178">
        <v>821.99999999999989</v>
      </c>
      <c r="T98" s="80">
        <f t="shared" si="32"/>
        <v>1.1999999999999999E-3</v>
      </c>
      <c r="U98" s="178">
        <v>846</v>
      </c>
      <c r="V98" s="80">
        <f t="shared" si="33"/>
        <v>1.1999999999999999E-3</v>
      </c>
      <c r="X98" s="192"/>
    </row>
    <row r="99" spans="1:24" ht="12.75" customHeight="1">
      <c r="A99" s="117" t="s">
        <v>444</v>
      </c>
      <c r="B99" s="35"/>
      <c r="C99" s="178">
        <v>0</v>
      </c>
      <c r="D99" s="80">
        <f t="shared" si="24"/>
        <v>0</v>
      </c>
      <c r="E99" s="178">
        <v>0</v>
      </c>
      <c r="F99" s="80">
        <f t="shared" si="25"/>
        <v>0</v>
      </c>
      <c r="G99" s="178">
        <v>0</v>
      </c>
      <c r="H99" s="80">
        <f t="shared" si="26"/>
        <v>0</v>
      </c>
      <c r="I99" s="178">
        <v>0</v>
      </c>
      <c r="J99" s="80">
        <f t="shared" si="27"/>
        <v>0</v>
      </c>
      <c r="K99" s="178">
        <v>0</v>
      </c>
      <c r="L99" s="80">
        <f t="shared" si="28"/>
        <v>0</v>
      </c>
      <c r="M99" s="178">
        <v>0</v>
      </c>
      <c r="N99" s="80">
        <f t="shared" si="29"/>
        <v>0</v>
      </c>
      <c r="O99" s="178">
        <v>0</v>
      </c>
      <c r="P99" s="80">
        <f t="shared" si="30"/>
        <v>0</v>
      </c>
      <c r="Q99" s="178">
        <v>0</v>
      </c>
      <c r="R99" s="80">
        <f t="shared" si="31"/>
        <v>0</v>
      </c>
      <c r="S99" s="178">
        <v>0</v>
      </c>
      <c r="T99" s="80">
        <f t="shared" si="32"/>
        <v>0</v>
      </c>
      <c r="U99" s="178">
        <v>0</v>
      </c>
      <c r="V99" s="80">
        <f t="shared" si="33"/>
        <v>0</v>
      </c>
      <c r="X99" s="192"/>
    </row>
    <row r="100" spans="1:24" ht="12.75" customHeight="1">
      <c r="A100" s="117" t="s">
        <v>444</v>
      </c>
      <c r="B100" s="35"/>
      <c r="C100" s="178">
        <v>0</v>
      </c>
      <c r="D100" s="80">
        <f t="shared" si="24"/>
        <v>0</v>
      </c>
      <c r="E100" s="178">
        <v>0</v>
      </c>
      <c r="F100" s="80">
        <f t="shared" si="25"/>
        <v>0</v>
      </c>
      <c r="G100" s="178">
        <v>0</v>
      </c>
      <c r="H100" s="80">
        <f t="shared" si="26"/>
        <v>0</v>
      </c>
      <c r="I100" s="178">
        <v>0</v>
      </c>
      <c r="J100" s="80">
        <f t="shared" si="27"/>
        <v>0</v>
      </c>
      <c r="K100" s="178">
        <v>0</v>
      </c>
      <c r="L100" s="80">
        <f t="shared" si="28"/>
        <v>0</v>
      </c>
      <c r="M100" s="178">
        <v>0</v>
      </c>
      <c r="N100" s="80">
        <f t="shared" si="29"/>
        <v>0</v>
      </c>
      <c r="O100" s="178">
        <v>0</v>
      </c>
      <c r="P100" s="80">
        <f t="shared" si="30"/>
        <v>0</v>
      </c>
      <c r="Q100" s="178">
        <v>0</v>
      </c>
      <c r="R100" s="80">
        <f t="shared" si="31"/>
        <v>0</v>
      </c>
      <c r="S100" s="178">
        <v>0</v>
      </c>
      <c r="T100" s="80">
        <f t="shared" si="32"/>
        <v>0</v>
      </c>
      <c r="U100" s="178">
        <v>0</v>
      </c>
      <c r="V100" s="80">
        <f t="shared" si="33"/>
        <v>0</v>
      </c>
      <c r="X100" s="192"/>
    </row>
    <row r="101" spans="1:24" ht="12.75" customHeight="1">
      <c r="A101" s="2" t="s">
        <v>445</v>
      </c>
      <c r="B101" s="35"/>
      <c r="C101" s="178"/>
      <c r="D101" s="80">
        <f t="shared" si="24"/>
        <v>0</v>
      </c>
      <c r="E101" s="178"/>
      <c r="F101" s="80">
        <f t="shared" si="25"/>
        <v>0</v>
      </c>
      <c r="G101" s="178"/>
      <c r="H101" s="80">
        <f t="shared" si="26"/>
        <v>0</v>
      </c>
      <c r="I101" s="178">
        <v>0</v>
      </c>
      <c r="J101" s="80">
        <f t="shared" si="27"/>
        <v>0</v>
      </c>
      <c r="K101" s="178">
        <v>0</v>
      </c>
      <c r="L101" s="80">
        <f t="shared" si="28"/>
        <v>0</v>
      </c>
      <c r="M101" s="178">
        <v>0</v>
      </c>
      <c r="N101" s="80">
        <f t="shared" si="29"/>
        <v>0</v>
      </c>
      <c r="O101" s="178">
        <v>0</v>
      </c>
      <c r="P101" s="80">
        <f t="shared" si="30"/>
        <v>0</v>
      </c>
      <c r="Q101" s="178">
        <v>0</v>
      </c>
      <c r="R101" s="80">
        <f t="shared" si="31"/>
        <v>0</v>
      </c>
      <c r="S101" s="178">
        <v>0</v>
      </c>
      <c r="T101" s="80">
        <f t="shared" si="32"/>
        <v>0</v>
      </c>
      <c r="U101" s="178">
        <v>0</v>
      </c>
      <c r="V101" s="80">
        <f t="shared" si="33"/>
        <v>0</v>
      </c>
      <c r="X101" s="192"/>
    </row>
    <row r="102" spans="1:24" ht="12.75" customHeight="1">
      <c r="A102" s="117" t="s">
        <v>446</v>
      </c>
      <c r="B102" s="35"/>
      <c r="C102" s="178">
        <v>5250</v>
      </c>
      <c r="D102" s="80">
        <f t="shared" si="24"/>
        <v>0.01</v>
      </c>
      <c r="E102" s="178">
        <v>5460</v>
      </c>
      <c r="F102" s="80">
        <f t="shared" si="25"/>
        <v>0.01</v>
      </c>
      <c r="G102" s="178">
        <v>5680</v>
      </c>
      <c r="H102" s="80">
        <f t="shared" si="26"/>
        <v>0.01</v>
      </c>
      <c r="I102" s="178">
        <v>5910.0000000000009</v>
      </c>
      <c r="J102" s="80">
        <f t="shared" si="27"/>
        <v>1.0000000000000002E-2</v>
      </c>
      <c r="K102" s="178">
        <v>6080.0000000000009</v>
      </c>
      <c r="L102" s="80">
        <f t="shared" si="28"/>
        <v>1.0000000000000002E-2</v>
      </c>
      <c r="M102" s="178">
        <v>6270</v>
      </c>
      <c r="N102" s="80">
        <f t="shared" si="29"/>
        <v>0.01</v>
      </c>
      <c r="O102" s="178">
        <v>6450.0000000000009</v>
      </c>
      <c r="P102" s="80">
        <f t="shared" si="30"/>
        <v>1.0000000000000002E-2</v>
      </c>
      <c r="Q102" s="178">
        <v>6650</v>
      </c>
      <c r="R102" s="80">
        <f t="shared" si="31"/>
        <v>0.01</v>
      </c>
      <c r="S102" s="178">
        <v>6850</v>
      </c>
      <c r="T102" s="80">
        <f t="shared" si="32"/>
        <v>0.01</v>
      </c>
      <c r="U102" s="178">
        <v>7050</v>
      </c>
      <c r="V102" s="80">
        <f t="shared" si="33"/>
        <v>0.01</v>
      </c>
      <c r="X102" s="192"/>
    </row>
    <row r="103" spans="1:24" ht="12.75" customHeight="1">
      <c r="A103" s="117" t="s">
        <v>446</v>
      </c>
      <c r="B103" s="35"/>
      <c r="C103" s="178">
        <v>0</v>
      </c>
      <c r="D103" s="80">
        <f t="shared" si="24"/>
        <v>0</v>
      </c>
      <c r="E103" s="178">
        <v>0</v>
      </c>
      <c r="F103" s="80">
        <f t="shared" si="25"/>
        <v>0</v>
      </c>
      <c r="G103" s="178">
        <v>0</v>
      </c>
      <c r="H103" s="80">
        <f t="shared" si="26"/>
        <v>0</v>
      </c>
      <c r="I103" s="178">
        <v>0</v>
      </c>
      <c r="J103" s="80">
        <f t="shared" si="27"/>
        <v>0</v>
      </c>
      <c r="K103" s="178">
        <v>0</v>
      </c>
      <c r="L103" s="80">
        <f t="shared" si="28"/>
        <v>0</v>
      </c>
      <c r="M103" s="178">
        <v>0</v>
      </c>
      <c r="N103" s="80">
        <f t="shared" si="29"/>
        <v>0</v>
      </c>
      <c r="O103" s="178">
        <v>0</v>
      </c>
      <c r="P103" s="80">
        <f t="shared" si="30"/>
        <v>0</v>
      </c>
      <c r="Q103" s="178">
        <v>0</v>
      </c>
      <c r="R103" s="80">
        <f t="shared" si="31"/>
        <v>0</v>
      </c>
      <c r="S103" s="178">
        <v>0</v>
      </c>
      <c r="T103" s="80">
        <f t="shared" si="32"/>
        <v>0</v>
      </c>
      <c r="U103" s="178">
        <v>0</v>
      </c>
      <c r="V103" s="80">
        <f t="shared" si="33"/>
        <v>0</v>
      </c>
      <c r="X103" s="192"/>
    </row>
    <row r="104" spans="1:24" ht="12.75" customHeight="1">
      <c r="A104" s="117" t="s">
        <v>446</v>
      </c>
      <c r="B104" s="1"/>
      <c r="C104" s="178">
        <v>0</v>
      </c>
      <c r="D104" s="80">
        <f t="shared" si="24"/>
        <v>0</v>
      </c>
      <c r="E104" s="178">
        <v>0</v>
      </c>
      <c r="F104" s="80">
        <f t="shared" si="25"/>
        <v>0</v>
      </c>
      <c r="G104" s="178">
        <v>0</v>
      </c>
      <c r="H104" s="80">
        <f t="shared" si="26"/>
        <v>0</v>
      </c>
      <c r="I104" s="178">
        <v>0</v>
      </c>
      <c r="J104" s="80">
        <f t="shared" si="27"/>
        <v>0</v>
      </c>
      <c r="K104" s="178">
        <v>0</v>
      </c>
      <c r="L104" s="80">
        <f t="shared" si="28"/>
        <v>0</v>
      </c>
      <c r="M104" s="178">
        <v>0</v>
      </c>
      <c r="N104" s="80">
        <f t="shared" si="29"/>
        <v>0</v>
      </c>
      <c r="O104" s="178">
        <v>0</v>
      </c>
      <c r="P104" s="80">
        <f t="shared" si="30"/>
        <v>0</v>
      </c>
      <c r="Q104" s="178">
        <v>0</v>
      </c>
      <c r="R104" s="80">
        <f t="shared" si="31"/>
        <v>0</v>
      </c>
      <c r="S104" s="178">
        <v>0</v>
      </c>
      <c r="T104" s="80">
        <f t="shared" si="32"/>
        <v>0</v>
      </c>
      <c r="U104" s="178">
        <v>0</v>
      </c>
      <c r="V104" s="80">
        <f t="shared" si="33"/>
        <v>0</v>
      </c>
      <c r="X104" s="192"/>
    </row>
    <row r="105" spans="1:24" ht="12.75" customHeight="1">
      <c r="A105" s="1" t="s">
        <v>447</v>
      </c>
      <c r="B105" s="53"/>
      <c r="C105" s="82">
        <f>SUM(C52:C104)</f>
        <v>92116.868217905998</v>
      </c>
      <c r="D105" s="83">
        <f t="shared" ref="D105" si="34">IFERROR(C105/C$28,0)</f>
        <v>0.17546070136743999</v>
      </c>
      <c r="E105" s="82">
        <f>SUM(E52:E104)</f>
        <v>96401.784467192338</v>
      </c>
      <c r="F105" s="83">
        <f t="shared" ref="F105" si="35">IFERROR(E105/E$28,0)</f>
        <v>0.17656004481170759</v>
      </c>
      <c r="G105" s="82">
        <f>SUM(G52:G104)</f>
        <v>100170.83044660068</v>
      </c>
      <c r="H105" s="83">
        <f t="shared" ref="H105" si="36">IFERROR(G105/G$28,0)</f>
        <v>0.17635709585669135</v>
      </c>
      <c r="I105" s="82">
        <f>SUM(I52:I104)</f>
        <v>104177.40491777974</v>
      </c>
      <c r="J105" s="83">
        <f t="shared" ref="J105" si="37">IFERROR(I105/I$28,0)</f>
        <v>0.17627310476781682</v>
      </c>
      <c r="K105" s="82">
        <f>SUM(K52:K104)</f>
        <v>107078.49206433467</v>
      </c>
      <c r="L105" s="83">
        <f t="shared" ref="L105" si="38">IFERROR(K105/K$28,0)</f>
        <v>0.17611594089528729</v>
      </c>
      <c r="M105" s="82">
        <f>SUM(M52:M104)</f>
        <v>110384.78851023779</v>
      </c>
      <c r="N105" s="83">
        <f t="shared" ref="N105" si="39">IFERROR(M105/M$28,0)</f>
        <v>0.17605229427470143</v>
      </c>
      <c r="O105" s="82">
        <f>SUM(O52:O104)</f>
        <v>113537.87459813965</v>
      </c>
      <c r="P105" s="83">
        <f t="shared" ref="P105" si="40">IFERROR(O105/O$28,0)</f>
        <v>0.17602771255525526</v>
      </c>
      <c r="Q105" s="82">
        <f>SUM(Q52:Q104)</f>
        <v>117029.02656403628</v>
      </c>
      <c r="R105" s="83">
        <f t="shared" ref="R105" si="41">IFERROR(Q105/Q$28,0)</f>
        <v>0.17598349859253576</v>
      </c>
      <c r="S105" s="82">
        <f>SUM(S52:S104)</f>
        <v>120526.56446468318</v>
      </c>
      <c r="T105" s="83">
        <f t="shared" ref="T105" si="42">IFERROR(S105/S$28,0)</f>
        <v>0.17595118899953749</v>
      </c>
      <c r="U105" s="82">
        <f>SUM(U52:U104)</f>
        <v>124032.89150951899</v>
      </c>
      <c r="V105" s="83">
        <f t="shared" si="33"/>
        <v>0.17593317944612621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448</v>
      </c>
      <c r="B107" s="53"/>
      <c r="C107" s="82">
        <f>C28-C33-C46-C105</f>
        <v>67005.953782094017</v>
      </c>
      <c r="D107" s="83">
        <f>IFERROR(C107/C$28,0)</f>
        <v>0.12763038815636957</v>
      </c>
      <c r="E107" s="82">
        <f>E28-E33-E46-E105</f>
        <v>55783.793596807634</v>
      </c>
      <c r="F107" s="83">
        <f>IFERROR(E107/E$28,0)</f>
        <v>0.10216812014067332</v>
      </c>
      <c r="G107" s="82">
        <f>G28-G33-G46-G105</f>
        <v>59234.192849639308</v>
      </c>
      <c r="H107" s="83">
        <f>IFERROR(G107/G$28,0)</f>
        <v>0.1042855507916185</v>
      </c>
      <c r="I107" s="82">
        <f>I28-I33-I46-I105</f>
        <v>63488.299123939927</v>
      </c>
      <c r="J107" s="83">
        <f>IFERROR(I107/I$28,0)</f>
        <v>0.10742521002358701</v>
      </c>
      <c r="K107" s="82">
        <f>K28-K33-K46-K105</f>
        <v>67333.426058219411</v>
      </c>
      <c r="L107" s="83">
        <f>IFERROR(K107/K$28,0)</f>
        <v>0.11074576654312403</v>
      </c>
      <c r="M107" s="82">
        <f>M28-M33-M46-M105</f>
        <v>70876.427565380116</v>
      </c>
      <c r="N107" s="83">
        <f>IFERROR(M107/M$28,0)</f>
        <v>0.11304055433074979</v>
      </c>
      <c r="O107" s="82">
        <f>O28-O33-O46-O105</f>
        <v>73777.746879368744</v>
      </c>
      <c r="P107" s="83">
        <f>IFERROR(O107/O$28,0)</f>
        <v>0.11438410368894379</v>
      </c>
      <c r="Q107" s="82">
        <f>Q28-Q33-Q46-Q105</f>
        <v>77507.61045040992</v>
      </c>
      <c r="R107" s="83">
        <f>IFERROR(Q107/Q$28,0)</f>
        <v>0.11655279766978935</v>
      </c>
      <c r="S107" s="82">
        <f>S28-S33-S46-S105</f>
        <v>81084.113475124148</v>
      </c>
      <c r="T107" s="83">
        <f>IFERROR(S107/S$28,0)</f>
        <v>0.11837096857682357</v>
      </c>
      <c r="U107" s="82">
        <f>U28-U33-U46-U105</f>
        <v>84501.178378783545</v>
      </c>
      <c r="V107" s="83">
        <f>IFERROR(U107/U$28,0)</f>
        <v>0.11985982748763624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449</v>
      </c>
      <c r="B110" s="40"/>
      <c r="C110" s="86" t="str">
        <f>C50</f>
        <v>FY 2018-19</v>
      </c>
      <c r="D110" s="86" t="s">
        <v>366</v>
      </c>
      <c r="E110" s="86" t="str">
        <f>E50</f>
        <v>FY 2019-20</v>
      </c>
      <c r="F110" s="86" t="s">
        <v>366</v>
      </c>
      <c r="G110" s="86" t="str">
        <f>G50</f>
        <v>FY 2020-21</v>
      </c>
      <c r="H110" s="86" t="s">
        <v>366</v>
      </c>
      <c r="I110" s="86" t="str">
        <f>I50</f>
        <v>FY 2021-22</v>
      </c>
      <c r="J110" s="86" t="s">
        <v>366</v>
      </c>
      <c r="K110" s="86" t="str">
        <f>K50</f>
        <v>FY 2022-23</v>
      </c>
      <c r="L110" s="86" t="s">
        <v>366</v>
      </c>
      <c r="M110" s="86" t="str">
        <f>M50</f>
        <v>FY 2023-24</v>
      </c>
      <c r="N110" s="86" t="s">
        <v>366</v>
      </c>
      <c r="O110" s="86" t="str">
        <f>O50</f>
        <v>FY 2024-25</v>
      </c>
      <c r="P110" s="86" t="s">
        <v>366</v>
      </c>
      <c r="Q110" s="86" t="str">
        <f>Q50</f>
        <v>FY 2025-26</v>
      </c>
      <c r="R110" s="86" t="s">
        <v>366</v>
      </c>
      <c r="S110" s="86" t="str">
        <f>S50</f>
        <v>FY 2026-27</v>
      </c>
      <c r="T110" s="86" t="s">
        <v>366</v>
      </c>
      <c r="U110" s="86" t="str">
        <f>U50</f>
        <v>FY 2027-28</v>
      </c>
      <c r="V110" s="86" t="s">
        <v>366</v>
      </c>
    </row>
    <row r="111" spans="1:24" ht="12.75" customHeight="1">
      <c r="A111" s="2" t="s">
        <v>403</v>
      </c>
      <c r="B111" s="35"/>
      <c r="C111" s="79">
        <f>C59</f>
        <v>0</v>
      </c>
      <c r="D111" s="80">
        <f t="shared" ref="D111:D116" si="43">IFERROR(C111/C$28,0)</f>
        <v>0</v>
      </c>
      <c r="E111" s="79">
        <f>E59</f>
        <v>0</v>
      </c>
      <c r="F111" s="80">
        <f t="shared" ref="F111:F116" si="44">IFERROR(E111/E$28,0)</f>
        <v>0</v>
      </c>
      <c r="G111" s="79">
        <f>G59</f>
        <v>0</v>
      </c>
      <c r="H111" s="80">
        <f t="shared" ref="H111:H116" si="45">IFERROR(G111/G$28,0)</f>
        <v>0</v>
      </c>
      <c r="I111" s="79">
        <f>I59</f>
        <v>0</v>
      </c>
      <c r="J111" s="80">
        <f t="shared" ref="J111:J116" si="46">IFERROR(I111/I$28,0)</f>
        <v>0</v>
      </c>
      <c r="K111" s="79">
        <f>K59</f>
        <v>0</v>
      </c>
      <c r="L111" s="80">
        <f t="shared" ref="L111:L116" si="47">IFERROR(K111/K$28,0)</f>
        <v>0</v>
      </c>
      <c r="M111" s="79">
        <f>M59</f>
        <v>0</v>
      </c>
      <c r="N111" s="80">
        <f t="shared" ref="N111:N116" si="48">IFERROR(M111/M$28,0)</f>
        <v>0</v>
      </c>
      <c r="O111" s="79">
        <f>O59</f>
        <v>0</v>
      </c>
      <c r="P111" s="80">
        <f t="shared" ref="P111:P116" si="49">IFERROR(O111/O$28,0)</f>
        <v>0</v>
      </c>
      <c r="Q111" s="79">
        <f>Q59</f>
        <v>0</v>
      </c>
      <c r="R111" s="80">
        <f t="shared" ref="R111:R116" si="50">IFERROR(Q111/Q$28,0)</f>
        <v>0</v>
      </c>
      <c r="S111" s="79">
        <f>S59</f>
        <v>0</v>
      </c>
      <c r="T111" s="80">
        <f t="shared" ref="T111:T116" si="51">IFERROR(S111/S$28,0)</f>
        <v>0</v>
      </c>
      <c r="U111" s="79">
        <f>U59</f>
        <v>0</v>
      </c>
      <c r="V111" s="80">
        <f t="shared" ref="V111:V116" si="52">IFERROR(U111/U$28,0)</f>
        <v>0</v>
      </c>
    </row>
    <row r="112" spans="1:24" ht="12.75" customHeight="1">
      <c r="A112" s="2" t="s">
        <v>450</v>
      </c>
      <c r="B112" s="35"/>
      <c r="C112" s="79">
        <f>C62</f>
        <v>0</v>
      </c>
      <c r="D112" s="80">
        <f t="shared" si="43"/>
        <v>0</v>
      </c>
      <c r="E112" s="79">
        <f>E62</f>
        <v>0</v>
      </c>
      <c r="F112" s="80">
        <f t="shared" si="44"/>
        <v>0</v>
      </c>
      <c r="G112" s="79">
        <f>G62</f>
        <v>0</v>
      </c>
      <c r="H112" s="80">
        <f t="shared" si="45"/>
        <v>0</v>
      </c>
      <c r="I112" s="79">
        <f>I62</f>
        <v>0</v>
      </c>
      <c r="J112" s="80">
        <f t="shared" si="46"/>
        <v>0</v>
      </c>
      <c r="K112" s="79">
        <f>K62</f>
        <v>0</v>
      </c>
      <c r="L112" s="80">
        <f t="shared" si="47"/>
        <v>0</v>
      </c>
      <c r="M112" s="79">
        <f>M62</f>
        <v>0</v>
      </c>
      <c r="N112" s="80">
        <f t="shared" si="48"/>
        <v>0</v>
      </c>
      <c r="O112" s="79">
        <f>O62</f>
        <v>0</v>
      </c>
      <c r="P112" s="80">
        <f t="shared" si="49"/>
        <v>0</v>
      </c>
      <c r="Q112" s="79">
        <f>Q62</f>
        <v>0</v>
      </c>
      <c r="R112" s="80">
        <f t="shared" si="50"/>
        <v>0</v>
      </c>
      <c r="S112" s="79">
        <f>S62</f>
        <v>0</v>
      </c>
      <c r="T112" s="80">
        <f t="shared" si="51"/>
        <v>0</v>
      </c>
      <c r="U112" s="79">
        <f>U62</f>
        <v>0</v>
      </c>
      <c r="V112" s="80">
        <f t="shared" si="52"/>
        <v>0</v>
      </c>
    </row>
    <row r="113" spans="1:22" ht="12.75" customHeight="1">
      <c r="A113" s="117" t="s">
        <v>446</v>
      </c>
      <c r="B113" s="41"/>
      <c r="C113" s="111">
        <v>0</v>
      </c>
      <c r="D113" s="80">
        <f t="shared" si="43"/>
        <v>0</v>
      </c>
      <c r="E113" s="111">
        <v>0</v>
      </c>
      <c r="F113" s="80">
        <f t="shared" si="44"/>
        <v>0</v>
      </c>
      <c r="G113" s="111">
        <v>0</v>
      </c>
      <c r="H113" s="80">
        <f t="shared" si="45"/>
        <v>0</v>
      </c>
      <c r="I113" s="111">
        <v>0</v>
      </c>
      <c r="J113" s="80">
        <f t="shared" si="46"/>
        <v>0</v>
      </c>
      <c r="K113" s="111">
        <v>0</v>
      </c>
      <c r="L113" s="80">
        <f t="shared" si="47"/>
        <v>0</v>
      </c>
      <c r="M113" s="111">
        <v>0</v>
      </c>
      <c r="N113" s="80">
        <f t="shared" si="48"/>
        <v>0</v>
      </c>
      <c r="O113" s="111">
        <v>0</v>
      </c>
      <c r="P113" s="80">
        <f t="shared" si="49"/>
        <v>0</v>
      </c>
      <c r="Q113" s="111">
        <v>0</v>
      </c>
      <c r="R113" s="80">
        <f t="shared" si="50"/>
        <v>0</v>
      </c>
      <c r="S113" s="111">
        <v>0</v>
      </c>
      <c r="T113" s="80">
        <f t="shared" si="51"/>
        <v>0</v>
      </c>
      <c r="U113" s="111">
        <v>0</v>
      </c>
      <c r="V113" s="80">
        <f t="shared" si="52"/>
        <v>0</v>
      </c>
    </row>
    <row r="114" spans="1:22" ht="12.75" customHeight="1">
      <c r="A114" s="117" t="s">
        <v>446</v>
      </c>
      <c r="B114" s="41"/>
      <c r="C114" s="111">
        <v>0</v>
      </c>
      <c r="D114" s="80">
        <f t="shared" si="43"/>
        <v>0</v>
      </c>
      <c r="E114" s="111">
        <v>0</v>
      </c>
      <c r="F114" s="80">
        <f t="shared" si="44"/>
        <v>0</v>
      </c>
      <c r="G114" s="111">
        <v>0</v>
      </c>
      <c r="H114" s="80">
        <f t="shared" si="45"/>
        <v>0</v>
      </c>
      <c r="I114" s="111">
        <v>0</v>
      </c>
      <c r="J114" s="80">
        <f t="shared" si="46"/>
        <v>0</v>
      </c>
      <c r="K114" s="111">
        <v>0</v>
      </c>
      <c r="L114" s="80">
        <f t="shared" si="47"/>
        <v>0</v>
      </c>
      <c r="M114" s="111">
        <v>0</v>
      </c>
      <c r="N114" s="80">
        <f t="shared" si="48"/>
        <v>0</v>
      </c>
      <c r="O114" s="111">
        <v>0</v>
      </c>
      <c r="P114" s="80">
        <f t="shared" si="49"/>
        <v>0</v>
      </c>
      <c r="Q114" s="111">
        <v>0</v>
      </c>
      <c r="R114" s="80">
        <f t="shared" si="50"/>
        <v>0</v>
      </c>
      <c r="S114" s="111">
        <v>0</v>
      </c>
      <c r="T114" s="80">
        <f t="shared" si="51"/>
        <v>0</v>
      </c>
      <c r="U114" s="111">
        <v>0</v>
      </c>
      <c r="V114" s="80">
        <f t="shared" si="52"/>
        <v>0</v>
      </c>
    </row>
    <row r="115" spans="1:22" ht="12.75" customHeight="1">
      <c r="A115" s="117" t="s">
        <v>446</v>
      </c>
      <c r="B115" s="41"/>
      <c r="C115" s="112">
        <v>0</v>
      </c>
      <c r="D115" s="80">
        <f t="shared" si="43"/>
        <v>0</v>
      </c>
      <c r="E115" s="112">
        <v>0</v>
      </c>
      <c r="F115" s="80">
        <f t="shared" si="44"/>
        <v>0</v>
      </c>
      <c r="G115" s="112">
        <v>0</v>
      </c>
      <c r="H115" s="80">
        <f t="shared" si="45"/>
        <v>0</v>
      </c>
      <c r="I115" s="112">
        <v>0</v>
      </c>
      <c r="J115" s="80">
        <f t="shared" si="46"/>
        <v>0</v>
      </c>
      <c r="K115" s="112">
        <v>0</v>
      </c>
      <c r="L115" s="80">
        <f t="shared" si="47"/>
        <v>0</v>
      </c>
      <c r="M115" s="112">
        <v>0</v>
      </c>
      <c r="N115" s="80">
        <f t="shared" si="48"/>
        <v>0</v>
      </c>
      <c r="O115" s="112">
        <v>0</v>
      </c>
      <c r="P115" s="80">
        <f t="shared" si="49"/>
        <v>0</v>
      </c>
      <c r="Q115" s="112">
        <v>0</v>
      </c>
      <c r="R115" s="80">
        <f t="shared" si="50"/>
        <v>0</v>
      </c>
      <c r="S115" s="112">
        <v>0</v>
      </c>
      <c r="T115" s="80">
        <f t="shared" si="51"/>
        <v>0</v>
      </c>
      <c r="U115" s="112">
        <v>0</v>
      </c>
      <c r="V115" s="80">
        <f t="shared" si="52"/>
        <v>0</v>
      </c>
    </row>
    <row r="116" spans="1:22" ht="12.75" customHeight="1">
      <c r="A116" s="40" t="s">
        <v>451</v>
      </c>
      <c r="B116" s="42"/>
      <c r="C116" s="85">
        <f>SUM(C111:C115)</f>
        <v>0</v>
      </c>
      <c r="D116" s="83">
        <f t="shared" si="43"/>
        <v>0</v>
      </c>
      <c r="E116" s="85">
        <f>SUM(E111:E115)</f>
        <v>0</v>
      </c>
      <c r="F116" s="83">
        <f t="shared" si="44"/>
        <v>0</v>
      </c>
      <c r="G116" s="85">
        <f>SUM(G111:G115)</f>
        <v>0</v>
      </c>
      <c r="H116" s="83">
        <f t="shared" si="45"/>
        <v>0</v>
      </c>
      <c r="I116" s="85">
        <f>SUM(I111:I115)</f>
        <v>0</v>
      </c>
      <c r="J116" s="83">
        <f t="shared" si="46"/>
        <v>0</v>
      </c>
      <c r="K116" s="85">
        <f>SUM(K111:K115)</f>
        <v>0</v>
      </c>
      <c r="L116" s="83">
        <f t="shared" si="47"/>
        <v>0</v>
      </c>
      <c r="M116" s="85">
        <f>SUM(M111:M115)</f>
        <v>0</v>
      </c>
      <c r="N116" s="83">
        <f t="shared" si="48"/>
        <v>0</v>
      </c>
      <c r="O116" s="85">
        <f>SUM(O111:O115)</f>
        <v>0</v>
      </c>
      <c r="P116" s="83">
        <f t="shared" si="49"/>
        <v>0</v>
      </c>
      <c r="Q116" s="85">
        <f>SUM(Q111:Q115)</f>
        <v>0</v>
      </c>
      <c r="R116" s="83">
        <f t="shared" si="50"/>
        <v>0</v>
      </c>
      <c r="S116" s="85">
        <f>SUM(S111:S115)</f>
        <v>0</v>
      </c>
      <c r="T116" s="83">
        <f t="shared" si="51"/>
        <v>0</v>
      </c>
      <c r="U116" s="85">
        <f>SUM(U111:U115)</f>
        <v>0</v>
      </c>
      <c r="V116" s="83">
        <f t="shared" si="52"/>
        <v>0</v>
      </c>
    </row>
    <row r="118" spans="1:22" ht="12.75" customHeight="1">
      <c r="A118" s="43" t="s">
        <v>452</v>
      </c>
      <c r="B118" s="43"/>
    </row>
    <row r="119" spans="1:22" ht="12.75" customHeight="1">
      <c r="A119" s="47" t="s">
        <v>453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7" tint="0.39997558519241921"/>
  </sheetPr>
  <dimension ref="A1:X119"/>
  <sheetViews>
    <sheetView topLeftCell="A9" zoomScale="70" zoomScaleNormal="70" workbookViewId="0" xr3:uid="{87752282-9950-53E0-ACC6-858909551C9B}">
      <selection activeCell="W59" sqref="W59"/>
    </sheetView>
  </sheetViews>
  <sheetFormatPr defaultColWidth="9.140625" defaultRowHeight="12.75" customHeight="1"/>
  <cols>
    <col min="1" max="1" width="9.5703125" style="2" customWidth="1"/>
    <col min="2" max="2" width="42.7109375" style="2" customWidth="1"/>
    <col min="3" max="3" width="12.7109375" style="2" customWidth="1"/>
    <col min="4" max="4" width="8.7109375" style="2" customWidth="1"/>
    <col min="5" max="5" width="12.7109375" style="2" customWidth="1"/>
    <col min="6" max="6" width="8.7109375" style="2" customWidth="1"/>
    <col min="7" max="7" width="12.710937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355</v>
      </c>
      <c r="G2" s="33" t="s">
        <v>73</v>
      </c>
      <c r="H2" s="34"/>
      <c r="I2" s="34"/>
      <c r="V2" s="32"/>
    </row>
    <row r="3" spans="1:22" ht="12.75" customHeight="1">
      <c r="A3" s="1" t="s">
        <v>357</v>
      </c>
      <c r="D3" s="118" t="s">
        <v>358</v>
      </c>
      <c r="G3" s="115" t="str">
        <f>+G2</f>
        <v>Moe's Southwest Grill (Wolfe Center)</v>
      </c>
      <c r="H3" s="116"/>
      <c r="I3" s="116"/>
      <c r="V3" s="32"/>
    </row>
    <row r="4" spans="1:22" ht="12.75" customHeight="1">
      <c r="A4" s="1" t="s">
        <v>359</v>
      </c>
      <c r="B4" s="109" t="s">
        <v>221</v>
      </c>
      <c r="D4" s="118" t="s">
        <v>360</v>
      </c>
      <c r="G4" s="115" t="s">
        <v>65</v>
      </c>
      <c r="H4" s="116"/>
      <c r="I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361</v>
      </c>
      <c r="B7" s="1"/>
    </row>
    <row r="8" spans="1:22" ht="12.75" customHeight="1">
      <c r="A8" s="2" t="s">
        <v>362</v>
      </c>
      <c r="C8" s="109">
        <v>228</v>
      </c>
      <c r="E8" s="109">
        <f>+C8</f>
        <v>228</v>
      </c>
      <c r="G8" s="109">
        <f>+E8</f>
        <v>228</v>
      </c>
      <c r="I8" s="109">
        <f>+G8</f>
        <v>228</v>
      </c>
      <c r="K8" s="109">
        <f>+I8</f>
        <v>228</v>
      </c>
      <c r="M8" s="109">
        <f>+K8</f>
        <v>228</v>
      </c>
      <c r="O8" s="109">
        <f>+M8</f>
        <v>228</v>
      </c>
      <c r="Q8" s="109">
        <f>+O8</f>
        <v>228</v>
      </c>
      <c r="S8" s="109">
        <f>+Q8</f>
        <v>228</v>
      </c>
      <c r="U8" s="109">
        <f>+S8</f>
        <v>228</v>
      </c>
    </row>
    <row r="10" spans="1:22" ht="12.75" customHeight="1">
      <c r="A10" s="2" t="s">
        <v>462</v>
      </c>
      <c r="C10" s="201">
        <f>+C14/C8/C12</f>
        <v>151.2401693889897</v>
      </c>
      <c r="E10" s="109"/>
      <c r="G10" s="109"/>
      <c r="I10" s="109"/>
      <c r="K10" s="109"/>
      <c r="M10" s="109"/>
      <c r="O10" s="109"/>
      <c r="Q10" s="109"/>
      <c r="S10" s="109"/>
      <c r="U10" s="109"/>
    </row>
    <row r="12" spans="1:22" ht="12.75" customHeight="1">
      <c r="A12" s="2" t="s">
        <v>463</v>
      </c>
      <c r="C12" s="110">
        <v>7.25</v>
      </c>
      <c r="E12" s="110"/>
      <c r="G12" s="110"/>
      <c r="I12" s="110"/>
      <c r="K12" s="110"/>
      <c r="M12" s="110"/>
      <c r="O12" s="110"/>
      <c r="Q12" s="110"/>
      <c r="S12" s="110"/>
      <c r="U12" s="110"/>
    </row>
    <row r="14" spans="1:22" ht="12.75" customHeight="1">
      <c r="A14" s="2" t="s">
        <v>464</v>
      </c>
      <c r="C14" s="121">
        <v>250000</v>
      </c>
      <c r="E14" s="121"/>
      <c r="G14" s="121"/>
      <c r="I14" s="121"/>
      <c r="K14" s="121"/>
      <c r="M14" s="121"/>
      <c r="O14" s="121"/>
      <c r="Q14" s="121"/>
      <c r="S14" s="121"/>
      <c r="U14" s="121"/>
    </row>
    <row r="15" spans="1:22" ht="12.75" customHeight="1">
      <c r="A15" s="39">
        <v>0.05</v>
      </c>
    </row>
    <row r="16" spans="1:22" ht="12.75" customHeight="1">
      <c r="B16" s="35"/>
      <c r="C16" s="86" t="str">
        <f>C6</f>
        <v>FY 2018-19</v>
      </c>
      <c r="D16" s="86" t="s">
        <v>366</v>
      </c>
      <c r="E16" s="86" t="str">
        <f>E6</f>
        <v>FY 2019-20</v>
      </c>
      <c r="F16" s="86" t="s">
        <v>366</v>
      </c>
      <c r="G16" s="86" t="str">
        <f>G6</f>
        <v>FY 2020-21</v>
      </c>
      <c r="H16" s="86" t="s">
        <v>366</v>
      </c>
      <c r="I16" s="86" t="str">
        <f>I6</f>
        <v>FY 2021-22</v>
      </c>
      <c r="J16" s="86" t="s">
        <v>366</v>
      </c>
      <c r="K16" s="86" t="str">
        <f>K6</f>
        <v>FY 2022-23</v>
      </c>
      <c r="L16" s="86" t="s">
        <v>366</v>
      </c>
      <c r="M16" s="86" t="str">
        <f>M6</f>
        <v>FY 2023-24</v>
      </c>
      <c r="N16" s="86" t="s">
        <v>366</v>
      </c>
      <c r="O16" s="86" t="str">
        <f>O6</f>
        <v>FY 2024-25</v>
      </c>
      <c r="P16" s="86" t="s">
        <v>366</v>
      </c>
      <c r="Q16" s="86" t="str">
        <f>Q6</f>
        <v>FY 2025-26</v>
      </c>
      <c r="R16" s="86" t="s">
        <v>366</v>
      </c>
      <c r="S16" s="86" t="str">
        <f>S6</f>
        <v>FY 2026-27</v>
      </c>
      <c r="T16" s="86" t="s">
        <v>366</v>
      </c>
      <c r="U16" s="86" t="str">
        <f>U6</f>
        <v>FY 2027-28</v>
      </c>
      <c r="V16" s="86" t="s">
        <v>366</v>
      </c>
    </row>
    <row r="17" spans="1:24" ht="12.75" customHeight="1">
      <c r="A17" s="1" t="s">
        <v>367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368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369</v>
      </c>
      <c r="B19" s="35"/>
      <c r="C19" s="200">
        <f>+C14-C20-C21</f>
        <v>215800</v>
      </c>
      <c r="D19" s="80">
        <f>IFERROR(C19/C$28,0)</f>
        <v>0.86319999999999997</v>
      </c>
      <c r="E19" s="200">
        <f>+E14-E20</f>
        <v>0</v>
      </c>
      <c r="F19" s="80">
        <f>IFERROR(E19/E$28,0)</f>
        <v>0</v>
      </c>
      <c r="G19" s="200">
        <f>+G14-G20</f>
        <v>0</v>
      </c>
      <c r="H19" s="80">
        <f>IFERROR(G19/G$28,0)</f>
        <v>0</v>
      </c>
      <c r="I19" s="200">
        <f>+I14-I20</f>
        <v>0</v>
      </c>
      <c r="J19" s="80">
        <f>IFERROR(I19/I$28,0)</f>
        <v>0</v>
      </c>
      <c r="K19" s="200">
        <f>+K14-K20</f>
        <v>0</v>
      </c>
      <c r="L19" s="80">
        <f>IFERROR(K19/K$28,0)</f>
        <v>0</v>
      </c>
      <c r="M19" s="200">
        <f>+M14-M20</f>
        <v>0</v>
      </c>
      <c r="N19" s="80">
        <f>IFERROR(M19/M$28,0)</f>
        <v>0</v>
      </c>
      <c r="O19" s="200">
        <f>+O14-O20</f>
        <v>0</v>
      </c>
      <c r="P19" s="80">
        <f>IFERROR(O19/O$28,0)</f>
        <v>0</v>
      </c>
      <c r="Q19" s="200">
        <f>+Q14-Q20</f>
        <v>0</v>
      </c>
      <c r="R19" s="80">
        <f>IFERROR(Q19/Q$28,0)</f>
        <v>0</v>
      </c>
      <c r="S19" s="200">
        <f>+S14-S20</f>
        <v>0</v>
      </c>
      <c r="T19" s="80">
        <f>IFERROR(S19/S$28,0)</f>
        <v>0</v>
      </c>
      <c r="U19" s="200">
        <f>+U14-U20</f>
        <v>0</v>
      </c>
      <c r="V19" s="80">
        <f>IFERROR(U19/U$28,0)</f>
        <v>0</v>
      </c>
    </row>
    <row r="20" spans="1:24" ht="12.75" customHeight="1">
      <c r="A20" s="2" t="s">
        <v>370</v>
      </c>
      <c r="B20" s="35"/>
      <c r="C20" s="111">
        <f>+C14*12.38%</f>
        <v>30950</v>
      </c>
      <c r="D20" s="80">
        <f>IFERROR(C20/C$28,0)</f>
        <v>0.12379999999999999</v>
      </c>
      <c r="E20" s="111">
        <f>+E14*53.27%</f>
        <v>0</v>
      </c>
      <c r="F20" s="80">
        <f>IFERROR(E20/E$28,0)</f>
        <v>0</v>
      </c>
      <c r="G20" s="111">
        <f t="shared" ref="G20:U21" si="0">E20*1.02</f>
        <v>0</v>
      </c>
      <c r="H20" s="80">
        <f>IFERROR(G20/G$28,0)</f>
        <v>0</v>
      </c>
      <c r="I20" s="111">
        <f t="shared" si="0"/>
        <v>0</v>
      </c>
      <c r="J20" s="80">
        <f>IFERROR(I20/I$28,0)</f>
        <v>0</v>
      </c>
      <c r="K20" s="111">
        <f t="shared" si="0"/>
        <v>0</v>
      </c>
      <c r="L20" s="80">
        <f>IFERROR(K20/K$28,0)</f>
        <v>0</v>
      </c>
      <c r="M20" s="111">
        <f t="shared" si="0"/>
        <v>0</v>
      </c>
      <c r="N20" s="80">
        <f>IFERROR(M20/M$28,0)</f>
        <v>0</v>
      </c>
      <c r="O20" s="111">
        <f t="shared" si="0"/>
        <v>0</v>
      </c>
      <c r="P20" s="80">
        <f>IFERROR(O20/O$28,0)</f>
        <v>0</v>
      </c>
      <c r="Q20" s="111">
        <f t="shared" si="0"/>
        <v>0</v>
      </c>
      <c r="R20" s="80">
        <f>IFERROR(Q20/Q$28,0)</f>
        <v>0</v>
      </c>
      <c r="S20" s="111">
        <f t="shared" si="0"/>
        <v>0</v>
      </c>
      <c r="T20" s="80">
        <f>IFERROR(S20/S$28,0)</f>
        <v>0</v>
      </c>
      <c r="U20" s="111">
        <f t="shared" si="0"/>
        <v>0</v>
      </c>
      <c r="V20" s="80">
        <f>IFERROR(U20/U$28,0)</f>
        <v>0</v>
      </c>
    </row>
    <row r="21" spans="1:24" ht="12.75" customHeight="1">
      <c r="A21" s="186" t="s">
        <v>371</v>
      </c>
      <c r="B21" s="195"/>
      <c r="C21" s="111">
        <f>+C14*0.013</f>
        <v>3250</v>
      </c>
      <c r="D21" s="80">
        <f>IFERROR(C21/C$28,0)</f>
        <v>1.2999999999999999E-2</v>
      </c>
      <c r="E21" s="111">
        <v>0</v>
      </c>
      <c r="F21" s="80">
        <f>IFERROR(E21/E$28,0)</f>
        <v>0</v>
      </c>
      <c r="G21" s="111">
        <f t="shared" si="0"/>
        <v>0</v>
      </c>
      <c r="H21" s="80">
        <f>IFERROR(G21/G$28,0)</f>
        <v>0</v>
      </c>
      <c r="I21" s="111">
        <f t="shared" si="0"/>
        <v>0</v>
      </c>
      <c r="J21" s="80">
        <f>IFERROR(I21/I$28,0)</f>
        <v>0</v>
      </c>
      <c r="K21" s="111">
        <f t="shared" si="0"/>
        <v>0</v>
      </c>
      <c r="L21" s="80">
        <f>IFERROR(K21/K$28,0)</f>
        <v>0</v>
      </c>
      <c r="M21" s="111">
        <f t="shared" si="0"/>
        <v>0</v>
      </c>
      <c r="N21" s="80">
        <f>IFERROR(M21/M$28,0)</f>
        <v>0</v>
      </c>
      <c r="O21" s="111">
        <f t="shared" si="0"/>
        <v>0</v>
      </c>
      <c r="P21" s="80">
        <f>IFERROR(O21/O$28,0)</f>
        <v>0</v>
      </c>
      <c r="Q21" s="111">
        <f t="shared" si="0"/>
        <v>0</v>
      </c>
      <c r="R21" s="80">
        <f>IFERROR(Q21/Q$28,0)</f>
        <v>0</v>
      </c>
      <c r="S21" s="111">
        <f t="shared" si="0"/>
        <v>0</v>
      </c>
      <c r="T21" s="80">
        <f>IFERROR(S21/S$28,0)</f>
        <v>0</v>
      </c>
      <c r="U21" s="111">
        <f t="shared" si="0"/>
        <v>0</v>
      </c>
      <c r="V21" s="80">
        <f>IFERROR(U21/U$28,0)</f>
        <v>0</v>
      </c>
    </row>
    <row r="22" spans="1:24" ht="12.75" customHeight="1">
      <c r="A22" s="2" t="s">
        <v>372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373</v>
      </c>
      <c r="B23" s="123"/>
      <c r="C23" s="79"/>
      <c r="D23" s="80">
        <f t="shared" ref="D23:D28" si="1">IFERROR(C23/C$28,0)</f>
        <v>0</v>
      </c>
      <c r="E23" s="79"/>
      <c r="F23" s="80">
        <f t="shared" ref="F23:F28" si="2">IFERROR(E23/E$28,0)</f>
        <v>0</v>
      </c>
      <c r="G23" s="79"/>
      <c r="H23" s="80">
        <f t="shared" ref="H23:H28" si="3">IFERROR(G23/G$28,0)</f>
        <v>0</v>
      </c>
      <c r="I23" s="79"/>
      <c r="J23" s="80">
        <f t="shared" ref="J23:J28" si="4">IFERROR(I23/I$28,0)</f>
        <v>0</v>
      </c>
      <c r="K23" s="79"/>
      <c r="L23" s="80">
        <f t="shared" ref="L23:L28" si="5">IFERROR(K23/K$28,0)</f>
        <v>0</v>
      </c>
      <c r="M23" s="79"/>
      <c r="N23" s="80">
        <f t="shared" ref="N23:N28" si="6">IFERROR(M23/M$28,0)</f>
        <v>0</v>
      </c>
      <c r="O23" s="79"/>
      <c r="P23" s="80">
        <f t="shared" ref="P23:P28" si="7">IFERROR(O23/O$28,0)</f>
        <v>0</v>
      </c>
      <c r="Q23" s="79"/>
      <c r="R23" s="80">
        <f t="shared" ref="R23:R28" si="8">IFERROR(Q23/Q$28,0)</f>
        <v>0</v>
      </c>
      <c r="S23" s="79"/>
      <c r="T23" s="80">
        <f t="shared" ref="T23:T28" si="9">IFERROR(S23/S$28,0)</f>
        <v>0</v>
      </c>
      <c r="U23" s="79"/>
      <c r="V23" s="80">
        <f t="shared" ref="V23:V28" si="10">IFERROR(U23/U$28,0)</f>
        <v>0</v>
      </c>
    </row>
    <row r="24" spans="1:24" ht="12.75" customHeight="1">
      <c r="A24" s="122" t="s">
        <v>374</v>
      </c>
      <c r="B24" s="123"/>
      <c r="C24" s="79"/>
      <c r="D24" s="80">
        <f t="shared" si="1"/>
        <v>0</v>
      </c>
      <c r="E24" s="79"/>
      <c r="F24" s="80">
        <f t="shared" si="2"/>
        <v>0</v>
      </c>
      <c r="G24" s="79"/>
      <c r="H24" s="80">
        <f t="shared" si="3"/>
        <v>0</v>
      </c>
      <c r="I24" s="79"/>
      <c r="J24" s="80">
        <f t="shared" si="4"/>
        <v>0</v>
      </c>
      <c r="K24" s="79"/>
      <c r="L24" s="80">
        <f t="shared" si="5"/>
        <v>0</v>
      </c>
      <c r="M24" s="79"/>
      <c r="N24" s="80">
        <f t="shared" si="6"/>
        <v>0</v>
      </c>
      <c r="O24" s="79"/>
      <c r="P24" s="80">
        <f t="shared" si="7"/>
        <v>0</v>
      </c>
      <c r="Q24" s="79"/>
      <c r="R24" s="80">
        <f t="shared" si="8"/>
        <v>0</v>
      </c>
      <c r="S24" s="79"/>
      <c r="T24" s="80">
        <f t="shared" si="9"/>
        <v>0</v>
      </c>
      <c r="U24" s="79"/>
      <c r="V24" s="80">
        <f t="shared" si="10"/>
        <v>0</v>
      </c>
      <c r="X24" s="79"/>
    </row>
    <row r="25" spans="1:24" ht="12.75" customHeight="1">
      <c r="A25" s="2" t="s">
        <v>375</v>
      </c>
      <c r="B25" s="35"/>
      <c r="C25" s="111"/>
      <c r="D25" s="80">
        <f t="shared" si="1"/>
        <v>0</v>
      </c>
      <c r="E25" s="111"/>
      <c r="F25" s="80">
        <f t="shared" si="2"/>
        <v>0</v>
      </c>
      <c r="G25" s="111"/>
      <c r="H25" s="80">
        <f t="shared" si="3"/>
        <v>0</v>
      </c>
      <c r="I25" s="111"/>
      <c r="J25" s="80">
        <f t="shared" si="4"/>
        <v>0</v>
      </c>
      <c r="K25" s="111"/>
      <c r="L25" s="80">
        <f t="shared" si="5"/>
        <v>0</v>
      </c>
      <c r="M25" s="111"/>
      <c r="N25" s="80">
        <f t="shared" si="6"/>
        <v>0</v>
      </c>
      <c r="O25" s="111"/>
      <c r="P25" s="80">
        <f t="shared" si="7"/>
        <v>0</v>
      </c>
      <c r="Q25" s="111"/>
      <c r="R25" s="80">
        <f t="shared" si="8"/>
        <v>0</v>
      </c>
      <c r="S25" s="111"/>
      <c r="T25" s="80">
        <f t="shared" si="9"/>
        <v>0</v>
      </c>
      <c r="U25" s="111"/>
      <c r="V25" s="80">
        <f t="shared" si="10"/>
        <v>0</v>
      </c>
      <c r="X25" s="79"/>
    </row>
    <row r="26" spans="1:24" ht="12.75" customHeight="1">
      <c r="A26" s="122" t="s">
        <v>376</v>
      </c>
      <c r="B26" s="35"/>
      <c r="C26" s="79"/>
      <c r="D26" s="80">
        <f t="shared" si="1"/>
        <v>0</v>
      </c>
      <c r="E26" s="79"/>
      <c r="F26" s="80">
        <f t="shared" si="2"/>
        <v>0</v>
      </c>
      <c r="G26" s="79"/>
      <c r="H26" s="80">
        <f t="shared" si="3"/>
        <v>0</v>
      </c>
      <c r="I26" s="79"/>
      <c r="J26" s="80">
        <f t="shared" si="4"/>
        <v>0</v>
      </c>
      <c r="K26" s="79"/>
      <c r="L26" s="80">
        <f t="shared" si="5"/>
        <v>0</v>
      </c>
      <c r="M26" s="79"/>
      <c r="N26" s="80">
        <f t="shared" si="6"/>
        <v>0</v>
      </c>
      <c r="O26" s="79"/>
      <c r="P26" s="80">
        <f t="shared" si="7"/>
        <v>0</v>
      </c>
      <c r="Q26" s="79"/>
      <c r="R26" s="80">
        <f t="shared" si="8"/>
        <v>0</v>
      </c>
      <c r="S26" s="79"/>
      <c r="T26" s="80">
        <f t="shared" si="9"/>
        <v>0</v>
      </c>
      <c r="U26" s="79"/>
      <c r="V26" s="80">
        <f t="shared" si="10"/>
        <v>0</v>
      </c>
    </row>
    <row r="27" spans="1:24" ht="12.75" customHeight="1">
      <c r="A27" s="2" t="s">
        <v>377</v>
      </c>
      <c r="B27" s="35"/>
      <c r="C27" s="112"/>
      <c r="D27" s="80">
        <f t="shared" si="1"/>
        <v>0</v>
      </c>
      <c r="E27" s="112"/>
      <c r="F27" s="80">
        <f t="shared" si="2"/>
        <v>0</v>
      </c>
      <c r="G27" s="112"/>
      <c r="H27" s="80">
        <f t="shared" si="3"/>
        <v>0</v>
      </c>
      <c r="I27" s="112"/>
      <c r="J27" s="80">
        <f t="shared" si="4"/>
        <v>0</v>
      </c>
      <c r="K27" s="112"/>
      <c r="L27" s="80">
        <f t="shared" si="5"/>
        <v>0</v>
      </c>
      <c r="M27" s="112"/>
      <c r="N27" s="80">
        <f t="shared" si="6"/>
        <v>0</v>
      </c>
      <c r="O27" s="112"/>
      <c r="P27" s="80">
        <f t="shared" si="7"/>
        <v>0</v>
      </c>
      <c r="Q27" s="112"/>
      <c r="R27" s="80">
        <f t="shared" si="8"/>
        <v>0</v>
      </c>
      <c r="S27" s="112"/>
      <c r="T27" s="80">
        <f t="shared" si="9"/>
        <v>0</v>
      </c>
      <c r="U27" s="112"/>
      <c r="V27" s="80">
        <f t="shared" si="10"/>
        <v>0</v>
      </c>
    </row>
    <row r="28" spans="1:24" ht="12.75" customHeight="1">
      <c r="A28" s="1" t="s">
        <v>378</v>
      </c>
      <c r="B28" s="53"/>
      <c r="C28" s="82">
        <f>SUM(C19:C27)</f>
        <v>250000</v>
      </c>
      <c r="D28" s="83">
        <f t="shared" si="1"/>
        <v>1</v>
      </c>
      <c r="E28" s="82">
        <f>SUM(E19:E27)</f>
        <v>0</v>
      </c>
      <c r="F28" s="83">
        <f t="shared" si="2"/>
        <v>0</v>
      </c>
      <c r="G28" s="82">
        <f>SUM(G19:G27)</f>
        <v>0</v>
      </c>
      <c r="H28" s="83">
        <f t="shared" si="3"/>
        <v>0</v>
      </c>
      <c r="I28" s="82">
        <f>SUM(I19:I27)</f>
        <v>0</v>
      </c>
      <c r="J28" s="83">
        <f t="shared" si="4"/>
        <v>0</v>
      </c>
      <c r="K28" s="82">
        <f>SUM(K19:K27)</f>
        <v>0</v>
      </c>
      <c r="L28" s="83">
        <f t="shared" si="5"/>
        <v>0</v>
      </c>
      <c r="M28" s="82">
        <f>SUM(M19:M27)</f>
        <v>0</v>
      </c>
      <c r="N28" s="83">
        <f t="shared" si="6"/>
        <v>0</v>
      </c>
      <c r="O28" s="82">
        <f>SUM(O19:O27)</f>
        <v>0</v>
      </c>
      <c r="P28" s="83">
        <f t="shared" si="7"/>
        <v>0</v>
      </c>
      <c r="Q28" s="82">
        <f>SUM(Q19:Q27)</f>
        <v>0</v>
      </c>
      <c r="R28" s="83">
        <f t="shared" si="8"/>
        <v>0</v>
      </c>
      <c r="S28" s="82">
        <f>SUM(S19:S27)</f>
        <v>0</v>
      </c>
      <c r="T28" s="83">
        <f t="shared" si="9"/>
        <v>0</v>
      </c>
      <c r="U28" s="82">
        <f>SUM(U19:U27)</f>
        <v>0</v>
      </c>
      <c r="V28" s="83">
        <f t="shared" si="10"/>
        <v>0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379</v>
      </c>
      <c r="B30" s="53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380</v>
      </c>
      <c r="B31" s="35"/>
      <c r="C31" s="178">
        <f>$C$30*C14</f>
        <v>0</v>
      </c>
      <c r="D31" s="80">
        <f>IFERROR(C31/C$28,0)</f>
        <v>0</v>
      </c>
      <c r="E31" s="178">
        <f>$C$30*E14</f>
        <v>0</v>
      </c>
      <c r="F31" s="80">
        <f>IFERROR(E31/E$28,0)</f>
        <v>0</v>
      </c>
      <c r="G31" s="178">
        <f>$C$30*G14</f>
        <v>0</v>
      </c>
      <c r="H31" s="80">
        <f>IFERROR(G31/G$28,0)</f>
        <v>0</v>
      </c>
      <c r="I31" s="178">
        <f>$C$30*I14</f>
        <v>0</v>
      </c>
      <c r="J31" s="80">
        <f>IFERROR(I31/I$28,0)</f>
        <v>0</v>
      </c>
      <c r="K31" s="178">
        <f>$C$30*K14</f>
        <v>0</v>
      </c>
      <c r="L31" s="80">
        <f>IFERROR(K31/K$28,0)</f>
        <v>0</v>
      </c>
      <c r="M31" s="178">
        <f>$C$30*M14</f>
        <v>0</v>
      </c>
      <c r="N31" s="80">
        <f>IFERROR(M31/M$28,0)</f>
        <v>0</v>
      </c>
      <c r="O31" s="178">
        <f>$C$30*O14</f>
        <v>0</v>
      </c>
      <c r="P31" s="80">
        <f>IFERROR(O31/O$28,0)</f>
        <v>0</v>
      </c>
      <c r="Q31" s="178">
        <f>$C$30*Q14</f>
        <v>0</v>
      </c>
      <c r="R31" s="80">
        <f>IFERROR(Q31/Q$28,0)</f>
        <v>0</v>
      </c>
      <c r="S31" s="178">
        <f>$C$30*S14</f>
        <v>0</v>
      </c>
      <c r="T31" s="80">
        <f>IFERROR(S31/S$28,0)</f>
        <v>0</v>
      </c>
      <c r="U31" s="178">
        <f>$C$30*U14</f>
        <v>0</v>
      </c>
      <c r="V31" s="80">
        <f>IFERROR(U31/U$28,0)</f>
        <v>0</v>
      </c>
    </row>
    <row r="32" spans="1:24" ht="12.75" customHeight="1">
      <c r="A32" s="8" t="s">
        <v>381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382</v>
      </c>
      <c r="B33" s="53"/>
      <c r="C33" s="82">
        <f>SUM(C31:C32)</f>
        <v>0</v>
      </c>
      <c r="D33" s="83">
        <f>IFERROR(C33/C$28,0)</f>
        <v>0</v>
      </c>
      <c r="E33" s="82">
        <f>SUM(E31:E32)</f>
        <v>0</v>
      </c>
      <c r="F33" s="83">
        <f>IFERROR(E33/E$28,0)</f>
        <v>0</v>
      </c>
      <c r="G33" s="82">
        <f>SUM(G31:G32)</f>
        <v>0</v>
      </c>
      <c r="H33" s="83">
        <f>IFERROR(G33/G$28,0)</f>
        <v>0</v>
      </c>
      <c r="I33" s="82">
        <f>SUM(I31:I32)</f>
        <v>0</v>
      </c>
      <c r="J33" s="83">
        <f>IFERROR(I33/I$28,0)</f>
        <v>0</v>
      </c>
      <c r="K33" s="82">
        <f>SUM(K31:K32)</f>
        <v>0</v>
      </c>
      <c r="L33" s="83">
        <f>IFERROR(K33/K$28,0)</f>
        <v>0</v>
      </c>
      <c r="M33" s="82">
        <f>SUM(M31:M32)</f>
        <v>0</v>
      </c>
      <c r="N33" s="83">
        <f>IFERROR(M33/M$28,0)</f>
        <v>0</v>
      </c>
      <c r="O33" s="82">
        <f>SUM(O31:O32)</f>
        <v>0</v>
      </c>
      <c r="P33" s="83">
        <f>IFERROR(O33/O$28,0)</f>
        <v>0</v>
      </c>
      <c r="Q33" s="82">
        <f>SUM(Q31:Q32)</f>
        <v>0</v>
      </c>
      <c r="R33" s="83">
        <f>IFERROR(Q33/Q$28,0)</f>
        <v>0</v>
      </c>
      <c r="S33" s="82">
        <f>SUM(S31:S32)</f>
        <v>0</v>
      </c>
      <c r="T33" s="83">
        <f>IFERROR(S33/S$28,0)</f>
        <v>0</v>
      </c>
      <c r="U33" s="82">
        <f>SUM(U31:U32)</f>
        <v>0</v>
      </c>
      <c r="V33" s="83">
        <f>IFERROR(U33/U$28,0)</f>
        <v>0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383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384</v>
      </c>
      <c r="B36" s="35"/>
      <c r="C36" s="178">
        <v>0</v>
      </c>
      <c r="D36" s="80">
        <f t="shared" ref="D36:D46" si="11">IFERROR(C36/C$28,0)</f>
        <v>0</v>
      </c>
      <c r="E36" s="178">
        <v>0</v>
      </c>
      <c r="F36" s="80">
        <f t="shared" ref="F36:F46" si="12">IFERROR(E36/E$28,0)</f>
        <v>0</v>
      </c>
      <c r="G36" s="178">
        <v>0</v>
      </c>
      <c r="H36" s="80">
        <f t="shared" ref="H36:H46" si="13">IFERROR(G36/G$28,0)</f>
        <v>0</v>
      </c>
      <c r="I36" s="178">
        <v>0</v>
      </c>
      <c r="J36" s="80">
        <f t="shared" ref="J36:J46" si="14">IFERROR(I36/I$28,0)</f>
        <v>0</v>
      </c>
      <c r="K36" s="178">
        <v>0</v>
      </c>
      <c r="L36" s="80">
        <f t="shared" ref="L36:L46" si="15">IFERROR(K36/K$28,0)</f>
        <v>0</v>
      </c>
      <c r="M36" s="178">
        <v>0</v>
      </c>
      <c r="N36" s="80">
        <f t="shared" ref="N36:N46" si="16">IFERROR(M36/M$28,0)</f>
        <v>0</v>
      </c>
      <c r="O36" s="178">
        <v>0</v>
      </c>
      <c r="P36" s="80">
        <f t="shared" ref="P36:P46" si="17">IFERROR(O36/O$28,0)</f>
        <v>0</v>
      </c>
      <c r="Q36" s="178">
        <v>0</v>
      </c>
      <c r="R36" s="80">
        <f t="shared" ref="R36:R46" si="18">IFERROR(Q36/Q$28,0)</f>
        <v>0</v>
      </c>
      <c r="S36" s="178">
        <v>0</v>
      </c>
      <c r="T36" s="80">
        <f t="shared" ref="T36:T46" si="19">IFERROR(S36/S$28,0)</f>
        <v>0</v>
      </c>
      <c r="U36" s="178">
        <v>0</v>
      </c>
      <c r="V36" s="80">
        <f t="shared" ref="V36:V46" si="20">IFERROR(U36/U$28,0)</f>
        <v>0</v>
      </c>
    </row>
    <row r="37" spans="1:22" ht="12.75" customHeight="1">
      <c r="A37" s="2" t="s">
        <v>385</v>
      </c>
      <c r="B37" s="35"/>
      <c r="C37" s="178">
        <v>101454</v>
      </c>
      <c r="D37" s="80">
        <f t="shared" si="11"/>
        <v>0.40581600000000001</v>
      </c>
      <c r="E37" s="178">
        <v>0</v>
      </c>
      <c r="F37" s="80">
        <f t="shared" si="12"/>
        <v>0</v>
      </c>
      <c r="G37" s="178">
        <f>+E37*1.035</f>
        <v>0</v>
      </c>
      <c r="H37" s="80">
        <f t="shared" si="13"/>
        <v>0</v>
      </c>
      <c r="I37" s="178">
        <f>+G37*1.032</f>
        <v>0</v>
      </c>
      <c r="J37" s="80">
        <f t="shared" si="14"/>
        <v>0</v>
      </c>
      <c r="K37" s="178">
        <f>+I37*1.025</f>
        <v>0</v>
      </c>
      <c r="L37" s="80">
        <f t="shared" si="15"/>
        <v>0</v>
      </c>
      <c r="M37" s="178">
        <f>+K37*1.025</f>
        <v>0</v>
      </c>
      <c r="N37" s="80">
        <f t="shared" si="16"/>
        <v>0</v>
      </c>
      <c r="O37" s="178">
        <f>+M37*1.025</f>
        <v>0</v>
      </c>
      <c r="P37" s="80">
        <f t="shared" si="17"/>
        <v>0</v>
      </c>
      <c r="Q37" s="178">
        <f>+O37*1.025</f>
        <v>0</v>
      </c>
      <c r="R37" s="80">
        <f t="shared" si="18"/>
        <v>0</v>
      </c>
      <c r="S37" s="178">
        <f>+Q37*1.025</f>
        <v>0</v>
      </c>
      <c r="T37" s="80">
        <f t="shared" si="19"/>
        <v>0</v>
      </c>
      <c r="U37" s="178">
        <f>+S37*1.025</f>
        <v>0</v>
      </c>
      <c r="V37" s="80">
        <f t="shared" si="20"/>
        <v>0</v>
      </c>
    </row>
    <row r="38" spans="1:22" ht="12.75" customHeight="1">
      <c r="A38" s="2" t="s">
        <v>386</v>
      </c>
      <c r="B38" s="35"/>
      <c r="C38" s="178"/>
      <c r="D38" s="80">
        <f t="shared" si="11"/>
        <v>0</v>
      </c>
      <c r="E38" s="178">
        <v>0</v>
      </c>
      <c r="F38" s="80">
        <f t="shared" si="12"/>
        <v>0</v>
      </c>
      <c r="G38" s="178">
        <f>+E38*1.035</f>
        <v>0</v>
      </c>
      <c r="H38" s="80">
        <f t="shared" si="13"/>
        <v>0</v>
      </c>
      <c r="I38" s="178">
        <f>+G38*1.032</f>
        <v>0</v>
      </c>
      <c r="J38" s="80">
        <f t="shared" si="14"/>
        <v>0</v>
      </c>
      <c r="K38" s="178">
        <f>+I38*1.025</f>
        <v>0</v>
      </c>
      <c r="L38" s="80">
        <f t="shared" si="15"/>
        <v>0</v>
      </c>
      <c r="M38" s="178">
        <f>+K38*1.025</f>
        <v>0</v>
      </c>
      <c r="N38" s="80">
        <f t="shared" si="16"/>
        <v>0</v>
      </c>
      <c r="O38" s="178">
        <f>+M38*1.025</f>
        <v>0</v>
      </c>
      <c r="P38" s="80">
        <f t="shared" si="17"/>
        <v>0</v>
      </c>
      <c r="Q38" s="178">
        <f>+O38*1.025</f>
        <v>0</v>
      </c>
      <c r="R38" s="80">
        <f t="shared" si="18"/>
        <v>0</v>
      </c>
      <c r="S38" s="178">
        <f>+Q38*1.025</f>
        <v>0</v>
      </c>
      <c r="T38" s="80">
        <f t="shared" si="19"/>
        <v>0</v>
      </c>
      <c r="U38" s="178">
        <f>+S38*1.025</f>
        <v>0</v>
      </c>
      <c r="V38" s="80">
        <f t="shared" si="20"/>
        <v>0</v>
      </c>
    </row>
    <row r="39" spans="1:22" ht="12.75" customHeight="1">
      <c r="A39" s="2" t="s">
        <v>387</v>
      </c>
      <c r="B39" s="35"/>
      <c r="C39" s="178"/>
      <c r="D39" s="80">
        <f t="shared" si="11"/>
        <v>0</v>
      </c>
      <c r="E39" s="178">
        <v>0</v>
      </c>
      <c r="F39" s="80">
        <f t="shared" si="12"/>
        <v>0</v>
      </c>
      <c r="G39" s="178">
        <f>+E39*1.035</f>
        <v>0</v>
      </c>
      <c r="H39" s="80">
        <f t="shared" si="13"/>
        <v>0</v>
      </c>
      <c r="I39" s="178">
        <f>+G39*1.032</f>
        <v>0</v>
      </c>
      <c r="J39" s="80">
        <f t="shared" si="14"/>
        <v>0</v>
      </c>
      <c r="K39" s="178">
        <f>+I39*1.025</f>
        <v>0</v>
      </c>
      <c r="L39" s="80">
        <f t="shared" si="15"/>
        <v>0</v>
      </c>
      <c r="M39" s="178">
        <f>+K39*1.025</f>
        <v>0</v>
      </c>
      <c r="N39" s="80">
        <f t="shared" si="16"/>
        <v>0</v>
      </c>
      <c r="O39" s="178">
        <f>+M39*1.025</f>
        <v>0</v>
      </c>
      <c r="P39" s="80">
        <f t="shared" si="17"/>
        <v>0</v>
      </c>
      <c r="Q39" s="178">
        <f>+O39*1.025</f>
        <v>0</v>
      </c>
      <c r="R39" s="80">
        <f t="shared" si="18"/>
        <v>0</v>
      </c>
      <c r="S39" s="178">
        <f>+Q39*1.025</f>
        <v>0</v>
      </c>
      <c r="T39" s="80">
        <f t="shared" si="19"/>
        <v>0</v>
      </c>
      <c r="U39" s="178">
        <f>+S39*1.025</f>
        <v>0</v>
      </c>
      <c r="V39" s="80">
        <f t="shared" si="20"/>
        <v>0</v>
      </c>
    </row>
    <row r="40" spans="1:22" ht="12.75" customHeight="1">
      <c r="A40" s="2" t="s">
        <v>388</v>
      </c>
      <c r="B40" s="35"/>
      <c r="C40" s="178">
        <f>C36*0.124</f>
        <v>0</v>
      </c>
      <c r="D40" s="80">
        <f t="shared" si="11"/>
        <v>0</v>
      </c>
      <c r="E40" s="113">
        <v>0</v>
      </c>
      <c r="F40" s="80">
        <f t="shared" si="12"/>
        <v>0</v>
      </c>
      <c r="G40" s="113">
        <f>G36*0.124</f>
        <v>0</v>
      </c>
      <c r="H40" s="80">
        <f t="shared" si="13"/>
        <v>0</v>
      </c>
      <c r="I40" s="113">
        <f>I36*0.124</f>
        <v>0</v>
      </c>
      <c r="J40" s="80">
        <f t="shared" si="14"/>
        <v>0</v>
      </c>
      <c r="K40" s="113">
        <f>K36*0.124</f>
        <v>0</v>
      </c>
      <c r="L40" s="80">
        <f t="shared" si="15"/>
        <v>0</v>
      </c>
      <c r="M40" s="113">
        <f>M36*0.124</f>
        <v>0</v>
      </c>
      <c r="N40" s="80">
        <f t="shared" si="16"/>
        <v>0</v>
      </c>
      <c r="O40" s="113">
        <f>O36*0.124</f>
        <v>0</v>
      </c>
      <c r="P40" s="80">
        <f t="shared" si="17"/>
        <v>0</v>
      </c>
      <c r="Q40" s="113">
        <f>Q36*0.124</f>
        <v>0</v>
      </c>
      <c r="R40" s="80">
        <f t="shared" si="18"/>
        <v>0</v>
      </c>
      <c r="S40" s="113">
        <f>S36*0.124</f>
        <v>0</v>
      </c>
      <c r="T40" s="80">
        <f t="shared" si="19"/>
        <v>0</v>
      </c>
      <c r="U40" s="113">
        <f>U36*0.124</f>
        <v>0</v>
      </c>
      <c r="V40" s="80">
        <f t="shared" si="20"/>
        <v>0</v>
      </c>
    </row>
    <row r="41" spans="1:22" ht="12.75" customHeight="1">
      <c r="A41" s="2" t="s">
        <v>389</v>
      </c>
      <c r="B41" s="35"/>
      <c r="C41" s="178">
        <f>C37*0.124</f>
        <v>12580.296</v>
      </c>
      <c r="D41" s="80">
        <f t="shared" si="11"/>
        <v>5.0321183999999998E-2</v>
      </c>
      <c r="E41" s="113">
        <v>0</v>
      </c>
      <c r="F41" s="80">
        <f t="shared" si="12"/>
        <v>0</v>
      </c>
      <c r="G41" s="113">
        <f>G37*0.124</f>
        <v>0</v>
      </c>
      <c r="H41" s="80">
        <f t="shared" si="13"/>
        <v>0</v>
      </c>
      <c r="I41" s="113">
        <f>I37*0.124</f>
        <v>0</v>
      </c>
      <c r="J41" s="80">
        <f t="shared" si="14"/>
        <v>0</v>
      </c>
      <c r="K41" s="113">
        <f>K37*0.124</f>
        <v>0</v>
      </c>
      <c r="L41" s="80">
        <f t="shared" si="15"/>
        <v>0</v>
      </c>
      <c r="M41" s="113">
        <f>M37*0.124</f>
        <v>0</v>
      </c>
      <c r="N41" s="80">
        <f t="shared" si="16"/>
        <v>0</v>
      </c>
      <c r="O41" s="113">
        <f>O37*0.124</f>
        <v>0</v>
      </c>
      <c r="P41" s="80">
        <f t="shared" si="17"/>
        <v>0</v>
      </c>
      <c r="Q41" s="113">
        <f>Q37*0.124</f>
        <v>0</v>
      </c>
      <c r="R41" s="80">
        <f t="shared" si="18"/>
        <v>0</v>
      </c>
      <c r="S41" s="113">
        <f>S37*0.124</f>
        <v>0</v>
      </c>
      <c r="T41" s="80">
        <f t="shared" si="19"/>
        <v>0</v>
      </c>
      <c r="U41" s="113">
        <f>U37*0.124</f>
        <v>0</v>
      </c>
      <c r="V41" s="80">
        <f t="shared" si="20"/>
        <v>0</v>
      </c>
    </row>
    <row r="42" spans="1:22" ht="12.75" customHeight="1">
      <c r="A42" s="2" t="s">
        <v>390</v>
      </c>
      <c r="B42" s="35"/>
      <c r="C42" s="178"/>
      <c r="D42" s="80">
        <f t="shared" si="11"/>
        <v>0</v>
      </c>
      <c r="E42" s="178">
        <v>0</v>
      </c>
      <c r="F42" s="80">
        <f t="shared" si="12"/>
        <v>0</v>
      </c>
      <c r="G42" s="178"/>
      <c r="H42" s="80">
        <f t="shared" si="13"/>
        <v>0</v>
      </c>
      <c r="I42" s="178"/>
      <c r="J42" s="80">
        <f t="shared" si="14"/>
        <v>0</v>
      </c>
      <c r="K42" s="178"/>
      <c r="L42" s="80">
        <f t="shared" si="15"/>
        <v>0</v>
      </c>
      <c r="M42" s="178"/>
      <c r="N42" s="80">
        <f t="shared" si="16"/>
        <v>0</v>
      </c>
      <c r="O42" s="178"/>
      <c r="P42" s="80">
        <f t="shared" si="17"/>
        <v>0</v>
      </c>
      <c r="Q42" s="178"/>
      <c r="R42" s="80">
        <f t="shared" si="18"/>
        <v>0</v>
      </c>
      <c r="S42" s="178"/>
      <c r="T42" s="80">
        <f t="shared" si="19"/>
        <v>0</v>
      </c>
      <c r="U42" s="178"/>
      <c r="V42" s="80">
        <f t="shared" si="20"/>
        <v>0</v>
      </c>
    </row>
    <row r="43" spans="1:22" ht="12.75" customHeight="1">
      <c r="A43" s="2" t="s">
        <v>391</v>
      </c>
      <c r="B43" s="35"/>
      <c r="C43" s="178"/>
      <c r="D43" s="80">
        <f t="shared" si="11"/>
        <v>0</v>
      </c>
      <c r="E43" s="178">
        <v>0</v>
      </c>
      <c r="F43" s="80">
        <f t="shared" si="12"/>
        <v>0</v>
      </c>
      <c r="G43" s="178"/>
      <c r="H43" s="80">
        <f t="shared" si="13"/>
        <v>0</v>
      </c>
      <c r="I43" s="178"/>
      <c r="J43" s="80">
        <f t="shared" si="14"/>
        <v>0</v>
      </c>
      <c r="K43" s="178"/>
      <c r="L43" s="80">
        <f t="shared" si="15"/>
        <v>0</v>
      </c>
      <c r="M43" s="178"/>
      <c r="N43" s="80">
        <f t="shared" si="16"/>
        <v>0</v>
      </c>
      <c r="O43" s="178"/>
      <c r="P43" s="80">
        <f t="shared" si="17"/>
        <v>0</v>
      </c>
      <c r="Q43" s="178"/>
      <c r="R43" s="80">
        <f t="shared" si="18"/>
        <v>0</v>
      </c>
      <c r="S43" s="178"/>
      <c r="T43" s="80">
        <f t="shared" si="19"/>
        <v>0</v>
      </c>
      <c r="U43" s="178"/>
      <c r="V43" s="80">
        <f t="shared" si="20"/>
        <v>0</v>
      </c>
    </row>
    <row r="44" spans="1:22" ht="12.75" customHeight="1">
      <c r="A44" s="2" t="s">
        <v>392</v>
      </c>
      <c r="B44" s="35"/>
      <c r="C44" s="178"/>
      <c r="D44" s="80">
        <f t="shared" si="11"/>
        <v>0</v>
      </c>
      <c r="E44" s="178">
        <v>0</v>
      </c>
      <c r="F44" s="80">
        <f t="shared" si="12"/>
        <v>0</v>
      </c>
      <c r="G44" s="178"/>
      <c r="H44" s="80">
        <f t="shared" si="13"/>
        <v>0</v>
      </c>
      <c r="I44" s="178"/>
      <c r="J44" s="80">
        <f t="shared" si="14"/>
        <v>0</v>
      </c>
      <c r="K44" s="178"/>
      <c r="L44" s="80">
        <f t="shared" si="15"/>
        <v>0</v>
      </c>
      <c r="M44" s="178"/>
      <c r="N44" s="80">
        <f t="shared" si="16"/>
        <v>0</v>
      </c>
      <c r="O44" s="178"/>
      <c r="P44" s="80">
        <f t="shared" si="17"/>
        <v>0</v>
      </c>
      <c r="Q44" s="178"/>
      <c r="R44" s="80">
        <f t="shared" si="18"/>
        <v>0</v>
      </c>
      <c r="S44" s="178"/>
      <c r="T44" s="80">
        <f t="shared" si="19"/>
        <v>0</v>
      </c>
      <c r="U44" s="178"/>
      <c r="V44" s="80">
        <f t="shared" si="20"/>
        <v>0</v>
      </c>
    </row>
    <row r="45" spans="1:22" ht="12.75" customHeight="1">
      <c r="A45" s="2" t="s">
        <v>393</v>
      </c>
      <c r="B45" s="35"/>
      <c r="C45" s="181">
        <f>SUM(C36:C39)*0.094</f>
        <v>9536.6759999999995</v>
      </c>
      <c r="D45" s="80">
        <f t="shared" si="11"/>
        <v>3.8146703999999997E-2</v>
      </c>
      <c r="E45" s="114">
        <v>0</v>
      </c>
      <c r="F45" s="80">
        <f t="shared" si="12"/>
        <v>0</v>
      </c>
      <c r="G45" s="114">
        <f>SUM(G36:G39)*0.094</f>
        <v>0</v>
      </c>
      <c r="H45" s="80">
        <f t="shared" si="13"/>
        <v>0</v>
      </c>
      <c r="I45" s="114">
        <f>SUM(I36:I39)*0.094</f>
        <v>0</v>
      </c>
      <c r="J45" s="80">
        <f t="shared" si="14"/>
        <v>0</v>
      </c>
      <c r="K45" s="114">
        <f>SUM(K36:K39)*0.094</f>
        <v>0</v>
      </c>
      <c r="L45" s="80">
        <f t="shared" si="15"/>
        <v>0</v>
      </c>
      <c r="M45" s="114">
        <f>SUM(M36:M39)*0.094</f>
        <v>0</v>
      </c>
      <c r="N45" s="80">
        <f t="shared" si="16"/>
        <v>0</v>
      </c>
      <c r="O45" s="114">
        <f>SUM(O36:O39)*0.094</f>
        <v>0</v>
      </c>
      <c r="P45" s="80">
        <f t="shared" si="17"/>
        <v>0</v>
      </c>
      <c r="Q45" s="114">
        <f>SUM(Q36:Q39)*0.094</f>
        <v>0</v>
      </c>
      <c r="R45" s="80">
        <f t="shared" si="18"/>
        <v>0</v>
      </c>
      <c r="S45" s="114">
        <f>SUM(S36:S39)*0.094</f>
        <v>0</v>
      </c>
      <c r="T45" s="80">
        <f t="shared" si="19"/>
        <v>0</v>
      </c>
      <c r="U45" s="114">
        <f>SUM(U36:U39)*0.094</f>
        <v>0</v>
      </c>
      <c r="V45" s="80">
        <f t="shared" si="20"/>
        <v>0</v>
      </c>
    </row>
    <row r="46" spans="1:22" ht="12.75" customHeight="1">
      <c r="A46" s="1" t="s">
        <v>394</v>
      </c>
      <c r="B46" s="53"/>
      <c r="C46" s="82">
        <f>SUM(C36:C45)</f>
        <v>123570.97200000001</v>
      </c>
      <c r="D46" s="83">
        <f t="shared" si="11"/>
        <v>0.49428388800000006</v>
      </c>
      <c r="E46" s="82">
        <f>SUM(E36:E45)</f>
        <v>0</v>
      </c>
      <c r="F46" s="83">
        <f t="shared" si="12"/>
        <v>0</v>
      </c>
      <c r="G46" s="82">
        <f>SUM(G36:G45)</f>
        <v>0</v>
      </c>
      <c r="H46" s="83">
        <f t="shared" si="13"/>
        <v>0</v>
      </c>
      <c r="I46" s="82">
        <f>SUM(I36:I45)</f>
        <v>0</v>
      </c>
      <c r="J46" s="83">
        <f t="shared" si="14"/>
        <v>0</v>
      </c>
      <c r="K46" s="82">
        <f>SUM(K36:K45)</f>
        <v>0</v>
      </c>
      <c r="L46" s="83">
        <f t="shared" si="15"/>
        <v>0</v>
      </c>
      <c r="M46" s="82">
        <f>SUM(M36:M45)</f>
        <v>0</v>
      </c>
      <c r="N46" s="83">
        <f t="shared" si="16"/>
        <v>0</v>
      </c>
      <c r="O46" s="82">
        <f>SUM(O36:O45)</f>
        <v>0</v>
      </c>
      <c r="P46" s="83">
        <f t="shared" si="17"/>
        <v>0</v>
      </c>
      <c r="Q46" s="82">
        <f>SUM(Q36:Q45)</f>
        <v>0</v>
      </c>
      <c r="R46" s="83">
        <f t="shared" si="18"/>
        <v>0</v>
      </c>
      <c r="S46" s="82">
        <f>SUM(S36:S45)</f>
        <v>0</v>
      </c>
      <c r="T46" s="83">
        <f t="shared" si="19"/>
        <v>0</v>
      </c>
      <c r="U46" s="82">
        <f>SUM(U36:U45)</f>
        <v>0</v>
      </c>
      <c r="V46" s="83">
        <f t="shared" si="20"/>
        <v>0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366</v>
      </c>
      <c r="E50" s="86" t="str">
        <f>E6</f>
        <v>FY 2019-20</v>
      </c>
      <c r="F50" s="86" t="s">
        <v>366</v>
      </c>
      <c r="G50" s="86" t="str">
        <f>G6</f>
        <v>FY 2020-21</v>
      </c>
      <c r="H50" s="86" t="s">
        <v>366</v>
      </c>
      <c r="I50" s="86" t="str">
        <f>I6</f>
        <v>FY 2021-22</v>
      </c>
      <c r="J50" s="86" t="s">
        <v>366</v>
      </c>
      <c r="K50" s="86" t="str">
        <f>K6</f>
        <v>FY 2022-23</v>
      </c>
      <c r="L50" s="86" t="s">
        <v>366</v>
      </c>
      <c r="M50" s="86" t="str">
        <f>M6</f>
        <v>FY 2023-24</v>
      </c>
      <c r="N50" s="86" t="s">
        <v>366</v>
      </c>
      <c r="O50" s="86" t="str">
        <f>O6</f>
        <v>FY 2024-25</v>
      </c>
      <c r="P50" s="86" t="s">
        <v>366</v>
      </c>
      <c r="Q50" s="86" t="str">
        <f>Q6</f>
        <v>FY 2025-26</v>
      </c>
      <c r="R50" s="86" t="s">
        <v>366</v>
      </c>
      <c r="S50" s="86" t="str">
        <f>S6</f>
        <v>FY 2026-27</v>
      </c>
      <c r="T50" s="86" t="s">
        <v>366</v>
      </c>
      <c r="U50" s="86" t="str">
        <f>U6</f>
        <v>FY 2027-28</v>
      </c>
      <c r="V50" s="86" t="s">
        <v>366</v>
      </c>
    </row>
    <row r="51" spans="1:24" ht="12.75" customHeight="1">
      <c r="A51" s="1" t="s">
        <v>395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396</v>
      </c>
      <c r="B52" s="35"/>
      <c r="C52" s="178">
        <v>0</v>
      </c>
      <c r="D52" s="80">
        <f t="shared" ref="D52:D104" si="21">IFERROR(C52/C$28,0)</f>
        <v>0</v>
      </c>
      <c r="E52" s="178">
        <v>0</v>
      </c>
      <c r="F52" s="80">
        <f t="shared" ref="F52:F104" si="22">IFERROR(E52/E$28,0)</f>
        <v>0</v>
      </c>
      <c r="G52" s="178">
        <v>0</v>
      </c>
      <c r="H52" s="80">
        <f t="shared" ref="H52:H104" si="23">IFERROR(G52/G$28,0)</f>
        <v>0</v>
      </c>
      <c r="I52" s="178">
        <v>0</v>
      </c>
      <c r="J52" s="80">
        <f t="shared" ref="J52:J104" si="24">IFERROR(I52/I$28,0)</f>
        <v>0</v>
      </c>
      <c r="K52" s="178">
        <v>0</v>
      </c>
      <c r="L52" s="80">
        <f t="shared" ref="L52:L104" si="25">IFERROR(K52/K$28,0)</f>
        <v>0</v>
      </c>
      <c r="M52" s="178">
        <v>0</v>
      </c>
      <c r="N52" s="80">
        <f t="shared" ref="N52:N104" si="26">IFERROR(M52/M$28,0)</f>
        <v>0</v>
      </c>
      <c r="O52" s="178">
        <v>0</v>
      </c>
      <c r="P52" s="80">
        <f t="shared" ref="P52:P104" si="27">IFERROR(O52/O$28,0)</f>
        <v>0</v>
      </c>
      <c r="Q52" s="178">
        <v>0</v>
      </c>
      <c r="R52" s="80">
        <f t="shared" ref="R52:R104" si="28">IFERROR(Q52/Q$28,0)</f>
        <v>0</v>
      </c>
      <c r="S52" s="178">
        <v>0</v>
      </c>
      <c r="T52" s="80">
        <f t="shared" ref="T52:T104" si="29">IFERROR(S52/S$28,0)</f>
        <v>0</v>
      </c>
      <c r="U52" s="178">
        <v>0</v>
      </c>
      <c r="V52" s="80">
        <f t="shared" ref="V52:V105" si="30">IFERROR(U52/U$28,0)</f>
        <v>0</v>
      </c>
      <c r="X52" s="192"/>
    </row>
    <row r="53" spans="1:24" ht="12.75" customHeight="1">
      <c r="A53" s="2" t="s">
        <v>397</v>
      </c>
      <c r="B53" s="35"/>
      <c r="C53" s="178">
        <v>0</v>
      </c>
      <c r="D53" s="80">
        <f t="shared" si="21"/>
        <v>0</v>
      </c>
      <c r="E53" s="178">
        <v>0</v>
      </c>
      <c r="F53" s="80">
        <f t="shared" si="22"/>
        <v>0</v>
      </c>
      <c r="G53" s="178">
        <v>0</v>
      </c>
      <c r="H53" s="80">
        <f t="shared" si="23"/>
        <v>0</v>
      </c>
      <c r="I53" s="178">
        <v>0</v>
      </c>
      <c r="J53" s="80">
        <f t="shared" si="24"/>
        <v>0</v>
      </c>
      <c r="K53" s="178">
        <v>0</v>
      </c>
      <c r="L53" s="80">
        <f t="shared" si="25"/>
        <v>0</v>
      </c>
      <c r="M53" s="178">
        <v>0</v>
      </c>
      <c r="N53" s="80">
        <f t="shared" si="26"/>
        <v>0</v>
      </c>
      <c r="O53" s="178">
        <v>0</v>
      </c>
      <c r="P53" s="80">
        <f t="shared" si="27"/>
        <v>0</v>
      </c>
      <c r="Q53" s="178">
        <v>0</v>
      </c>
      <c r="R53" s="80">
        <f t="shared" si="28"/>
        <v>0</v>
      </c>
      <c r="S53" s="178">
        <v>0</v>
      </c>
      <c r="T53" s="80">
        <f t="shared" si="29"/>
        <v>0</v>
      </c>
      <c r="U53" s="178">
        <v>0</v>
      </c>
      <c r="V53" s="80">
        <f t="shared" si="30"/>
        <v>0</v>
      </c>
      <c r="X53" s="192"/>
    </row>
    <row r="54" spans="1:24" ht="12.75" customHeight="1">
      <c r="A54" s="2" t="s">
        <v>398</v>
      </c>
      <c r="B54" s="35"/>
      <c r="C54" s="178">
        <v>175</v>
      </c>
      <c r="D54" s="80">
        <f t="shared" si="21"/>
        <v>6.9999999999999999E-4</v>
      </c>
      <c r="E54" s="178">
        <v>0</v>
      </c>
      <c r="F54" s="80">
        <f t="shared" si="22"/>
        <v>0</v>
      </c>
      <c r="G54" s="178">
        <v>0</v>
      </c>
      <c r="H54" s="80">
        <f t="shared" si="23"/>
        <v>0</v>
      </c>
      <c r="I54" s="178">
        <v>0</v>
      </c>
      <c r="J54" s="80">
        <f t="shared" si="24"/>
        <v>0</v>
      </c>
      <c r="K54" s="178">
        <v>0</v>
      </c>
      <c r="L54" s="80">
        <f t="shared" si="25"/>
        <v>0</v>
      </c>
      <c r="M54" s="178">
        <v>0</v>
      </c>
      <c r="N54" s="80">
        <f t="shared" si="26"/>
        <v>0</v>
      </c>
      <c r="O54" s="178">
        <v>0</v>
      </c>
      <c r="P54" s="80">
        <f t="shared" si="27"/>
        <v>0</v>
      </c>
      <c r="Q54" s="178">
        <v>0</v>
      </c>
      <c r="R54" s="80">
        <f t="shared" si="28"/>
        <v>0</v>
      </c>
      <c r="S54" s="178">
        <v>0</v>
      </c>
      <c r="T54" s="80">
        <f t="shared" si="29"/>
        <v>0</v>
      </c>
      <c r="U54" s="178">
        <v>0</v>
      </c>
      <c r="V54" s="80">
        <f t="shared" si="30"/>
        <v>0</v>
      </c>
      <c r="X54" s="192"/>
    </row>
    <row r="55" spans="1:24" ht="12.75" customHeight="1">
      <c r="A55" s="2" t="s">
        <v>399</v>
      </c>
      <c r="B55" s="35"/>
      <c r="C55" s="178">
        <v>17500</v>
      </c>
      <c r="D55" s="80">
        <f t="shared" si="21"/>
        <v>7.0000000000000007E-2</v>
      </c>
      <c r="E55" s="178"/>
      <c r="F55" s="80">
        <f t="shared" si="22"/>
        <v>0</v>
      </c>
      <c r="G55" s="178"/>
      <c r="H55" s="80">
        <f t="shared" si="23"/>
        <v>0</v>
      </c>
      <c r="I55" s="178"/>
      <c r="J55" s="80">
        <f t="shared" si="24"/>
        <v>0</v>
      </c>
      <c r="K55" s="178"/>
      <c r="L55" s="80">
        <f t="shared" si="25"/>
        <v>0</v>
      </c>
      <c r="M55" s="178"/>
      <c r="N55" s="80">
        <f t="shared" si="26"/>
        <v>0</v>
      </c>
      <c r="O55" s="178"/>
      <c r="P55" s="80">
        <f t="shared" si="27"/>
        <v>0</v>
      </c>
      <c r="Q55" s="178"/>
      <c r="R55" s="80">
        <f t="shared" si="28"/>
        <v>0</v>
      </c>
      <c r="S55" s="178"/>
      <c r="T55" s="80">
        <f t="shared" si="29"/>
        <v>0</v>
      </c>
      <c r="U55" s="178"/>
      <c r="V55" s="80">
        <f t="shared" si="30"/>
        <v>0</v>
      </c>
      <c r="X55" s="192"/>
    </row>
    <row r="56" spans="1:24" ht="12.75" customHeight="1">
      <c r="A56" s="2" t="s">
        <v>400</v>
      </c>
      <c r="B56" s="35"/>
      <c r="C56" s="178">
        <v>127.5</v>
      </c>
      <c r="D56" s="80">
        <f t="shared" si="21"/>
        <v>5.1000000000000004E-4</v>
      </c>
      <c r="E56" s="178">
        <v>0</v>
      </c>
      <c r="F56" s="80">
        <f t="shared" si="22"/>
        <v>0</v>
      </c>
      <c r="G56" s="178">
        <v>0</v>
      </c>
      <c r="H56" s="80">
        <f t="shared" si="23"/>
        <v>0</v>
      </c>
      <c r="I56" s="178">
        <v>0</v>
      </c>
      <c r="J56" s="80">
        <f t="shared" si="24"/>
        <v>0</v>
      </c>
      <c r="K56" s="178">
        <v>0</v>
      </c>
      <c r="L56" s="80">
        <f t="shared" si="25"/>
        <v>0</v>
      </c>
      <c r="M56" s="178">
        <v>0</v>
      </c>
      <c r="N56" s="80">
        <f t="shared" si="26"/>
        <v>0</v>
      </c>
      <c r="O56" s="178">
        <v>0</v>
      </c>
      <c r="P56" s="80">
        <f t="shared" si="27"/>
        <v>0</v>
      </c>
      <c r="Q56" s="178">
        <v>0</v>
      </c>
      <c r="R56" s="80">
        <f t="shared" si="28"/>
        <v>0</v>
      </c>
      <c r="S56" s="178">
        <v>0</v>
      </c>
      <c r="T56" s="80">
        <f t="shared" si="29"/>
        <v>0</v>
      </c>
      <c r="U56" s="178">
        <v>0</v>
      </c>
      <c r="V56" s="80">
        <f t="shared" si="30"/>
        <v>0</v>
      </c>
      <c r="X56" s="192"/>
    </row>
    <row r="57" spans="1:24" ht="12.75" customHeight="1">
      <c r="A57" s="2" t="s">
        <v>401</v>
      </c>
      <c r="B57" s="35"/>
      <c r="C57" s="178">
        <v>0</v>
      </c>
      <c r="D57" s="80">
        <f t="shared" si="21"/>
        <v>0</v>
      </c>
      <c r="E57" s="178">
        <v>0</v>
      </c>
      <c r="F57" s="80">
        <f t="shared" si="22"/>
        <v>0</v>
      </c>
      <c r="G57" s="178">
        <v>0</v>
      </c>
      <c r="H57" s="80">
        <f t="shared" si="23"/>
        <v>0</v>
      </c>
      <c r="I57" s="178">
        <v>0</v>
      </c>
      <c r="J57" s="80">
        <f t="shared" si="24"/>
        <v>0</v>
      </c>
      <c r="K57" s="178">
        <v>0</v>
      </c>
      <c r="L57" s="80">
        <f t="shared" si="25"/>
        <v>0</v>
      </c>
      <c r="M57" s="178">
        <v>0</v>
      </c>
      <c r="N57" s="80">
        <f t="shared" si="26"/>
        <v>0</v>
      </c>
      <c r="O57" s="178">
        <v>0</v>
      </c>
      <c r="P57" s="80">
        <f t="shared" si="27"/>
        <v>0</v>
      </c>
      <c r="Q57" s="178">
        <v>0</v>
      </c>
      <c r="R57" s="80">
        <f t="shared" si="28"/>
        <v>0</v>
      </c>
      <c r="S57" s="178">
        <v>0</v>
      </c>
      <c r="T57" s="80">
        <f t="shared" si="29"/>
        <v>0</v>
      </c>
      <c r="U57" s="178">
        <v>0</v>
      </c>
      <c r="V57" s="80">
        <f t="shared" si="30"/>
        <v>0</v>
      </c>
      <c r="X57" s="192"/>
    </row>
    <row r="58" spans="1:24" ht="12.75" customHeight="1">
      <c r="A58" s="2" t="s">
        <v>402</v>
      </c>
      <c r="B58" s="35"/>
      <c r="C58" s="178">
        <v>0</v>
      </c>
      <c r="D58" s="80">
        <f t="shared" si="21"/>
        <v>0</v>
      </c>
      <c r="E58" s="178">
        <v>0</v>
      </c>
      <c r="F58" s="80">
        <f t="shared" si="22"/>
        <v>0</v>
      </c>
      <c r="G58" s="178">
        <v>0</v>
      </c>
      <c r="H58" s="80">
        <f t="shared" si="23"/>
        <v>0</v>
      </c>
      <c r="I58" s="178">
        <v>0</v>
      </c>
      <c r="J58" s="80">
        <f t="shared" si="24"/>
        <v>0</v>
      </c>
      <c r="K58" s="178">
        <v>0</v>
      </c>
      <c r="L58" s="80">
        <f t="shared" si="25"/>
        <v>0</v>
      </c>
      <c r="M58" s="178">
        <v>0</v>
      </c>
      <c r="N58" s="80">
        <f t="shared" si="26"/>
        <v>0</v>
      </c>
      <c r="O58" s="178">
        <v>0</v>
      </c>
      <c r="P58" s="80">
        <f t="shared" si="27"/>
        <v>0</v>
      </c>
      <c r="Q58" s="178">
        <v>0</v>
      </c>
      <c r="R58" s="80">
        <f t="shared" si="28"/>
        <v>0</v>
      </c>
      <c r="S58" s="178">
        <v>0</v>
      </c>
      <c r="T58" s="80">
        <f t="shared" si="29"/>
        <v>0</v>
      </c>
      <c r="U58" s="178">
        <v>0</v>
      </c>
      <c r="V58" s="80">
        <f t="shared" si="30"/>
        <v>0</v>
      </c>
      <c r="X58" s="192"/>
    </row>
    <row r="59" spans="1:24" ht="12.75" customHeight="1">
      <c r="A59" s="2" t="s">
        <v>403</v>
      </c>
      <c r="B59" s="35"/>
      <c r="C59" s="178"/>
      <c r="D59" s="80">
        <f t="shared" si="21"/>
        <v>0</v>
      </c>
      <c r="E59" s="178"/>
      <c r="F59" s="80">
        <f t="shared" si="22"/>
        <v>0</v>
      </c>
      <c r="G59" s="178"/>
      <c r="H59" s="80">
        <f t="shared" si="23"/>
        <v>0</v>
      </c>
      <c r="I59" s="178"/>
      <c r="J59" s="80">
        <f t="shared" si="24"/>
        <v>0</v>
      </c>
      <c r="K59" s="178"/>
      <c r="L59" s="80">
        <f t="shared" si="25"/>
        <v>0</v>
      </c>
      <c r="M59" s="178"/>
      <c r="N59" s="80">
        <f t="shared" si="26"/>
        <v>0</v>
      </c>
      <c r="O59" s="178"/>
      <c r="P59" s="80">
        <f t="shared" si="27"/>
        <v>0</v>
      </c>
      <c r="Q59" s="178"/>
      <c r="R59" s="80">
        <f t="shared" si="28"/>
        <v>0</v>
      </c>
      <c r="S59" s="178"/>
      <c r="T59" s="80">
        <f t="shared" si="29"/>
        <v>0</v>
      </c>
      <c r="U59" s="178"/>
      <c r="V59" s="80">
        <f t="shared" si="30"/>
        <v>0</v>
      </c>
      <c r="X59" s="192"/>
    </row>
    <row r="60" spans="1:24" ht="12.75" customHeight="1">
      <c r="A60" s="2" t="s">
        <v>404</v>
      </c>
      <c r="B60" s="35"/>
      <c r="C60" s="178">
        <v>0</v>
      </c>
      <c r="D60" s="80">
        <f t="shared" si="21"/>
        <v>0</v>
      </c>
      <c r="E60" s="178">
        <v>0</v>
      </c>
      <c r="F60" s="80">
        <f t="shared" si="22"/>
        <v>0</v>
      </c>
      <c r="G60" s="178">
        <v>0</v>
      </c>
      <c r="H60" s="80">
        <f t="shared" si="23"/>
        <v>0</v>
      </c>
      <c r="I60" s="178">
        <v>0</v>
      </c>
      <c r="J60" s="80">
        <f t="shared" si="24"/>
        <v>0</v>
      </c>
      <c r="K60" s="178">
        <v>0</v>
      </c>
      <c r="L60" s="80">
        <f t="shared" si="25"/>
        <v>0</v>
      </c>
      <c r="M60" s="178">
        <v>0</v>
      </c>
      <c r="N60" s="80">
        <f t="shared" si="26"/>
        <v>0</v>
      </c>
      <c r="O60" s="178">
        <v>0</v>
      </c>
      <c r="P60" s="80">
        <f t="shared" si="27"/>
        <v>0</v>
      </c>
      <c r="Q60" s="178">
        <v>0</v>
      </c>
      <c r="R60" s="80">
        <f t="shared" si="28"/>
        <v>0</v>
      </c>
      <c r="S60" s="178">
        <v>0</v>
      </c>
      <c r="T60" s="80">
        <f t="shared" si="29"/>
        <v>0</v>
      </c>
      <c r="U60" s="178">
        <v>0</v>
      </c>
      <c r="V60" s="80">
        <f t="shared" si="30"/>
        <v>0</v>
      </c>
      <c r="X60" s="192"/>
    </row>
    <row r="61" spans="1:24" ht="12.75" customHeight="1">
      <c r="A61" s="2" t="s">
        <v>405</v>
      </c>
      <c r="B61" s="35"/>
      <c r="C61" s="178">
        <v>0</v>
      </c>
      <c r="D61" s="80">
        <f t="shared" si="21"/>
        <v>0</v>
      </c>
      <c r="E61" s="178">
        <v>0</v>
      </c>
      <c r="F61" s="80">
        <f t="shared" si="22"/>
        <v>0</v>
      </c>
      <c r="G61" s="178">
        <v>0</v>
      </c>
      <c r="H61" s="80">
        <f t="shared" si="23"/>
        <v>0</v>
      </c>
      <c r="I61" s="178">
        <v>0</v>
      </c>
      <c r="J61" s="80">
        <f t="shared" si="24"/>
        <v>0</v>
      </c>
      <c r="K61" s="178">
        <v>0</v>
      </c>
      <c r="L61" s="80">
        <f t="shared" si="25"/>
        <v>0</v>
      </c>
      <c r="M61" s="178">
        <v>0</v>
      </c>
      <c r="N61" s="80">
        <f t="shared" si="26"/>
        <v>0</v>
      </c>
      <c r="O61" s="178">
        <v>0</v>
      </c>
      <c r="P61" s="80">
        <f t="shared" si="27"/>
        <v>0</v>
      </c>
      <c r="Q61" s="178">
        <v>0</v>
      </c>
      <c r="R61" s="80">
        <f t="shared" si="28"/>
        <v>0</v>
      </c>
      <c r="S61" s="178">
        <v>0</v>
      </c>
      <c r="T61" s="80">
        <f t="shared" si="29"/>
        <v>0</v>
      </c>
      <c r="U61" s="178">
        <v>0</v>
      </c>
      <c r="V61" s="80">
        <f t="shared" si="30"/>
        <v>0</v>
      </c>
      <c r="X61" s="192"/>
    </row>
    <row r="62" spans="1:24" ht="12.75" customHeight="1">
      <c r="A62" s="2" t="s">
        <v>406</v>
      </c>
      <c r="B62" s="35"/>
      <c r="C62" s="178">
        <v>0</v>
      </c>
      <c r="D62" s="80">
        <f t="shared" si="21"/>
        <v>0</v>
      </c>
      <c r="E62" s="178">
        <v>0</v>
      </c>
      <c r="F62" s="80">
        <f t="shared" si="22"/>
        <v>0</v>
      </c>
      <c r="G62" s="178">
        <v>0</v>
      </c>
      <c r="H62" s="80">
        <f t="shared" si="23"/>
        <v>0</v>
      </c>
      <c r="I62" s="178">
        <v>0</v>
      </c>
      <c r="J62" s="80">
        <f t="shared" si="24"/>
        <v>0</v>
      </c>
      <c r="K62" s="178">
        <v>0</v>
      </c>
      <c r="L62" s="80">
        <f t="shared" si="25"/>
        <v>0</v>
      </c>
      <c r="M62" s="178">
        <v>0</v>
      </c>
      <c r="N62" s="80">
        <f t="shared" si="26"/>
        <v>0</v>
      </c>
      <c r="O62" s="178">
        <v>0</v>
      </c>
      <c r="P62" s="80">
        <f t="shared" si="27"/>
        <v>0</v>
      </c>
      <c r="Q62" s="178">
        <v>0</v>
      </c>
      <c r="R62" s="80">
        <f t="shared" si="28"/>
        <v>0</v>
      </c>
      <c r="S62" s="178">
        <v>0</v>
      </c>
      <c r="T62" s="80">
        <f t="shared" si="29"/>
        <v>0</v>
      </c>
      <c r="U62" s="178">
        <v>0</v>
      </c>
      <c r="V62" s="80">
        <f t="shared" si="30"/>
        <v>0</v>
      </c>
      <c r="X62" s="192"/>
    </row>
    <row r="63" spans="1:24" ht="12.75" customHeight="1">
      <c r="A63" s="2" t="s">
        <v>407</v>
      </c>
      <c r="B63" s="35"/>
      <c r="C63" s="178">
        <v>3041.4199609076209</v>
      </c>
      <c r="D63" s="80">
        <f t="shared" si="21"/>
        <v>1.2165679843630484E-2</v>
      </c>
      <c r="E63" s="178">
        <v>0</v>
      </c>
      <c r="F63" s="80">
        <f t="shared" si="22"/>
        <v>0</v>
      </c>
      <c r="G63" s="178">
        <v>0</v>
      </c>
      <c r="H63" s="80">
        <f t="shared" si="23"/>
        <v>0</v>
      </c>
      <c r="I63" s="178">
        <v>0</v>
      </c>
      <c r="J63" s="80">
        <f t="shared" si="24"/>
        <v>0</v>
      </c>
      <c r="K63" s="178">
        <v>0</v>
      </c>
      <c r="L63" s="80">
        <f t="shared" si="25"/>
        <v>0</v>
      </c>
      <c r="M63" s="178">
        <v>0</v>
      </c>
      <c r="N63" s="80">
        <f t="shared" si="26"/>
        <v>0</v>
      </c>
      <c r="O63" s="178">
        <v>0</v>
      </c>
      <c r="P63" s="80">
        <f t="shared" si="27"/>
        <v>0</v>
      </c>
      <c r="Q63" s="178">
        <v>0</v>
      </c>
      <c r="R63" s="80">
        <f t="shared" si="28"/>
        <v>0</v>
      </c>
      <c r="S63" s="178">
        <v>0</v>
      </c>
      <c r="T63" s="80">
        <f t="shared" si="29"/>
        <v>0</v>
      </c>
      <c r="U63" s="178">
        <v>0</v>
      </c>
      <c r="V63" s="80">
        <f t="shared" si="30"/>
        <v>0</v>
      </c>
      <c r="X63" s="192"/>
    </row>
    <row r="64" spans="1:24" ht="12.75" customHeight="1">
      <c r="A64" s="2" t="s">
        <v>408</v>
      </c>
      <c r="B64" s="35"/>
      <c r="C64" s="178">
        <v>1199.9999999999998</v>
      </c>
      <c r="D64" s="80">
        <f t="shared" si="21"/>
        <v>4.7999999999999987E-3</v>
      </c>
      <c r="E64" s="178">
        <v>0</v>
      </c>
      <c r="F64" s="80">
        <f t="shared" si="22"/>
        <v>0</v>
      </c>
      <c r="G64" s="178">
        <v>0</v>
      </c>
      <c r="H64" s="80">
        <f t="shared" si="23"/>
        <v>0</v>
      </c>
      <c r="I64" s="178">
        <v>0</v>
      </c>
      <c r="J64" s="80">
        <f t="shared" si="24"/>
        <v>0</v>
      </c>
      <c r="K64" s="178">
        <v>0</v>
      </c>
      <c r="L64" s="80">
        <f t="shared" si="25"/>
        <v>0</v>
      </c>
      <c r="M64" s="178">
        <v>0</v>
      </c>
      <c r="N64" s="80">
        <f t="shared" si="26"/>
        <v>0</v>
      </c>
      <c r="O64" s="178">
        <v>0</v>
      </c>
      <c r="P64" s="80">
        <f t="shared" si="27"/>
        <v>0</v>
      </c>
      <c r="Q64" s="178">
        <v>0</v>
      </c>
      <c r="R64" s="80">
        <f t="shared" si="28"/>
        <v>0</v>
      </c>
      <c r="S64" s="178">
        <v>0</v>
      </c>
      <c r="T64" s="80">
        <f t="shared" si="29"/>
        <v>0</v>
      </c>
      <c r="U64" s="178">
        <v>0</v>
      </c>
      <c r="V64" s="80">
        <f t="shared" si="30"/>
        <v>0</v>
      </c>
      <c r="X64" s="192"/>
    </row>
    <row r="65" spans="1:24" ht="12.75" customHeight="1">
      <c r="A65" s="2" t="s">
        <v>409</v>
      </c>
      <c r="B65" s="35"/>
      <c r="C65" s="178">
        <v>125</v>
      </c>
      <c r="D65" s="80">
        <f t="shared" si="21"/>
        <v>5.0000000000000001E-4</v>
      </c>
      <c r="E65" s="178">
        <v>0</v>
      </c>
      <c r="F65" s="80">
        <f t="shared" si="22"/>
        <v>0</v>
      </c>
      <c r="G65" s="178">
        <v>0</v>
      </c>
      <c r="H65" s="80">
        <f t="shared" si="23"/>
        <v>0</v>
      </c>
      <c r="I65" s="178">
        <v>0</v>
      </c>
      <c r="J65" s="80">
        <f t="shared" si="24"/>
        <v>0</v>
      </c>
      <c r="K65" s="178">
        <v>0</v>
      </c>
      <c r="L65" s="80">
        <f t="shared" si="25"/>
        <v>0</v>
      </c>
      <c r="M65" s="178">
        <v>0</v>
      </c>
      <c r="N65" s="80">
        <f t="shared" si="26"/>
        <v>0</v>
      </c>
      <c r="O65" s="178">
        <v>0</v>
      </c>
      <c r="P65" s="80">
        <f t="shared" si="27"/>
        <v>0</v>
      </c>
      <c r="Q65" s="178">
        <v>0</v>
      </c>
      <c r="R65" s="80">
        <f t="shared" si="28"/>
        <v>0</v>
      </c>
      <c r="S65" s="178">
        <v>0</v>
      </c>
      <c r="T65" s="80">
        <f t="shared" si="29"/>
        <v>0</v>
      </c>
      <c r="U65" s="178">
        <v>0</v>
      </c>
      <c r="V65" s="80">
        <f t="shared" si="30"/>
        <v>0</v>
      </c>
      <c r="X65" s="192"/>
    </row>
    <row r="66" spans="1:24" ht="12.75" customHeight="1">
      <c r="A66" s="2" t="s">
        <v>410</v>
      </c>
      <c r="B66" s="35"/>
      <c r="C66" s="178">
        <v>700</v>
      </c>
      <c r="D66" s="80">
        <f t="shared" si="21"/>
        <v>2.8E-3</v>
      </c>
      <c r="E66" s="178">
        <v>0</v>
      </c>
      <c r="F66" s="80">
        <f t="shared" si="22"/>
        <v>0</v>
      </c>
      <c r="G66" s="178">
        <v>0</v>
      </c>
      <c r="H66" s="80">
        <f t="shared" si="23"/>
        <v>0</v>
      </c>
      <c r="I66" s="178">
        <v>0</v>
      </c>
      <c r="J66" s="80">
        <f t="shared" si="24"/>
        <v>0</v>
      </c>
      <c r="K66" s="178">
        <v>0</v>
      </c>
      <c r="L66" s="80">
        <f t="shared" si="25"/>
        <v>0</v>
      </c>
      <c r="M66" s="178">
        <v>0</v>
      </c>
      <c r="N66" s="80">
        <f t="shared" si="26"/>
        <v>0</v>
      </c>
      <c r="O66" s="178">
        <v>0</v>
      </c>
      <c r="P66" s="80">
        <f t="shared" si="27"/>
        <v>0</v>
      </c>
      <c r="Q66" s="178">
        <v>0</v>
      </c>
      <c r="R66" s="80">
        <f t="shared" si="28"/>
        <v>0</v>
      </c>
      <c r="S66" s="178">
        <v>0</v>
      </c>
      <c r="T66" s="80">
        <f t="shared" si="29"/>
        <v>0</v>
      </c>
      <c r="U66" s="178">
        <v>0</v>
      </c>
      <c r="V66" s="80">
        <f t="shared" si="30"/>
        <v>0</v>
      </c>
      <c r="X66" s="192"/>
    </row>
    <row r="67" spans="1:24" ht="12.75" customHeight="1">
      <c r="A67" s="2" t="s">
        <v>411</v>
      </c>
      <c r="B67" s="35"/>
      <c r="C67" s="178">
        <v>3749.9999999999995</v>
      </c>
      <c r="D67" s="80">
        <f t="shared" si="21"/>
        <v>1.4999999999999998E-2</v>
      </c>
      <c r="E67" s="178">
        <v>0</v>
      </c>
      <c r="F67" s="80">
        <f t="shared" si="22"/>
        <v>0</v>
      </c>
      <c r="G67" s="178">
        <v>0</v>
      </c>
      <c r="H67" s="80">
        <f t="shared" si="23"/>
        <v>0</v>
      </c>
      <c r="I67" s="178">
        <v>0</v>
      </c>
      <c r="J67" s="80">
        <f t="shared" si="24"/>
        <v>0</v>
      </c>
      <c r="K67" s="178">
        <v>0</v>
      </c>
      <c r="L67" s="80">
        <f t="shared" si="25"/>
        <v>0</v>
      </c>
      <c r="M67" s="178">
        <v>0</v>
      </c>
      <c r="N67" s="80">
        <f t="shared" si="26"/>
        <v>0</v>
      </c>
      <c r="O67" s="178">
        <v>0</v>
      </c>
      <c r="P67" s="80">
        <f t="shared" si="27"/>
        <v>0</v>
      </c>
      <c r="Q67" s="178">
        <v>0</v>
      </c>
      <c r="R67" s="80">
        <f t="shared" si="28"/>
        <v>0</v>
      </c>
      <c r="S67" s="178">
        <v>0</v>
      </c>
      <c r="T67" s="80">
        <f t="shared" si="29"/>
        <v>0</v>
      </c>
      <c r="U67" s="178">
        <v>0</v>
      </c>
      <c r="V67" s="80">
        <f t="shared" si="30"/>
        <v>0</v>
      </c>
      <c r="X67" s="192"/>
    </row>
    <row r="68" spans="1:24" ht="12.75" customHeight="1">
      <c r="A68" s="2" t="s">
        <v>412</v>
      </c>
      <c r="B68" s="35"/>
      <c r="C68" s="178">
        <v>424.99999999999994</v>
      </c>
      <c r="D68" s="80">
        <f t="shared" si="21"/>
        <v>1.6999999999999997E-3</v>
      </c>
      <c r="E68" s="178">
        <v>0</v>
      </c>
      <c r="F68" s="80">
        <f t="shared" si="22"/>
        <v>0</v>
      </c>
      <c r="G68" s="178">
        <v>0</v>
      </c>
      <c r="H68" s="80">
        <f t="shared" si="23"/>
        <v>0</v>
      </c>
      <c r="I68" s="178">
        <v>0</v>
      </c>
      <c r="J68" s="80">
        <f t="shared" si="24"/>
        <v>0</v>
      </c>
      <c r="K68" s="178">
        <v>0</v>
      </c>
      <c r="L68" s="80">
        <f t="shared" si="25"/>
        <v>0</v>
      </c>
      <c r="M68" s="178">
        <v>0</v>
      </c>
      <c r="N68" s="80">
        <f t="shared" si="26"/>
        <v>0</v>
      </c>
      <c r="O68" s="178">
        <v>0</v>
      </c>
      <c r="P68" s="80">
        <f t="shared" si="27"/>
        <v>0</v>
      </c>
      <c r="Q68" s="178">
        <v>0</v>
      </c>
      <c r="R68" s="80">
        <f t="shared" si="28"/>
        <v>0</v>
      </c>
      <c r="S68" s="178">
        <v>0</v>
      </c>
      <c r="T68" s="80">
        <f t="shared" si="29"/>
        <v>0</v>
      </c>
      <c r="U68" s="178">
        <v>0</v>
      </c>
      <c r="V68" s="80">
        <f t="shared" si="30"/>
        <v>0</v>
      </c>
      <c r="X68" s="192"/>
    </row>
    <row r="69" spans="1:24" ht="12.75" customHeight="1">
      <c r="A69" s="2" t="s">
        <v>413</v>
      </c>
      <c r="B69" s="35"/>
      <c r="C69" s="178">
        <v>0</v>
      </c>
      <c r="D69" s="80">
        <f t="shared" si="21"/>
        <v>0</v>
      </c>
      <c r="E69" s="178">
        <v>0</v>
      </c>
      <c r="F69" s="80">
        <f t="shared" si="22"/>
        <v>0</v>
      </c>
      <c r="G69" s="178">
        <v>0</v>
      </c>
      <c r="H69" s="80">
        <f t="shared" si="23"/>
        <v>0</v>
      </c>
      <c r="I69" s="178">
        <v>0</v>
      </c>
      <c r="J69" s="80">
        <f t="shared" si="24"/>
        <v>0</v>
      </c>
      <c r="K69" s="178">
        <v>0</v>
      </c>
      <c r="L69" s="80">
        <f t="shared" si="25"/>
        <v>0</v>
      </c>
      <c r="M69" s="178">
        <v>0</v>
      </c>
      <c r="N69" s="80">
        <f t="shared" si="26"/>
        <v>0</v>
      </c>
      <c r="O69" s="178">
        <v>0</v>
      </c>
      <c r="P69" s="80">
        <f t="shared" si="27"/>
        <v>0</v>
      </c>
      <c r="Q69" s="178">
        <v>0</v>
      </c>
      <c r="R69" s="80">
        <f t="shared" si="28"/>
        <v>0</v>
      </c>
      <c r="S69" s="178">
        <v>0</v>
      </c>
      <c r="T69" s="80">
        <f t="shared" si="29"/>
        <v>0</v>
      </c>
      <c r="U69" s="178">
        <v>0</v>
      </c>
      <c r="V69" s="80">
        <f t="shared" si="30"/>
        <v>0</v>
      </c>
      <c r="X69" s="192"/>
    </row>
    <row r="70" spans="1:24" ht="12.75" customHeight="1">
      <c r="A70" s="2" t="s">
        <v>414</v>
      </c>
      <c r="B70" s="35"/>
      <c r="C70" s="178">
        <v>25.000000000000004</v>
      </c>
      <c r="D70" s="80">
        <f t="shared" si="21"/>
        <v>1.0000000000000002E-4</v>
      </c>
      <c r="E70" s="178">
        <v>0</v>
      </c>
      <c r="F70" s="80">
        <f t="shared" si="22"/>
        <v>0</v>
      </c>
      <c r="G70" s="178">
        <v>0</v>
      </c>
      <c r="H70" s="80">
        <f t="shared" si="23"/>
        <v>0</v>
      </c>
      <c r="I70" s="178">
        <v>0</v>
      </c>
      <c r="J70" s="80">
        <f t="shared" si="24"/>
        <v>0</v>
      </c>
      <c r="K70" s="178">
        <v>0</v>
      </c>
      <c r="L70" s="80">
        <f t="shared" si="25"/>
        <v>0</v>
      </c>
      <c r="M70" s="178">
        <v>0</v>
      </c>
      <c r="N70" s="80">
        <f t="shared" si="26"/>
        <v>0</v>
      </c>
      <c r="O70" s="178">
        <v>0</v>
      </c>
      <c r="P70" s="80">
        <f t="shared" si="27"/>
        <v>0</v>
      </c>
      <c r="Q70" s="178">
        <v>0</v>
      </c>
      <c r="R70" s="80">
        <f t="shared" si="28"/>
        <v>0</v>
      </c>
      <c r="S70" s="178">
        <v>0</v>
      </c>
      <c r="T70" s="80">
        <f t="shared" si="29"/>
        <v>0</v>
      </c>
      <c r="U70" s="178">
        <v>0</v>
      </c>
      <c r="V70" s="80">
        <f t="shared" si="30"/>
        <v>0</v>
      </c>
      <c r="X70" s="192"/>
    </row>
    <row r="71" spans="1:24" ht="12.75" customHeight="1">
      <c r="A71" s="2" t="s">
        <v>415</v>
      </c>
      <c r="B71" s="35"/>
      <c r="C71" s="178">
        <v>0</v>
      </c>
      <c r="D71" s="80">
        <f t="shared" si="21"/>
        <v>0</v>
      </c>
      <c r="E71" s="178">
        <v>0</v>
      </c>
      <c r="F71" s="80">
        <f t="shared" si="22"/>
        <v>0</v>
      </c>
      <c r="G71" s="178">
        <v>0</v>
      </c>
      <c r="H71" s="80">
        <f t="shared" si="23"/>
        <v>0</v>
      </c>
      <c r="I71" s="178">
        <v>0</v>
      </c>
      <c r="J71" s="80">
        <f t="shared" si="24"/>
        <v>0</v>
      </c>
      <c r="K71" s="178">
        <v>0</v>
      </c>
      <c r="L71" s="80">
        <f t="shared" si="25"/>
        <v>0</v>
      </c>
      <c r="M71" s="178">
        <v>0</v>
      </c>
      <c r="N71" s="80">
        <f t="shared" si="26"/>
        <v>0</v>
      </c>
      <c r="O71" s="178">
        <v>0</v>
      </c>
      <c r="P71" s="80">
        <f t="shared" si="27"/>
        <v>0</v>
      </c>
      <c r="Q71" s="178">
        <v>0</v>
      </c>
      <c r="R71" s="80">
        <f t="shared" si="28"/>
        <v>0</v>
      </c>
      <c r="S71" s="178">
        <v>0</v>
      </c>
      <c r="T71" s="80">
        <f t="shared" si="29"/>
        <v>0</v>
      </c>
      <c r="U71" s="178">
        <v>0</v>
      </c>
      <c r="V71" s="80">
        <f t="shared" si="30"/>
        <v>0</v>
      </c>
      <c r="X71" s="192"/>
    </row>
    <row r="72" spans="1:24" ht="12.75" customHeight="1">
      <c r="A72" s="2" t="s">
        <v>416</v>
      </c>
      <c r="B72" s="35"/>
      <c r="C72" s="178">
        <v>0</v>
      </c>
      <c r="D72" s="80">
        <f t="shared" si="21"/>
        <v>0</v>
      </c>
      <c r="E72" s="178">
        <v>0</v>
      </c>
      <c r="F72" s="80">
        <f t="shared" si="22"/>
        <v>0</v>
      </c>
      <c r="G72" s="178">
        <v>0</v>
      </c>
      <c r="H72" s="80">
        <f t="shared" si="23"/>
        <v>0</v>
      </c>
      <c r="I72" s="178">
        <v>0</v>
      </c>
      <c r="J72" s="80">
        <f t="shared" si="24"/>
        <v>0</v>
      </c>
      <c r="K72" s="178">
        <v>0</v>
      </c>
      <c r="L72" s="80">
        <f t="shared" si="25"/>
        <v>0</v>
      </c>
      <c r="M72" s="178">
        <v>0</v>
      </c>
      <c r="N72" s="80">
        <f t="shared" si="26"/>
        <v>0</v>
      </c>
      <c r="O72" s="178">
        <v>0</v>
      </c>
      <c r="P72" s="80">
        <f t="shared" si="27"/>
        <v>0</v>
      </c>
      <c r="Q72" s="178">
        <v>0</v>
      </c>
      <c r="R72" s="80">
        <f t="shared" si="28"/>
        <v>0</v>
      </c>
      <c r="S72" s="178">
        <v>0</v>
      </c>
      <c r="T72" s="80">
        <f t="shared" si="29"/>
        <v>0</v>
      </c>
      <c r="U72" s="178">
        <v>0</v>
      </c>
      <c r="V72" s="80">
        <f t="shared" si="30"/>
        <v>0</v>
      </c>
      <c r="X72" s="192"/>
    </row>
    <row r="73" spans="1:24" ht="12.75" customHeight="1">
      <c r="A73" s="2" t="s">
        <v>417</v>
      </c>
      <c r="B73" s="35"/>
      <c r="C73" s="178">
        <v>0</v>
      </c>
      <c r="D73" s="80">
        <f t="shared" si="21"/>
        <v>0</v>
      </c>
      <c r="E73" s="178">
        <v>0</v>
      </c>
      <c r="F73" s="80">
        <f t="shared" si="22"/>
        <v>0</v>
      </c>
      <c r="G73" s="178">
        <v>0</v>
      </c>
      <c r="H73" s="80">
        <f t="shared" si="23"/>
        <v>0</v>
      </c>
      <c r="I73" s="178">
        <v>0</v>
      </c>
      <c r="J73" s="80">
        <f t="shared" si="24"/>
        <v>0</v>
      </c>
      <c r="K73" s="178">
        <v>0</v>
      </c>
      <c r="L73" s="80">
        <f t="shared" si="25"/>
        <v>0</v>
      </c>
      <c r="M73" s="178">
        <v>0</v>
      </c>
      <c r="N73" s="80">
        <f t="shared" si="26"/>
        <v>0</v>
      </c>
      <c r="O73" s="178">
        <v>0</v>
      </c>
      <c r="P73" s="80">
        <f t="shared" si="27"/>
        <v>0</v>
      </c>
      <c r="Q73" s="178">
        <v>0</v>
      </c>
      <c r="R73" s="80">
        <f t="shared" si="28"/>
        <v>0</v>
      </c>
      <c r="S73" s="178">
        <v>0</v>
      </c>
      <c r="T73" s="80">
        <f t="shared" si="29"/>
        <v>0</v>
      </c>
      <c r="U73" s="178">
        <v>0</v>
      </c>
      <c r="V73" s="80">
        <f t="shared" si="30"/>
        <v>0</v>
      </c>
      <c r="X73" s="192"/>
    </row>
    <row r="74" spans="1:24" ht="12.75" customHeight="1">
      <c r="A74" s="2" t="s">
        <v>418</v>
      </c>
      <c r="B74" s="35"/>
      <c r="C74" s="178">
        <v>0</v>
      </c>
      <c r="D74" s="80">
        <f t="shared" si="21"/>
        <v>0</v>
      </c>
      <c r="E74" s="178">
        <v>0</v>
      </c>
      <c r="F74" s="80">
        <f t="shared" si="22"/>
        <v>0</v>
      </c>
      <c r="G74" s="178">
        <v>0</v>
      </c>
      <c r="H74" s="80">
        <f t="shared" si="23"/>
        <v>0</v>
      </c>
      <c r="I74" s="178">
        <v>0</v>
      </c>
      <c r="J74" s="80">
        <f t="shared" si="24"/>
        <v>0</v>
      </c>
      <c r="K74" s="178">
        <v>0</v>
      </c>
      <c r="L74" s="80">
        <f t="shared" si="25"/>
        <v>0</v>
      </c>
      <c r="M74" s="178">
        <v>0</v>
      </c>
      <c r="N74" s="80">
        <f t="shared" si="26"/>
        <v>0</v>
      </c>
      <c r="O74" s="178">
        <v>0</v>
      </c>
      <c r="P74" s="80">
        <f t="shared" si="27"/>
        <v>0</v>
      </c>
      <c r="Q74" s="178">
        <v>0</v>
      </c>
      <c r="R74" s="80">
        <f t="shared" si="28"/>
        <v>0</v>
      </c>
      <c r="S74" s="178">
        <v>0</v>
      </c>
      <c r="T74" s="80">
        <f t="shared" si="29"/>
        <v>0</v>
      </c>
      <c r="U74" s="178">
        <v>0</v>
      </c>
      <c r="V74" s="80">
        <f t="shared" si="30"/>
        <v>0</v>
      </c>
      <c r="X74" s="192"/>
    </row>
    <row r="75" spans="1:24" ht="12.75" customHeight="1">
      <c r="A75" s="2" t="s">
        <v>419</v>
      </c>
      <c r="B75" s="35"/>
      <c r="C75" s="178">
        <v>1125</v>
      </c>
      <c r="D75" s="80">
        <f t="shared" si="21"/>
        <v>4.4999999999999997E-3</v>
      </c>
      <c r="E75" s="178">
        <v>0</v>
      </c>
      <c r="F75" s="80">
        <f t="shared" si="22"/>
        <v>0</v>
      </c>
      <c r="G75" s="178">
        <v>0</v>
      </c>
      <c r="H75" s="80">
        <f t="shared" si="23"/>
        <v>0</v>
      </c>
      <c r="I75" s="178">
        <v>0</v>
      </c>
      <c r="J75" s="80">
        <f t="shared" si="24"/>
        <v>0</v>
      </c>
      <c r="K75" s="178">
        <v>0</v>
      </c>
      <c r="L75" s="80">
        <f t="shared" si="25"/>
        <v>0</v>
      </c>
      <c r="M75" s="178">
        <v>0</v>
      </c>
      <c r="N75" s="80">
        <f t="shared" si="26"/>
        <v>0</v>
      </c>
      <c r="O75" s="178">
        <v>0</v>
      </c>
      <c r="P75" s="80">
        <f t="shared" si="27"/>
        <v>0</v>
      </c>
      <c r="Q75" s="178">
        <v>0</v>
      </c>
      <c r="R75" s="80">
        <f t="shared" si="28"/>
        <v>0</v>
      </c>
      <c r="S75" s="178">
        <v>0</v>
      </c>
      <c r="T75" s="80">
        <f t="shared" si="29"/>
        <v>0</v>
      </c>
      <c r="U75" s="178">
        <v>0</v>
      </c>
      <c r="V75" s="80">
        <f t="shared" si="30"/>
        <v>0</v>
      </c>
      <c r="X75" s="192"/>
    </row>
    <row r="76" spans="1:24" ht="12.75" customHeight="1">
      <c r="A76" s="2" t="s">
        <v>420</v>
      </c>
      <c r="B76" s="35"/>
      <c r="C76" s="178">
        <v>100.00000000000001</v>
      </c>
      <c r="D76" s="80">
        <f t="shared" si="21"/>
        <v>4.0000000000000007E-4</v>
      </c>
      <c r="E76" s="178">
        <v>0</v>
      </c>
      <c r="F76" s="80">
        <f t="shared" si="22"/>
        <v>0</v>
      </c>
      <c r="G76" s="178">
        <v>0</v>
      </c>
      <c r="H76" s="80">
        <f t="shared" si="23"/>
        <v>0</v>
      </c>
      <c r="I76" s="178">
        <v>0</v>
      </c>
      <c r="J76" s="80">
        <f t="shared" si="24"/>
        <v>0</v>
      </c>
      <c r="K76" s="178">
        <v>0</v>
      </c>
      <c r="L76" s="80">
        <f t="shared" si="25"/>
        <v>0</v>
      </c>
      <c r="M76" s="178">
        <v>0</v>
      </c>
      <c r="N76" s="80">
        <f t="shared" si="26"/>
        <v>0</v>
      </c>
      <c r="O76" s="178">
        <v>0</v>
      </c>
      <c r="P76" s="80">
        <f t="shared" si="27"/>
        <v>0</v>
      </c>
      <c r="Q76" s="178">
        <v>0</v>
      </c>
      <c r="R76" s="80">
        <f t="shared" si="28"/>
        <v>0</v>
      </c>
      <c r="S76" s="178">
        <v>0</v>
      </c>
      <c r="T76" s="80">
        <f t="shared" si="29"/>
        <v>0</v>
      </c>
      <c r="U76" s="178">
        <v>0</v>
      </c>
      <c r="V76" s="80">
        <f t="shared" si="30"/>
        <v>0</v>
      </c>
      <c r="X76" s="192"/>
    </row>
    <row r="77" spans="1:24" ht="12.75" customHeight="1">
      <c r="A77" s="2" t="s">
        <v>421</v>
      </c>
      <c r="B77" s="35"/>
      <c r="C77" s="178">
        <v>325</v>
      </c>
      <c r="D77" s="80">
        <f t="shared" si="21"/>
        <v>1.2999999999999999E-3</v>
      </c>
      <c r="E77" s="178">
        <v>0</v>
      </c>
      <c r="F77" s="80">
        <f t="shared" si="22"/>
        <v>0</v>
      </c>
      <c r="G77" s="178">
        <v>0</v>
      </c>
      <c r="H77" s="80">
        <f t="shared" si="23"/>
        <v>0</v>
      </c>
      <c r="I77" s="178">
        <v>0</v>
      </c>
      <c r="J77" s="80">
        <f t="shared" si="24"/>
        <v>0</v>
      </c>
      <c r="K77" s="178">
        <v>0</v>
      </c>
      <c r="L77" s="80">
        <f t="shared" si="25"/>
        <v>0</v>
      </c>
      <c r="M77" s="178">
        <v>0</v>
      </c>
      <c r="N77" s="80">
        <f t="shared" si="26"/>
        <v>0</v>
      </c>
      <c r="O77" s="178">
        <v>0</v>
      </c>
      <c r="P77" s="80">
        <f t="shared" si="27"/>
        <v>0</v>
      </c>
      <c r="Q77" s="178">
        <v>0</v>
      </c>
      <c r="R77" s="80">
        <f t="shared" si="28"/>
        <v>0</v>
      </c>
      <c r="S77" s="178">
        <v>0</v>
      </c>
      <c r="T77" s="80">
        <f t="shared" si="29"/>
        <v>0</v>
      </c>
      <c r="U77" s="178">
        <v>0</v>
      </c>
      <c r="V77" s="80">
        <f t="shared" si="30"/>
        <v>0</v>
      </c>
      <c r="X77" s="192"/>
    </row>
    <row r="78" spans="1:24" ht="12.75" customHeight="1">
      <c r="A78" s="2" t="s">
        <v>422</v>
      </c>
      <c r="B78" s="35"/>
      <c r="C78" s="178">
        <v>5500</v>
      </c>
      <c r="D78" s="80">
        <f t="shared" si="21"/>
        <v>2.1999999999999999E-2</v>
      </c>
      <c r="E78" s="178">
        <v>0</v>
      </c>
      <c r="F78" s="80">
        <f t="shared" si="22"/>
        <v>0</v>
      </c>
      <c r="G78" s="178">
        <v>0</v>
      </c>
      <c r="H78" s="80">
        <f t="shared" si="23"/>
        <v>0</v>
      </c>
      <c r="I78" s="178">
        <v>0</v>
      </c>
      <c r="J78" s="80">
        <f t="shared" si="24"/>
        <v>0</v>
      </c>
      <c r="K78" s="178">
        <v>0</v>
      </c>
      <c r="L78" s="80">
        <f t="shared" si="25"/>
        <v>0</v>
      </c>
      <c r="M78" s="178">
        <v>0</v>
      </c>
      <c r="N78" s="80">
        <f t="shared" si="26"/>
        <v>0</v>
      </c>
      <c r="O78" s="178">
        <v>0</v>
      </c>
      <c r="P78" s="80">
        <f t="shared" si="27"/>
        <v>0</v>
      </c>
      <c r="Q78" s="178">
        <v>0</v>
      </c>
      <c r="R78" s="80">
        <f t="shared" si="28"/>
        <v>0</v>
      </c>
      <c r="S78" s="178">
        <v>0</v>
      </c>
      <c r="T78" s="80">
        <f t="shared" si="29"/>
        <v>0</v>
      </c>
      <c r="U78" s="178">
        <v>0</v>
      </c>
      <c r="V78" s="80">
        <f t="shared" si="30"/>
        <v>0</v>
      </c>
      <c r="X78" s="192"/>
    </row>
    <row r="79" spans="1:24" ht="12.75" customHeight="1">
      <c r="A79" s="2" t="s">
        <v>423</v>
      </c>
      <c r="B79" s="35"/>
      <c r="C79" s="178">
        <v>0</v>
      </c>
      <c r="D79" s="80">
        <f t="shared" si="21"/>
        <v>0</v>
      </c>
      <c r="E79" s="178">
        <v>0</v>
      </c>
      <c r="F79" s="80">
        <f t="shared" si="22"/>
        <v>0</v>
      </c>
      <c r="G79" s="178">
        <v>0</v>
      </c>
      <c r="H79" s="80">
        <f t="shared" si="23"/>
        <v>0</v>
      </c>
      <c r="I79" s="178">
        <v>0</v>
      </c>
      <c r="J79" s="80">
        <f t="shared" si="24"/>
        <v>0</v>
      </c>
      <c r="K79" s="178">
        <v>0</v>
      </c>
      <c r="L79" s="80">
        <f t="shared" si="25"/>
        <v>0</v>
      </c>
      <c r="M79" s="178">
        <v>0</v>
      </c>
      <c r="N79" s="80">
        <f t="shared" si="26"/>
        <v>0</v>
      </c>
      <c r="O79" s="178">
        <v>0</v>
      </c>
      <c r="P79" s="80">
        <f t="shared" si="27"/>
        <v>0</v>
      </c>
      <c r="Q79" s="178">
        <v>0</v>
      </c>
      <c r="R79" s="80">
        <f t="shared" si="28"/>
        <v>0</v>
      </c>
      <c r="S79" s="178">
        <v>0</v>
      </c>
      <c r="T79" s="80">
        <f t="shared" si="29"/>
        <v>0</v>
      </c>
      <c r="U79" s="178">
        <v>0</v>
      </c>
      <c r="V79" s="80">
        <f t="shared" si="30"/>
        <v>0</v>
      </c>
      <c r="X79" s="192"/>
    </row>
    <row r="80" spans="1:24" ht="12.75" customHeight="1">
      <c r="A80" s="2" t="s">
        <v>424</v>
      </c>
      <c r="B80" s="35"/>
      <c r="C80" s="178">
        <v>0</v>
      </c>
      <c r="D80" s="80">
        <f t="shared" si="21"/>
        <v>0</v>
      </c>
      <c r="E80" s="178">
        <v>0</v>
      </c>
      <c r="F80" s="80">
        <f t="shared" si="22"/>
        <v>0</v>
      </c>
      <c r="G80" s="178">
        <v>0</v>
      </c>
      <c r="H80" s="80">
        <f t="shared" si="23"/>
        <v>0</v>
      </c>
      <c r="I80" s="178">
        <v>0</v>
      </c>
      <c r="J80" s="80">
        <f t="shared" si="24"/>
        <v>0</v>
      </c>
      <c r="K80" s="178">
        <v>0</v>
      </c>
      <c r="L80" s="80">
        <f t="shared" si="25"/>
        <v>0</v>
      </c>
      <c r="M80" s="178">
        <v>0</v>
      </c>
      <c r="N80" s="80">
        <f t="shared" si="26"/>
        <v>0</v>
      </c>
      <c r="O80" s="178">
        <v>0</v>
      </c>
      <c r="P80" s="80">
        <f t="shared" si="27"/>
        <v>0</v>
      </c>
      <c r="Q80" s="178">
        <v>0</v>
      </c>
      <c r="R80" s="80">
        <f t="shared" si="28"/>
        <v>0</v>
      </c>
      <c r="S80" s="178">
        <v>0</v>
      </c>
      <c r="T80" s="80">
        <f t="shared" si="29"/>
        <v>0</v>
      </c>
      <c r="U80" s="178">
        <v>0</v>
      </c>
      <c r="V80" s="80">
        <f t="shared" si="30"/>
        <v>0</v>
      </c>
      <c r="X80" s="192"/>
    </row>
    <row r="81" spans="1:24" ht="12.75" customHeight="1">
      <c r="A81" s="2" t="s">
        <v>425</v>
      </c>
      <c r="B81" s="35"/>
      <c r="C81" s="178">
        <v>0</v>
      </c>
      <c r="D81" s="80">
        <f t="shared" si="21"/>
        <v>0</v>
      </c>
      <c r="E81" s="178">
        <v>0</v>
      </c>
      <c r="F81" s="80">
        <f t="shared" si="22"/>
        <v>0</v>
      </c>
      <c r="G81" s="178">
        <v>0</v>
      </c>
      <c r="H81" s="80">
        <f t="shared" si="23"/>
        <v>0</v>
      </c>
      <c r="I81" s="178">
        <v>0</v>
      </c>
      <c r="J81" s="80">
        <f t="shared" si="24"/>
        <v>0</v>
      </c>
      <c r="K81" s="178">
        <v>0</v>
      </c>
      <c r="L81" s="80">
        <f t="shared" si="25"/>
        <v>0</v>
      </c>
      <c r="M81" s="178">
        <v>0</v>
      </c>
      <c r="N81" s="80">
        <f t="shared" si="26"/>
        <v>0</v>
      </c>
      <c r="O81" s="178">
        <v>0</v>
      </c>
      <c r="P81" s="80">
        <f t="shared" si="27"/>
        <v>0</v>
      </c>
      <c r="Q81" s="178">
        <v>0</v>
      </c>
      <c r="R81" s="80">
        <f t="shared" si="28"/>
        <v>0</v>
      </c>
      <c r="S81" s="178">
        <v>0</v>
      </c>
      <c r="T81" s="80">
        <f t="shared" si="29"/>
        <v>0</v>
      </c>
      <c r="U81" s="178">
        <v>0</v>
      </c>
      <c r="V81" s="80">
        <f t="shared" si="30"/>
        <v>0</v>
      </c>
      <c r="X81" s="192"/>
    </row>
    <row r="82" spans="1:24" ht="12.75" customHeight="1">
      <c r="A82" s="2" t="s">
        <v>426</v>
      </c>
      <c r="B82" s="35"/>
      <c r="C82" s="178">
        <v>0</v>
      </c>
      <c r="D82" s="80">
        <f t="shared" si="21"/>
        <v>0</v>
      </c>
      <c r="E82" s="178">
        <v>0</v>
      </c>
      <c r="F82" s="80">
        <f t="shared" si="22"/>
        <v>0</v>
      </c>
      <c r="G82" s="178">
        <v>0</v>
      </c>
      <c r="H82" s="80">
        <f t="shared" si="23"/>
        <v>0</v>
      </c>
      <c r="I82" s="178">
        <v>0</v>
      </c>
      <c r="J82" s="80">
        <f t="shared" si="24"/>
        <v>0</v>
      </c>
      <c r="K82" s="178">
        <v>0</v>
      </c>
      <c r="L82" s="80">
        <f t="shared" si="25"/>
        <v>0</v>
      </c>
      <c r="M82" s="178">
        <v>0</v>
      </c>
      <c r="N82" s="80">
        <f t="shared" si="26"/>
        <v>0</v>
      </c>
      <c r="O82" s="178">
        <v>0</v>
      </c>
      <c r="P82" s="80">
        <f t="shared" si="27"/>
        <v>0</v>
      </c>
      <c r="Q82" s="178">
        <v>0</v>
      </c>
      <c r="R82" s="80">
        <f t="shared" si="28"/>
        <v>0</v>
      </c>
      <c r="S82" s="178">
        <v>0</v>
      </c>
      <c r="T82" s="80">
        <f t="shared" si="29"/>
        <v>0</v>
      </c>
      <c r="U82" s="178">
        <v>0</v>
      </c>
      <c r="V82" s="80">
        <f t="shared" si="30"/>
        <v>0</v>
      </c>
      <c r="X82" s="192"/>
    </row>
    <row r="83" spans="1:24" ht="12.75" customHeight="1">
      <c r="A83" s="2" t="s">
        <v>427</v>
      </c>
      <c r="B83" s="35"/>
      <c r="C83" s="178">
        <v>0</v>
      </c>
      <c r="D83" s="80">
        <f t="shared" si="21"/>
        <v>0</v>
      </c>
      <c r="E83" s="178">
        <v>0</v>
      </c>
      <c r="F83" s="80">
        <f t="shared" si="22"/>
        <v>0</v>
      </c>
      <c r="G83" s="178">
        <v>0</v>
      </c>
      <c r="H83" s="80">
        <f t="shared" si="23"/>
        <v>0</v>
      </c>
      <c r="I83" s="178">
        <v>0</v>
      </c>
      <c r="J83" s="80">
        <f t="shared" si="24"/>
        <v>0</v>
      </c>
      <c r="K83" s="178">
        <v>0</v>
      </c>
      <c r="L83" s="80">
        <f t="shared" si="25"/>
        <v>0</v>
      </c>
      <c r="M83" s="178">
        <v>0</v>
      </c>
      <c r="N83" s="80">
        <f t="shared" si="26"/>
        <v>0</v>
      </c>
      <c r="O83" s="178">
        <v>0</v>
      </c>
      <c r="P83" s="80">
        <f t="shared" si="27"/>
        <v>0</v>
      </c>
      <c r="Q83" s="178">
        <v>0</v>
      </c>
      <c r="R83" s="80">
        <f t="shared" si="28"/>
        <v>0</v>
      </c>
      <c r="S83" s="178">
        <v>0</v>
      </c>
      <c r="T83" s="80">
        <f t="shared" si="29"/>
        <v>0</v>
      </c>
      <c r="U83" s="178">
        <v>0</v>
      </c>
      <c r="V83" s="80">
        <f t="shared" si="30"/>
        <v>0</v>
      </c>
      <c r="X83" s="192"/>
    </row>
    <row r="84" spans="1:24" ht="12.75" customHeight="1">
      <c r="A84" s="2" t="s">
        <v>428</v>
      </c>
      <c r="B84" s="35"/>
      <c r="C84" s="178">
        <v>0</v>
      </c>
      <c r="D84" s="80">
        <f t="shared" si="21"/>
        <v>0</v>
      </c>
      <c r="E84" s="178">
        <v>0</v>
      </c>
      <c r="F84" s="80">
        <f t="shared" si="22"/>
        <v>0</v>
      </c>
      <c r="G84" s="178">
        <v>0</v>
      </c>
      <c r="H84" s="80">
        <f t="shared" si="23"/>
        <v>0</v>
      </c>
      <c r="I84" s="178">
        <v>0</v>
      </c>
      <c r="J84" s="80">
        <f t="shared" si="24"/>
        <v>0</v>
      </c>
      <c r="K84" s="178">
        <v>0</v>
      </c>
      <c r="L84" s="80">
        <f t="shared" si="25"/>
        <v>0</v>
      </c>
      <c r="M84" s="178">
        <v>0</v>
      </c>
      <c r="N84" s="80">
        <f t="shared" si="26"/>
        <v>0</v>
      </c>
      <c r="O84" s="178">
        <v>0</v>
      </c>
      <c r="P84" s="80">
        <f t="shared" si="27"/>
        <v>0</v>
      </c>
      <c r="Q84" s="178">
        <v>0</v>
      </c>
      <c r="R84" s="80">
        <f t="shared" si="28"/>
        <v>0</v>
      </c>
      <c r="S84" s="178">
        <v>0</v>
      </c>
      <c r="T84" s="80">
        <f t="shared" si="29"/>
        <v>0</v>
      </c>
      <c r="U84" s="178">
        <v>0</v>
      </c>
      <c r="V84" s="80">
        <f t="shared" si="30"/>
        <v>0</v>
      </c>
      <c r="X84" s="192"/>
    </row>
    <row r="85" spans="1:24" ht="12.75" customHeight="1">
      <c r="A85" s="2" t="s">
        <v>429</v>
      </c>
      <c r="B85" s="35"/>
      <c r="C85" s="178">
        <v>0</v>
      </c>
      <c r="D85" s="80">
        <f t="shared" si="21"/>
        <v>0</v>
      </c>
      <c r="E85" s="178">
        <v>0</v>
      </c>
      <c r="F85" s="80">
        <f t="shared" si="22"/>
        <v>0</v>
      </c>
      <c r="G85" s="178">
        <v>0</v>
      </c>
      <c r="H85" s="80">
        <f t="shared" si="23"/>
        <v>0</v>
      </c>
      <c r="I85" s="178">
        <v>0</v>
      </c>
      <c r="J85" s="80">
        <f t="shared" si="24"/>
        <v>0</v>
      </c>
      <c r="K85" s="178">
        <v>0</v>
      </c>
      <c r="L85" s="80">
        <f t="shared" si="25"/>
        <v>0</v>
      </c>
      <c r="M85" s="178">
        <v>0</v>
      </c>
      <c r="N85" s="80">
        <f t="shared" si="26"/>
        <v>0</v>
      </c>
      <c r="O85" s="178">
        <v>0</v>
      </c>
      <c r="P85" s="80">
        <f t="shared" si="27"/>
        <v>0</v>
      </c>
      <c r="Q85" s="178">
        <v>0</v>
      </c>
      <c r="R85" s="80">
        <f t="shared" si="28"/>
        <v>0</v>
      </c>
      <c r="S85" s="178">
        <v>0</v>
      </c>
      <c r="T85" s="80">
        <f t="shared" si="29"/>
        <v>0</v>
      </c>
      <c r="U85" s="178">
        <v>0</v>
      </c>
      <c r="V85" s="80">
        <f t="shared" si="30"/>
        <v>0</v>
      </c>
      <c r="X85" s="192"/>
    </row>
    <row r="86" spans="1:24" ht="12.75" customHeight="1">
      <c r="A86" s="2" t="s">
        <v>430</v>
      </c>
      <c r="B86" s="35"/>
      <c r="C86" s="178">
        <v>1000</v>
      </c>
      <c r="D86" s="80">
        <f t="shared" si="21"/>
        <v>4.0000000000000001E-3</v>
      </c>
      <c r="E86" s="178">
        <v>0</v>
      </c>
      <c r="F86" s="80">
        <f t="shared" si="22"/>
        <v>0</v>
      </c>
      <c r="G86" s="178">
        <v>0</v>
      </c>
      <c r="H86" s="80">
        <f t="shared" si="23"/>
        <v>0</v>
      </c>
      <c r="I86" s="178">
        <v>0</v>
      </c>
      <c r="J86" s="80">
        <f t="shared" si="24"/>
        <v>0</v>
      </c>
      <c r="K86" s="178">
        <v>0</v>
      </c>
      <c r="L86" s="80">
        <f t="shared" si="25"/>
        <v>0</v>
      </c>
      <c r="M86" s="178">
        <v>0</v>
      </c>
      <c r="N86" s="80">
        <f t="shared" si="26"/>
        <v>0</v>
      </c>
      <c r="O86" s="178">
        <v>0</v>
      </c>
      <c r="P86" s="80">
        <f t="shared" si="27"/>
        <v>0</v>
      </c>
      <c r="Q86" s="178">
        <v>0</v>
      </c>
      <c r="R86" s="80">
        <f t="shared" si="28"/>
        <v>0</v>
      </c>
      <c r="S86" s="178">
        <v>0</v>
      </c>
      <c r="T86" s="80">
        <f t="shared" si="29"/>
        <v>0</v>
      </c>
      <c r="U86" s="178">
        <v>0</v>
      </c>
      <c r="V86" s="80">
        <f t="shared" si="30"/>
        <v>0</v>
      </c>
      <c r="X86" s="192"/>
    </row>
    <row r="87" spans="1:24" ht="12.75" customHeight="1">
      <c r="A87" s="2" t="s">
        <v>431</v>
      </c>
      <c r="B87" s="35"/>
      <c r="C87" s="178">
        <v>0</v>
      </c>
      <c r="D87" s="80">
        <f t="shared" si="21"/>
        <v>0</v>
      </c>
      <c r="E87" s="178">
        <v>0</v>
      </c>
      <c r="F87" s="80">
        <f t="shared" si="22"/>
        <v>0</v>
      </c>
      <c r="G87" s="178">
        <v>0</v>
      </c>
      <c r="H87" s="80">
        <f t="shared" si="23"/>
        <v>0</v>
      </c>
      <c r="I87" s="178">
        <v>0</v>
      </c>
      <c r="J87" s="80">
        <f t="shared" si="24"/>
        <v>0</v>
      </c>
      <c r="K87" s="178">
        <v>0</v>
      </c>
      <c r="L87" s="80">
        <f t="shared" si="25"/>
        <v>0</v>
      </c>
      <c r="M87" s="178">
        <v>0</v>
      </c>
      <c r="N87" s="80">
        <f t="shared" si="26"/>
        <v>0</v>
      </c>
      <c r="O87" s="178">
        <v>0</v>
      </c>
      <c r="P87" s="80">
        <f t="shared" si="27"/>
        <v>0</v>
      </c>
      <c r="Q87" s="178">
        <v>0</v>
      </c>
      <c r="R87" s="80">
        <f t="shared" si="28"/>
        <v>0</v>
      </c>
      <c r="S87" s="178">
        <v>0</v>
      </c>
      <c r="T87" s="80">
        <f t="shared" si="29"/>
        <v>0</v>
      </c>
      <c r="U87" s="178">
        <v>0</v>
      </c>
      <c r="V87" s="80">
        <f t="shared" si="30"/>
        <v>0</v>
      </c>
      <c r="X87" s="192"/>
    </row>
    <row r="88" spans="1:24" ht="12.75" customHeight="1">
      <c r="A88" s="2" t="s">
        <v>432</v>
      </c>
      <c r="B88" s="35"/>
      <c r="C88" s="178">
        <v>1275</v>
      </c>
      <c r="D88" s="80">
        <f t="shared" si="21"/>
        <v>5.1000000000000004E-3</v>
      </c>
      <c r="E88" s="178">
        <v>0</v>
      </c>
      <c r="F88" s="80">
        <f t="shared" si="22"/>
        <v>0</v>
      </c>
      <c r="G88" s="178">
        <v>0</v>
      </c>
      <c r="H88" s="80">
        <f t="shared" si="23"/>
        <v>0</v>
      </c>
      <c r="I88" s="178">
        <v>0</v>
      </c>
      <c r="J88" s="80">
        <f t="shared" si="24"/>
        <v>0</v>
      </c>
      <c r="K88" s="178">
        <v>0</v>
      </c>
      <c r="L88" s="80">
        <f t="shared" si="25"/>
        <v>0</v>
      </c>
      <c r="M88" s="178">
        <v>0</v>
      </c>
      <c r="N88" s="80">
        <f t="shared" si="26"/>
        <v>0</v>
      </c>
      <c r="O88" s="178">
        <v>0</v>
      </c>
      <c r="P88" s="80">
        <f t="shared" si="27"/>
        <v>0</v>
      </c>
      <c r="Q88" s="178">
        <v>0</v>
      </c>
      <c r="R88" s="80">
        <f t="shared" si="28"/>
        <v>0</v>
      </c>
      <c r="S88" s="178">
        <v>0</v>
      </c>
      <c r="T88" s="80">
        <f t="shared" si="29"/>
        <v>0</v>
      </c>
      <c r="U88" s="178">
        <v>0</v>
      </c>
      <c r="V88" s="80">
        <f t="shared" si="30"/>
        <v>0</v>
      </c>
      <c r="X88" s="192"/>
    </row>
    <row r="89" spans="1:24" ht="12.75" customHeight="1">
      <c r="A89" s="2" t="s">
        <v>433</v>
      </c>
      <c r="B89" s="35"/>
      <c r="C89" s="178">
        <v>0</v>
      </c>
      <c r="D89" s="80">
        <f t="shared" si="21"/>
        <v>0</v>
      </c>
      <c r="E89" s="178">
        <v>0</v>
      </c>
      <c r="F89" s="80">
        <f t="shared" si="22"/>
        <v>0</v>
      </c>
      <c r="G89" s="178">
        <v>0</v>
      </c>
      <c r="H89" s="80">
        <f t="shared" si="23"/>
        <v>0</v>
      </c>
      <c r="I89" s="178">
        <v>0</v>
      </c>
      <c r="J89" s="80">
        <f t="shared" si="24"/>
        <v>0</v>
      </c>
      <c r="K89" s="178">
        <v>0</v>
      </c>
      <c r="L89" s="80">
        <f t="shared" si="25"/>
        <v>0</v>
      </c>
      <c r="M89" s="178">
        <v>0</v>
      </c>
      <c r="N89" s="80">
        <f t="shared" si="26"/>
        <v>0</v>
      </c>
      <c r="O89" s="178">
        <v>0</v>
      </c>
      <c r="P89" s="80">
        <f t="shared" si="27"/>
        <v>0</v>
      </c>
      <c r="Q89" s="178">
        <v>0</v>
      </c>
      <c r="R89" s="80">
        <f t="shared" si="28"/>
        <v>0</v>
      </c>
      <c r="S89" s="178">
        <v>0</v>
      </c>
      <c r="T89" s="80">
        <f t="shared" si="29"/>
        <v>0</v>
      </c>
      <c r="U89" s="178">
        <v>0</v>
      </c>
      <c r="V89" s="80">
        <f t="shared" si="30"/>
        <v>0</v>
      </c>
      <c r="X89" s="192"/>
    </row>
    <row r="90" spans="1:24" ht="12.75" customHeight="1">
      <c r="A90" s="2" t="s">
        <v>434</v>
      </c>
      <c r="B90" s="35"/>
      <c r="C90" s="178">
        <v>50.000000000000007</v>
      </c>
      <c r="D90" s="80">
        <f t="shared" si="21"/>
        <v>2.0000000000000004E-4</v>
      </c>
      <c r="E90" s="178">
        <v>0</v>
      </c>
      <c r="F90" s="80">
        <f t="shared" si="22"/>
        <v>0</v>
      </c>
      <c r="G90" s="178">
        <v>0</v>
      </c>
      <c r="H90" s="80">
        <f t="shared" si="23"/>
        <v>0</v>
      </c>
      <c r="I90" s="178">
        <v>0</v>
      </c>
      <c r="J90" s="80">
        <f t="shared" si="24"/>
        <v>0</v>
      </c>
      <c r="K90" s="178">
        <v>0</v>
      </c>
      <c r="L90" s="80">
        <f t="shared" si="25"/>
        <v>0</v>
      </c>
      <c r="M90" s="178">
        <v>0</v>
      </c>
      <c r="N90" s="80">
        <f t="shared" si="26"/>
        <v>0</v>
      </c>
      <c r="O90" s="178">
        <v>0</v>
      </c>
      <c r="P90" s="80">
        <f t="shared" si="27"/>
        <v>0</v>
      </c>
      <c r="Q90" s="178">
        <v>0</v>
      </c>
      <c r="R90" s="80">
        <f t="shared" si="28"/>
        <v>0</v>
      </c>
      <c r="S90" s="178">
        <v>0</v>
      </c>
      <c r="T90" s="80">
        <f t="shared" si="29"/>
        <v>0</v>
      </c>
      <c r="U90" s="178">
        <v>0</v>
      </c>
      <c r="V90" s="80">
        <f t="shared" si="30"/>
        <v>0</v>
      </c>
      <c r="X90" s="192"/>
    </row>
    <row r="91" spans="1:24" ht="12.75" customHeight="1">
      <c r="A91" s="2" t="s">
        <v>435</v>
      </c>
      <c r="C91" s="178">
        <v>0</v>
      </c>
      <c r="D91" s="80">
        <f t="shared" si="21"/>
        <v>0</v>
      </c>
      <c r="E91" s="178">
        <v>0</v>
      </c>
      <c r="F91" s="80">
        <f t="shared" si="22"/>
        <v>0</v>
      </c>
      <c r="G91" s="178">
        <v>0</v>
      </c>
      <c r="H91" s="80">
        <f t="shared" si="23"/>
        <v>0</v>
      </c>
      <c r="I91" s="178">
        <v>0</v>
      </c>
      <c r="J91" s="80">
        <f t="shared" si="24"/>
        <v>0</v>
      </c>
      <c r="K91" s="178">
        <v>0</v>
      </c>
      <c r="L91" s="80">
        <f t="shared" si="25"/>
        <v>0</v>
      </c>
      <c r="M91" s="178">
        <v>0</v>
      </c>
      <c r="N91" s="80">
        <f t="shared" si="26"/>
        <v>0</v>
      </c>
      <c r="O91" s="178">
        <v>0</v>
      </c>
      <c r="P91" s="80">
        <f t="shared" si="27"/>
        <v>0</v>
      </c>
      <c r="Q91" s="178">
        <v>0</v>
      </c>
      <c r="R91" s="80">
        <f t="shared" si="28"/>
        <v>0</v>
      </c>
      <c r="S91" s="178">
        <v>0</v>
      </c>
      <c r="T91" s="80">
        <f t="shared" si="29"/>
        <v>0</v>
      </c>
      <c r="U91" s="178">
        <v>0</v>
      </c>
      <c r="V91" s="80">
        <f t="shared" si="30"/>
        <v>0</v>
      </c>
      <c r="X91" s="192"/>
    </row>
    <row r="92" spans="1:24" ht="12.75" customHeight="1">
      <c r="A92" s="2" t="s">
        <v>436</v>
      </c>
      <c r="B92" s="35"/>
      <c r="C92" s="178">
        <v>1300</v>
      </c>
      <c r="D92" s="80">
        <f t="shared" si="21"/>
        <v>5.1999999999999998E-3</v>
      </c>
      <c r="E92" s="178">
        <v>0</v>
      </c>
      <c r="F92" s="80">
        <f t="shared" si="22"/>
        <v>0</v>
      </c>
      <c r="G92" s="178">
        <v>0</v>
      </c>
      <c r="H92" s="80">
        <f t="shared" si="23"/>
        <v>0</v>
      </c>
      <c r="I92" s="178">
        <v>0</v>
      </c>
      <c r="J92" s="80">
        <f t="shared" si="24"/>
        <v>0</v>
      </c>
      <c r="K92" s="178">
        <v>0</v>
      </c>
      <c r="L92" s="80">
        <f t="shared" si="25"/>
        <v>0</v>
      </c>
      <c r="M92" s="178">
        <v>0</v>
      </c>
      <c r="N92" s="80">
        <f t="shared" si="26"/>
        <v>0</v>
      </c>
      <c r="O92" s="178">
        <v>0</v>
      </c>
      <c r="P92" s="80">
        <f t="shared" si="27"/>
        <v>0</v>
      </c>
      <c r="Q92" s="178">
        <v>0</v>
      </c>
      <c r="R92" s="80">
        <f t="shared" si="28"/>
        <v>0</v>
      </c>
      <c r="S92" s="178">
        <v>0</v>
      </c>
      <c r="T92" s="80">
        <f t="shared" si="29"/>
        <v>0</v>
      </c>
      <c r="U92" s="178">
        <v>0</v>
      </c>
      <c r="V92" s="80">
        <f t="shared" si="30"/>
        <v>0</v>
      </c>
      <c r="X92" s="192"/>
    </row>
    <row r="93" spans="1:24" ht="12.75" customHeight="1">
      <c r="A93" s="2" t="s">
        <v>437</v>
      </c>
      <c r="B93" s="35"/>
      <c r="C93" s="178">
        <v>0</v>
      </c>
      <c r="D93" s="80">
        <f t="shared" si="21"/>
        <v>0</v>
      </c>
      <c r="E93" s="178">
        <v>0</v>
      </c>
      <c r="F93" s="80">
        <f t="shared" si="22"/>
        <v>0</v>
      </c>
      <c r="G93" s="178">
        <v>0</v>
      </c>
      <c r="H93" s="80">
        <f t="shared" si="23"/>
        <v>0</v>
      </c>
      <c r="I93" s="178">
        <v>0</v>
      </c>
      <c r="J93" s="80">
        <f t="shared" si="24"/>
        <v>0</v>
      </c>
      <c r="K93" s="178">
        <v>0</v>
      </c>
      <c r="L93" s="80">
        <f t="shared" si="25"/>
        <v>0</v>
      </c>
      <c r="M93" s="178">
        <v>0</v>
      </c>
      <c r="N93" s="80">
        <f t="shared" si="26"/>
        <v>0</v>
      </c>
      <c r="O93" s="178">
        <v>0</v>
      </c>
      <c r="P93" s="80">
        <f t="shared" si="27"/>
        <v>0</v>
      </c>
      <c r="Q93" s="178">
        <v>0</v>
      </c>
      <c r="R93" s="80">
        <f t="shared" si="28"/>
        <v>0</v>
      </c>
      <c r="S93" s="178">
        <v>0</v>
      </c>
      <c r="T93" s="80">
        <f t="shared" si="29"/>
        <v>0</v>
      </c>
      <c r="U93" s="178">
        <v>0</v>
      </c>
      <c r="V93" s="80">
        <f t="shared" si="30"/>
        <v>0</v>
      </c>
      <c r="X93" s="192"/>
    </row>
    <row r="94" spans="1:24" ht="12.75" customHeight="1">
      <c r="A94" s="2" t="s">
        <v>438</v>
      </c>
      <c r="B94" s="35"/>
      <c r="C94" s="178">
        <v>0</v>
      </c>
      <c r="D94" s="80">
        <f t="shared" si="21"/>
        <v>0</v>
      </c>
      <c r="E94" s="178">
        <v>0</v>
      </c>
      <c r="F94" s="80">
        <f t="shared" si="22"/>
        <v>0</v>
      </c>
      <c r="G94" s="178">
        <v>0</v>
      </c>
      <c r="H94" s="80">
        <f t="shared" si="23"/>
        <v>0</v>
      </c>
      <c r="I94" s="178">
        <v>0</v>
      </c>
      <c r="J94" s="80">
        <f t="shared" si="24"/>
        <v>0</v>
      </c>
      <c r="K94" s="178">
        <v>0</v>
      </c>
      <c r="L94" s="80">
        <f t="shared" si="25"/>
        <v>0</v>
      </c>
      <c r="M94" s="178">
        <v>0</v>
      </c>
      <c r="N94" s="80">
        <f t="shared" si="26"/>
        <v>0</v>
      </c>
      <c r="O94" s="178">
        <v>0</v>
      </c>
      <c r="P94" s="80">
        <f t="shared" si="27"/>
        <v>0</v>
      </c>
      <c r="Q94" s="178">
        <v>0</v>
      </c>
      <c r="R94" s="80">
        <f t="shared" si="28"/>
        <v>0</v>
      </c>
      <c r="S94" s="178">
        <v>0</v>
      </c>
      <c r="T94" s="80">
        <f t="shared" si="29"/>
        <v>0</v>
      </c>
      <c r="U94" s="178">
        <v>0</v>
      </c>
      <c r="V94" s="80">
        <f t="shared" si="30"/>
        <v>0</v>
      </c>
      <c r="X94" s="192"/>
    </row>
    <row r="95" spans="1:24" ht="12.75" customHeight="1">
      <c r="A95" s="2" t="s">
        <v>439</v>
      </c>
      <c r="B95" s="35"/>
      <c r="C95" s="178">
        <v>0</v>
      </c>
      <c r="D95" s="80">
        <f t="shared" si="21"/>
        <v>0</v>
      </c>
      <c r="E95" s="178">
        <v>0</v>
      </c>
      <c r="F95" s="80">
        <f t="shared" si="22"/>
        <v>0</v>
      </c>
      <c r="G95" s="178">
        <v>0</v>
      </c>
      <c r="H95" s="80">
        <f t="shared" si="23"/>
        <v>0</v>
      </c>
      <c r="I95" s="178">
        <v>0</v>
      </c>
      <c r="J95" s="80">
        <f t="shared" si="24"/>
        <v>0</v>
      </c>
      <c r="K95" s="178">
        <v>0</v>
      </c>
      <c r="L95" s="80">
        <f t="shared" si="25"/>
        <v>0</v>
      </c>
      <c r="M95" s="178">
        <v>0</v>
      </c>
      <c r="N95" s="80">
        <f t="shared" si="26"/>
        <v>0</v>
      </c>
      <c r="O95" s="178">
        <v>0</v>
      </c>
      <c r="P95" s="80">
        <f t="shared" si="27"/>
        <v>0</v>
      </c>
      <c r="Q95" s="178">
        <v>0</v>
      </c>
      <c r="R95" s="80">
        <f t="shared" si="28"/>
        <v>0</v>
      </c>
      <c r="S95" s="178">
        <v>0</v>
      </c>
      <c r="T95" s="80">
        <f t="shared" si="29"/>
        <v>0</v>
      </c>
      <c r="U95" s="178">
        <v>0</v>
      </c>
      <c r="V95" s="80">
        <f t="shared" si="30"/>
        <v>0</v>
      </c>
      <c r="X95" s="192"/>
    </row>
    <row r="96" spans="1:24" ht="12.75" customHeight="1">
      <c r="A96" s="2" t="s">
        <v>440</v>
      </c>
      <c r="B96" s="35"/>
      <c r="C96" s="178">
        <v>0</v>
      </c>
      <c r="D96" s="80">
        <f t="shared" si="21"/>
        <v>0</v>
      </c>
      <c r="E96" s="178">
        <v>0</v>
      </c>
      <c r="F96" s="80">
        <f t="shared" si="22"/>
        <v>0</v>
      </c>
      <c r="G96" s="178">
        <v>0</v>
      </c>
      <c r="H96" s="80">
        <f t="shared" si="23"/>
        <v>0</v>
      </c>
      <c r="I96" s="178">
        <v>0</v>
      </c>
      <c r="J96" s="80">
        <f t="shared" si="24"/>
        <v>0</v>
      </c>
      <c r="K96" s="178">
        <v>0</v>
      </c>
      <c r="L96" s="80">
        <f t="shared" si="25"/>
        <v>0</v>
      </c>
      <c r="M96" s="178">
        <v>0</v>
      </c>
      <c r="N96" s="80">
        <f t="shared" si="26"/>
        <v>0</v>
      </c>
      <c r="O96" s="178">
        <v>0</v>
      </c>
      <c r="P96" s="80">
        <f t="shared" si="27"/>
        <v>0</v>
      </c>
      <c r="Q96" s="178">
        <v>0</v>
      </c>
      <c r="R96" s="80">
        <f t="shared" si="28"/>
        <v>0</v>
      </c>
      <c r="S96" s="178">
        <v>0</v>
      </c>
      <c r="T96" s="80">
        <f t="shared" si="29"/>
        <v>0</v>
      </c>
      <c r="U96" s="178">
        <v>0</v>
      </c>
      <c r="V96" s="80">
        <f t="shared" si="30"/>
        <v>0</v>
      </c>
      <c r="X96" s="192"/>
    </row>
    <row r="97" spans="1:24" ht="12.75" customHeight="1">
      <c r="A97" s="2" t="s">
        <v>441</v>
      </c>
      <c r="B97" s="35"/>
      <c r="C97" s="178">
        <v>4494.4121999999998</v>
      </c>
      <c r="D97" s="80">
        <f t="shared" si="21"/>
        <v>1.7977648799999999E-2</v>
      </c>
      <c r="E97" s="178">
        <v>0</v>
      </c>
      <c r="F97" s="80">
        <f t="shared" si="22"/>
        <v>0</v>
      </c>
      <c r="G97" s="178">
        <v>0</v>
      </c>
      <c r="H97" s="80">
        <f t="shared" si="23"/>
        <v>0</v>
      </c>
      <c r="I97" s="178">
        <v>0</v>
      </c>
      <c r="J97" s="80">
        <f t="shared" si="24"/>
        <v>0</v>
      </c>
      <c r="K97" s="178">
        <v>0</v>
      </c>
      <c r="L97" s="80">
        <f t="shared" si="25"/>
        <v>0</v>
      </c>
      <c r="M97" s="178">
        <v>0</v>
      </c>
      <c r="N97" s="80">
        <f t="shared" si="26"/>
        <v>0</v>
      </c>
      <c r="O97" s="178">
        <v>0</v>
      </c>
      <c r="P97" s="80">
        <f t="shared" si="27"/>
        <v>0</v>
      </c>
      <c r="Q97" s="178">
        <v>0</v>
      </c>
      <c r="R97" s="80">
        <f t="shared" si="28"/>
        <v>0</v>
      </c>
      <c r="S97" s="178">
        <v>0</v>
      </c>
      <c r="T97" s="80">
        <f t="shared" si="29"/>
        <v>0</v>
      </c>
      <c r="U97" s="178">
        <v>0</v>
      </c>
      <c r="V97" s="80">
        <f t="shared" si="30"/>
        <v>0</v>
      </c>
      <c r="X97" s="192"/>
    </row>
    <row r="98" spans="1:24" ht="12.75" customHeight="1">
      <c r="A98" s="117" t="s">
        <v>444</v>
      </c>
      <c r="B98" s="35"/>
      <c r="C98" s="178">
        <v>299.99999999999994</v>
      </c>
      <c r="D98" s="80">
        <f t="shared" si="21"/>
        <v>1.1999999999999997E-3</v>
      </c>
      <c r="E98" s="178">
        <v>0</v>
      </c>
      <c r="F98" s="80">
        <f t="shared" si="22"/>
        <v>0</v>
      </c>
      <c r="G98" s="178">
        <v>0</v>
      </c>
      <c r="H98" s="80">
        <f t="shared" si="23"/>
        <v>0</v>
      </c>
      <c r="I98" s="178">
        <v>0</v>
      </c>
      <c r="J98" s="80">
        <f t="shared" si="24"/>
        <v>0</v>
      </c>
      <c r="K98" s="178">
        <v>0</v>
      </c>
      <c r="L98" s="80">
        <f t="shared" si="25"/>
        <v>0</v>
      </c>
      <c r="M98" s="178">
        <v>0</v>
      </c>
      <c r="N98" s="80">
        <f t="shared" si="26"/>
        <v>0</v>
      </c>
      <c r="O98" s="178">
        <v>0</v>
      </c>
      <c r="P98" s="80">
        <f t="shared" si="27"/>
        <v>0</v>
      </c>
      <c r="Q98" s="178">
        <v>0</v>
      </c>
      <c r="R98" s="80">
        <f t="shared" si="28"/>
        <v>0</v>
      </c>
      <c r="S98" s="178">
        <v>0</v>
      </c>
      <c r="T98" s="80">
        <f t="shared" si="29"/>
        <v>0</v>
      </c>
      <c r="U98" s="178">
        <v>0</v>
      </c>
      <c r="V98" s="80">
        <f t="shared" si="30"/>
        <v>0</v>
      </c>
      <c r="X98" s="192"/>
    </row>
    <row r="99" spans="1:24" ht="12.75" customHeight="1">
      <c r="A99" s="117" t="s">
        <v>444</v>
      </c>
      <c r="B99" s="35"/>
      <c r="C99" s="178">
        <v>0</v>
      </c>
      <c r="D99" s="80">
        <f t="shared" si="21"/>
        <v>0</v>
      </c>
      <c r="E99" s="178">
        <v>0</v>
      </c>
      <c r="F99" s="80">
        <f t="shared" si="22"/>
        <v>0</v>
      </c>
      <c r="G99" s="178">
        <v>0</v>
      </c>
      <c r="H99" s="80">
        <f t="shared" si="23"/>
        <v>0</v>
      </c>
      <c r="I99" s="178">
        <v>0</v>
      </c>
      <c r="J99" s="80">
        <f t="shared" si="24"/>
        <v>0</v>
      </c>
      <c r="K99" s="178">
        <v>0</v>
      </c>
      <c r="L99" s="80">
        <f t="shared" si="25"/>
        <v>0</v>
      </c>
      <c r="M99" s="178">
        <v>0</v>
      </c>
      <c r="N99" s="80">
        <f t="shared" si="26"/>
        <v>0</v>
      </c>
      <c r="O99" s="178">
        <v>0</v>
      </c>
      <c r="P99" s="80">
        <f t="shared" si="27"/>
        <v>0</v>
      </c>
      <c r="Q99" s="178">
        <v>0</v>
      </c>
      <c r="R99" s="80">
        <f t="shared" si="28"/>
        <v>0</v>
      </c>
      <c r="S99" s="178">
        <v>0</v>
      </c>
      <c r="T99" s="80">
        <f t="shared" si="29"/>
        <v>0</v>
      </c>
      <c r="U99" s="178">
        <v>0</v>
      </c>
      <c r="V99" s="80">
        <f t="shared" si="30"/>
        <v>0</v>
      </c>
      <c r="X99" s="192"/>
    </row>
    <row r="100" spans="1:24" ht="12.75" customHeight="1">
      <c r="A100" s="117" t="s">
        <v>444</v>
      </c>
      <c r="B100" s="35"/>
      <c r="C100" s="178">
        <v>0</v>
      </c>
      <c r="D100" s="80">
        <f t="shared" si="21"/>
        <v>0</v>
      </c>
      <c r="E100" s="178">
        <v>0</v>
      </c>
      <c r="F100" s="80">
        <f t="shared" si="22"/>
        <v>0</v>
      </c>
      <c r="G100" s="178">
        <v>0</v>
      </c>
      <c r="H100" s="80">
        <f t="shared" si="23"/>
        <v>0</v>
      </c>
      <c r="I100" s="178">
        <v>0</v>
      </c>
      <c r="J100" s="80">
        <f t="shared" si="24"/>
        <v>0</v>
      </c>
      <c r="K100" s="178">
        <v>0</v>
      </c>
      <c r="L100" s="80">
        <f t="shared" si="25"/>
        <v>0</v>
      </c>
      <c r="M100" s="178">
        <v>0</v>
      </c>
      <c r="N100" s="80">
        <f t="shared" si="26"/>
        <v>0</v>
      </c>
      <c r="O100" s="178">
        <v>0</v>
      </c>
      <c r="P100" s="80">
        <f t="shared" si="27"/>
        <v>0</v>
      </c>
      <c r="Q100" s="178">
        <v>0</v>
      </c>
      <c r="R100" s="80">
        <f t="shared" si="28"/>
        <v>0</v>
      </c>
      <c r="S100" s="178">
        <v>0</v>
      </c>
      <c r="T100" s="80">
        <f t="shared" si="29"/>
        <v>0</v>
      </c>
      <c r="U100" s="178">
        <v>0</v>
      </c>
      <c r="V100" s="80">
        <f t="shared" si="30"/>
        <v>0</v>
      </c>
      <c r="X100" s="192"/>
    </row>
    <row r="101" spans="1:24" ht="12.75" customHeight="1">
      <c r="A101" s="2" t="s">
        <v>445</v>
      </c>
      <c r="B101" s="35"/>
      <c r="C101" s="178"/>
      <c r="D101" s="80">
        <f t="shared" si="21"/>
        <v>0</v>
      </c>
      <c r="E101" s="178"/>
      <c r="F101" s="80">
        <f t="shared" si="22"/>
        <v>0</v>
      </c>
      <c r="G101" s="178"/>
      <c r="H101" s="80">
        <f t="shared" si="23"/>
        <v>0</v>
      </c>
      <c r="I101" s="178">
        <v>0</v>
      </c>
      <c r="J101" s="80">
        <f t="shared" si="24"/>
        <v>0</v>
      </c>
      <c r="K101" s="178">
        <v>0</v>
      </c>
      <c r="L101" s="80">
        <f t="shared" si="25"/>
        <v>0</v>
      </c>
      <c r="M101" s="178">
        <v>0</v>
      </c>
      <c r="N101" s="80">
        <f t="shared" si="26"/>
        <v>0</v>
      </c>
      <c r="O101" s="178">
        <v>0</v>
      </c>
      <c r="P101" s="80">
        <f t="shared" si="27"/>
        <v>0</v>
      </c>
      <c r="Q101" s="178">
        <v>0</v>
      </c>
      <c r="R101" s="80">
        <f t="shared" si="28"/>
        <v>0</v>
      </c>
      <c r="S101" s="178">
        <v>0</v>
      </c>
      <c r="T101" s="80">
        <f t="shared" si="29"/>
        <v>0</v>
      </c>
      <c r="U101" s="178">
        <v>0</v>
      </c>
      <c r="V101" s="80">
        <f t="shared" si="30"/>
        <v>0</v>
      </c>
      <c r="X101" s="192"/>
    </row>
    <row r="102" spans="1:24" ht="12.75" customHeight="1">
      <c r="A102" s="117" t="s">
        <v>446</v>
      </c>
      <c r="B102" s="35"/>
      <c r="C102" s="178">
        <v>2500</v>
      </c>
      <c r="D102" s="80">
        <f t="shared" si="21"/>
        <v>0.01</v>
      </c>
      <c r="E102" s="178">
        <v>0</v>
      </c>
      <c r="F102" s="80">
        <f t="shared" si="22"/>
        <v>0</v>
      </c>
      <c r="G102" s="178">
        <v>0</v>
      </c>
      <c r="H102" s="80">
        <f t="shared" si="23"/>
        <v>0</v>
      </c>
      <c r="I102" s="178">
        <v>0</v>
      </c>
      <c r="J102" s="80">
        <f t="shared" si="24"/>
        <v>0</v>
      </c>
      <c r="K102" s="178">
        <v>0</v>
      </c>
      <c r="L102" s="80">
        <f t="shared" si="25"/>
        <v>0</v>
      </c>
      <c r="M102" s="178">
        <v>0</v>
      </c>
      <c r="N102" s="80">
        <f t="shared" si="26"/>
        <v>0</v>
      </c>
      <c r="O102" s="178">
        <v>0</v>
      </c>
      <c r="P102" s="80">
        <f t="shared" si="27"/>
        <v>0</v>
      </c>
      <c r="Q102" s="178">
        <v>0</v>
      </c>
      <c r="R102" s="80">
        <f t="shared" si="28"/>
        <v>0</v>
      </c>
      <c r="S102" s="178">
        <v>0</v>
      </c>
      <c r="T102" s="80">
        <f t="shared" si="29"/>
        <v>0</v>
      </c>
      <c r="U102" s="178">
        <v>0</v>
      </c>
      <c r="V102" s="80">
        <f t="shared" si="30"/>
        <v>0</v>
      </c>
      <c r="X102" s="192"/>
    </row>
    <row r="103" spans="1:24" ht="12.75" customHeight="1">
      <c r="A103" s="117" t="s">
        <v>446</v>
      </c>
      <c r="B103" s="35"/>
      <c r="C103" s="178">
        <v>0</v>
      </c>
      <c r="D103" s="80">
        <f t="shared" si="21"/>
        <v>0</v>
      </c>
      <c r="E103" s="178">
        <v>0</v>
      </c>
      <c r="F103" s="80">
        <f t="shared" si="22"/>
        <v>0</v>
      </c>
      <c r="G103" s="178">
        <v>0</v>
      </c>
      <c r="H103" s="80">
        <f t="shared" si="23"/>
        <v>0</v>
      </c>
      <c r="I103" s="178">
        <v>0</v>
      </c>
      <c r="J103" s="80">
        <f t="shared" si="24"/>
        <v>0</v>
      </c>
      <c r="K103" s="178">
        <v>0</v>
      </c>
      <c r="L103" s="80">
        <f t="shared" si="25"/>
        <v>0</v>
      </c>
      <c r="M103" s="178">
        <v>0</v>
      </c>
      <c r="N103" s="80">
        <f t="shared" si="26"/>
        <v>0</v>
      </c>
      <c r="O103" s="178">
        <v>0</v>
      </c>
      <c r="P103" s="80">
        <f t="shared" si="27"/>
        <v>0</v>
      </c>
      <c r="Q103" s="178">
        <v>0</v>
      </c>
      <c r="R103" s="80">
        <f t="shared" si="28"/>
        <v>0</v>
      </c>
      <c r="S103" s="178">
        <v>0</v>
      </c>
      <c r="T103" s="80">
        <f t="shared" si="29"/>
        <v>0</v>
      </c>
      <c r="U103" s="178">
        <v>0</v>
      </c>
      <c r="V103" s="80">
        <f t="shared" si="30"/>
        <v>0</v>
      </c>
      <c r="X103" s="192"/>
    </row>
    <row r="104" spans="1:24" ht="12.75" customHeight="1">
      <c r="A104" s="117" t="s">
        <v>446</v>
      </c>
      <c r="B104" s="1"/>
      <c r="C104" s="178">
        <v>0</v>
      </c>
      <c r="D104" s="80">
        <f t="shared" si="21"/>
        <v>0</v>
      </c>
      <c r="E104" s="178">
        <v>0</v>
      </c>
      <c r="F104" s="80">
        <f t="shared" si="22"/>
        <v>0</v>
      </c>
      <c r="G104" s="178">
        <v>0</v>
      </c>
      <c r="H104" s="80">
        <f t="shared" si="23"/>
        <v>0</v>
      </c>
      <c r="I104" s="178">
        <v>0</v>
      </c>
      <c r="J104" s="80">
        <f t="shared" si="24"/>
        <v>0</v>
      </c>
      <c r="K104" s="178">
        <v>0</v>
      </c>
      <c r="L104" s="80">
        <f t="shared" si="25"/>
        <v>0</v>
      </c>
      <c r="M104" s="178">
        <v>0</v>
      </c>
      <c r="N104" s="80">
        <f t="shared" si="26"/>
        <v>0</v>
      </c>
      <c r="O104" s="178">
        <v>0</v>
      </c>
      <c r="P104" s="80">
        <f t="shared" si="27"/>
        <v>0</v>
      </c>
      <c r="Q104" s="178">
        <v>0</v>
      </c>
      <c r="R104" s="80">
        <f t="shared" si="28"/>
        <v>0</v>
      </c>
      <c r="S104" s="178">
        <v>0</v>
      </c>
      <c r="T104" s="80">
        <f t="shared" si="29"/>
        <v>0</v>
      </c>
      <c r="U104" s="178">
        <v>0</v>
      </c>
      <c r="V104" s="80">
        <f t="shared" si="30"/>
        <v>0</v>
      </c>
      <c r="X104" s="192"/>
    </row>
    <row r="105" spans="1:24" ht="12.75" customHeight="1">
      <c r="A105" s="1" t="s">
        <v>447</v>
      </c>
      <c r="B105" s="53"/>
      <c r="C105" s="82">
        <f>SUM(C52:C104)</f>
        <v>45038.332160907616</v>
      </c>
      <c r="D105" s="83">
        <f t="shared" ref="D105" si="31">IFERROR(C105/C$28,0)</f>
        <v>0.18015332864363046</v>
      </c>
      <c r="E105" s="82">
        <f>SUM(E52:E104)</f>
        <v>0</v>
      </c>
      <c r="F105" s="83">
        <f t="shared" ref="F105" si="32">IFERROR(E105/E$28,0)</f>
        <v>0</v>
      </c>
      <c r="G105" s="82">
        <f>SUM(G52:G104)</f>
        <v>0</v>
      </c>
      <c r="H105" s="83">
        <f t="shared" ref="H105" si="33">IFERROR(G105/G$28,0)</f>
        <v>0</v>
      </c>
      <c r="I105" s="82">
        <f>SUM(I52:I104)</f>
        <v>0</v>
      </c>
      <c r="J105" s="83">
        <f t="shared" ref="J105" si="34">IFERROR(I105/I$28,0)</f>
        <v>0</v>
      </c>
      <c r="K105" s="82">
        <f>SUM(K52:K104)</f>
        <v>0</v>
      </c>
      <c r="L105" s="83">
        <f t="shared" ref="L105" si="35">IFERROR(K105/K$28,0)</f>
        <v>0</v>
      </c>
      <c r="M105" s="82">
        <f>SUM(M52:M104)</f>
        <v>0</v>
      </c>
      <c r="N105" s="83">
        <f t="shared" ref="N105" si="36">IFERROR(M105/M$28,0)</f>
        <v>0</v>
      </c>
      <c r="O105" s="82">
        <f>SUM(O52:O104)</f>
        <v>0</v>
      </c>
      <c r="P105" s="83">
        <f t="shared" ref="P105" si="37">IFERROR(O105/O$28,0)</f>
        <v>0</v>
      </c>
      <c r="Q105" s="82">
        <f>SUM(Q52:Q104)</f>
        <v>0</v>
      </c>
      <c r="R105" s="83">
        <f t="shared" ref="R105" si="38">IFERROR(Q105/Q$28,0)</f>
        <v>0</v>
      </c>
      <c r="S105" s="82">
        <f>SUM(S52:S104)</f>
        <v>0</v>
      </c>
      <c r="T105" s="83">
        <f t="shared" ref="T105" si="39">IFERROR(S105/S$28,0)</f>
        <v>0</v>
      </c>
      <c r="U105" s="82">
        <f>SUM(U52:U104)</f>
        <v>0</v>
      </c>
      <c r="V105" s="83">
        <f t="shared" si="30"/>
        <v>0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448</v>
      </c>
      <c r="B107" s="53"/>
      <c r="C107" s="82">
        <f>C28-C33-C46-C105</f>
        <v>81390.695839092368</v>
      </c>
      <c r="D107" s="83">
        <f>IFERROR(C107/C$28,0)</f>
        <v>0.32556278335636946</v>
      </c>
      <c r="E107" s="82">
        <f>E28-E33-E46-E105</f>
        <v>0</v>
      </c>
      <c r="F107" s="83">
        <f>IFERROR(E107/E$28,0)</f>
        <v>0</v>
      </c>
      <c r="G107" s="82">
        <f>G28-G33-G46-G105</f>
        <v>0</v>
      </c>
      <c r="H107" s="83">
        <f>IFERROR(G107/G$28,0)</f>
        <v>0</v>
      </c>
      <c r="I107" s="82">
        <f>I28-I33-I46-I105</f>
        <v>0</v>
      </c>
      <c r="J107" s="83">
        <f>IFERROR(I107/I$28,0)</f>
        <v>0</v>
      </c>
      <c r="K107" s="82">
        <f>K28-K33-K46-K105</f>
        <v>0</v>
      </c>
      <c r="L107" s="83">
        <f>IFERROR(K107/K$28,0)</f>
        <v>0</v>
      </c>
      <c r="M107" s="82">
        <f>M28-M33-M46-M105</f>
        <v>0</v>
      </c>
      <c r="N107" s="83">
        <f>IFERROR(M107/M$28,0)</f>
        <v>0</v>
      </c>
      <c r="O107" s="82">
        <f>O28-O33-O46-O105</f>
        <v>0</v>
      </c>
      <c r="P107" s="83">
        <f>IFERROR(O107/O$28,0)</f>
        <v>0</v>
      </c>
      <c r="Q107" s="82">
        <f>Q28-Q33-Q46-Q105</f>
        <v>0</v>
      </c>
      <c r="R107" s="83">
        <f>IFERROR(Q107/Q$28,0)</f>
        <v>0</v>
      </c>
      <c r="S107" s="82">
        <f>S28-S33-S46-S105</f>
        <v>0</v>
      </c>
      <c r="T107" s="83">
        <f>IFERROR(S107/S$28,0)</f>
        <v>0</v>
      </c>
      <c r="U107" s="82">
        <f>U28-U33-U46-U105</f>
        <v>0</v>
      </c>
      <c r="V107" s="83">
        <f>IFERROR(U107/U$28,0)</f>
        <v>0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449</v>
      </c>
      <c r="B110" s="40"/>
      <c r="C110" s="86" t="str">
        <f>C50</f>
        <v>FY 2018-19</v>
      </c>
      <c r="D110" s="86" t="s">
        <v>366</v>
      </c>
      <c r="E110" s="86" t="str">
        <f>E50</f>
        <v>FY 2019-20</v>
      </c>
      <c r="F110" s="86" t="s">
        <v>366</v>
      </c>
      <c r="G110" s="86" t="str">
        <f>G50</f>
        <v>FY 2020-21</v>
      </c>
      <c r="H110" s="86" t="s">
        <v>366</v>
      </c>
      <c r="I110" s="86" t="str">
        <f>I50</f>
        <v>FY 2021-22</v>
      </c>
      <c r="J110" s="86" t="s">
        <v>366</v>
      </c>
      <c r="K110" s="86" t="str">
        <f>K50</f>
        <v>FY 2022-23</v>
      </c>
      <c r="L110" s="86" t="s">
        <v>366</v>
      </c>
      <c r="M110" s="86" t="str">
        <f>M50</f>
        <v>FY 2023-24</v>
      </c>
      <c r="N110" s="86" t="s">
        <v>366</v>
      </c>
      <c r="O110" s="86" t="str">
        <f>O50</f>
        <v>FY 2024-25</v>
      </c>
      <c r="P110" s="86" t="s">
        <v>366</v>
      </c>
      <c r="Q110" s="86" t="str">
        <f>Q50</f>
        <v>FY 2025-26</v>
      </c>
      <c r="R110" s="86" t="s">
        <v>366</v>
      </c>
      <c r="S110" s="86" t="str">
        <f>S50</f>
        <v>FY 2026-27</v>
      </c>
      <c r="T110" s="86" t="s">
        <v>366</v>
      </c>
      <c r="U110" s="86" t="str">
        <f>U50</f>
        <v>FY 2027-28</v>
      </c>
      <c r="V110" s="86" t="s">
        <v>366</v>
      </c>
    </row>
    <row r="111" spans="1:24" ht="12.75" customHeight="1">
      <c r="A111" s="2" t="s">
        <v>403</v>
      </c>
      <c r="B111" s="35"/>
      <c r="C111" s="79">
        <f>C59</f>
        <v>0</v>
      </c>
      <c r="D111" s="80">
        <f t="shared" ref="D111:D116" si="40">IFERROR(C111/C$28,0)</f>
        <v>0</v>
      </c>
      <c r="E111" s="79">
        <f>E59</f>
        <v>0</v>
      </c>
      <c r="F111" s="80">
        <f t="shared" ref="F111:F116" si="41">IFERROR(E111/E$28,0)</f>
        <v>0</v>
      </c>
      <c r="G111" s="79">
        <f>G59</f>
        <v>0</v>
      </c>
      <c r="H111" s="80">
        <f t="shared" ref="H111:H116" si="42">IFERROR(G111/G$28,0)</f>
        <v>0</v>
      </c>
      <c r="I111" s="79">
        <f>I59</f>
        <v>0</v>
      </c>
      <c r="J111" s="80">
        <f t="shared" ref="J111:J116" si="43">IFERROR(I111/I$28,0)</f>
        <v>0</v>
      </c>
      <c r="K111" s="79">
        <f>K59</f>
        <v>0</v>
      </c>
      <c r="L111" s="80">
        <f t="shared" ref="L111:L116" si="44">IFERROR(K111/K$28,0)</f>
        <v>0</v>
      </c>
      <c r="M111" s="79">
        <f>M59</f>
        <v>0</v>
      </c>
      <c r="N111" s="80">
        <f t="shared" ref="N111:N116" si="45">IFERROR(M111/M$28,0)</f>
        <v>0</v>
      </c>
      <c r="O111" s="79">
        <f>O59</f>
        <v>0</v>
      </c>
      <c r="P111" s="80">
        <f t="shared" ref="P111:P116" si="46">IFERROR(O111/O$28,0)</f>
        <v>0</v>
      </c>
      <c r="Q111" s="79">
        <f>Q59</f>
        <v>0</v>
      </c>
      <c r="R111" s="80">
        <f t="shared" ref="R111:R116" si="47">IFERROR(Q111/Q$28,0)</f>
        <v>0</v>
      </c>
      <c r="S111" s="79">
        <f>S59</f>
        <v>0</v>
      </c>
      <c r="T111" s="80">
        <f t="shared" ref="T111:T116" si="48">IFERROR(S111/S$28,0)</f>
        <v>0</v>
      </c>
      <c r="U111" s="79">
        <f>U59</f>
        <v>0</v>
      </c>
      <c r="V111" s="80">
        <f t="shared" ref="V111:V116" si="49">IFERROR(U111/U$28,0)</f>
        <v>0</v>
      </c>
    </row>
    <row r="112" spans="1:24" ht="12.75" customHeight="1">
      <c r="A112" s="2" t="s">
        <v>450</v>
      </c>
      <c r="B112" s="35"/>
      <c r="C112" s="79">
        <f>C62</f>
        <v>0</v>
      </c>
      <c r="D112" s="80">
        <f t="shared" si="40"/>
        <v>0</v>
      </c>
      <c r="E112" s="79">
        <f>E62</f>
        <v>0</v>
      </c>
      <c r="F112" s="80">
        <f t="shared" si="41"/>
        <v>0</v>
      </c>
      <c r="G112" s="79">
        <f>G62</f>
        <v>0</v>
      </c>
      <c r="H112" s="80">
        <f t="shared" si="42"/>
        <v>0</v>
      </c>
      <c r="I112" s="79">
        <f>I62</f>
        <v>0</v>
      </c>
      <c r="J112" s="80">
        <f t="shared" si="43"/>
        <v>0</v>
      </c>
      <c r="K112" s="79">
        <f>K62</f>
        <v>0</v>
      </c>
      <c r="L112" s="80">
        <f t="shared" si="44"/>
        <v>0</v>
      </c>
      <c r="M112" s="79">
        <f>M62</f>
        <v>0</v>
      </c>
      <c r="N112" s="80">
        <f t="shared" si="45"/>
        <v>0</v>
      </c>
      <c r="O112" s="79">
        <f>O62</f>
        <v>0</v>
      </c>
      <c r="P112" s="80">
        <f t="shared" si="46"/>
        <v>0</v>
      </c>
      <c r="Q112" s="79">
        <f>Q62</f>
        <v>0</v>
      </c>
      <c r="R112" s="80">
        <f t="shared" si="47"/>
        <v>0</v>
      </c>
      <c r="S112" s="79">
        <f>S62</f>
        <v>0</v>
      </c>
      <c r="T112" s="80">
        <f t="shared" si="48"/>
        <v>0</v>
      </c>
      <c r="U112" s="79">
        <f>U62</f>
        <v>0</v>
      </c>
      <c r="V112" s="80">
        <f t="shared" si="49"/>
        <v>0</v>
      </c>
    </row>
    <row r="113" spans="1:22" ht="12.75" customHeight="1">
      <c r="A113" s="117" t="s">
        <v>446</v>
      </c>
      <c r="B113" s="41"/>
      <c r="C113" s="111">
        <v>0</v>
      </c>
      <c r="D113" s="80">
        <f t="shared" si="40"/>
        <v>0</v>
      </c>
      <c r="E113" s="111">
        <v>0</v>
      </c>
      <c r="F113" s="80">
        <f t="shared" si="41"/>
        <v>0</v>
      </c>
      <c r="G113" s="111">
        <v>0</v>
      </c>
      <c r="H113" s="80">
        <f t="shared" si="42"/>
        <v>0</v>
      </c>
      <c r="I113" s="111">
        <v>0</v>
      </c>
      <c r="J113" s="80">
        <f t="shared" si="43"/>
        <v>0</v>
      </c>
      <c r="K113" s="111">
        <v>0</v>
      </c>
      <c r="L113" s="80">
        <f t="shared" si="44"/>
        <v>0</v>
      </c>
      <c r="M113" s="111">
        <v>0</v>
      </c>
      <c r="N113" s="80">
        <f t="shared" si="45"/>
        <v>0</v>
      </c>
      <c r="O113" s="111">
        <v>0</v>
      </c>
      <c r="P113" s="80">
        <f t="shared" si="46"/>
        <v>0</v>
      </c>
      <c r="Q113" s="111">
        <v>0</v>
      </c>
      <c r="R113" s="80">
        <f t="shared" si="47"/>
        <v>0</v>
      </c>
      <c r="S113" s="111">
        <v>0</v>
      </c>
      <c r="T113" s="80">
        <f t="shared" si="48"/>
        <v>0</v>
      </c>
      <c r="U113" s="111">
        <v>0</v>
      </c>
      <c r="V113" s="80">
        <f t="shared" si="49"/>
        <v>0</v>
      </c>
    </row>
    <row r="114" spans="1:22" ht="12.75" customHeight="1">
      <c r="A114" s="117" t="s">
        <v>446</v>
      </c>
      <c r="B114" s="41"/>
      <c r="C114" s="111">
        <v>0</v>
      </c>
      <c r="D114" s="80">
        <f t="shared" si="40"/>
        <v>0</v>
      </c>
      <c r="E114" s="111">
        <v>0</v>
      </c>
      <c r="F114" s="80">
        <f t="shared" si="41"/>
        <v>0</v>
      </c>
      <c r="G114" s="111">
        <v>0</v>
      </c>
      <c r="H114" s="80">
        <f t="shared" si="42"/>
        <v>0</v>
      </c>
      <c r="I114" s="111">
        <v>0</v>
      </c>
      <c r="J114" s="80">
        <f t="shared" si="43"/>
        <v>0</v>
      </c>
      <c r="K114" s="111">
        <v>0</v>
      </c>
      <c r="L114" s="80">
        <f t="shared" si="44"/>
        <v>0</v>
      </c>
      <c r="M114" s="111">
        <v>0</v>
      </c>
      <c r="N114" s="80">
        <f t="shared" si="45"/>
        <v>0</v>
      </c>
      <c r="O114" s="111">
        <v>0</v>
      </c>
      <c r="P114" s="80">
        <f t="shared" si="46"/>
        <v>0</v>
      </c>
      <c r="Q114" s="111">
        <v>0</v>
      </c>
      <c r="R114" s="80">
        <f t="shared" si="47"/>
        <v>0</v>
      </c>
      <c r="S114" s="111">
        <v>0</v>
      </c>
      <c r="T114" s="80">
        <f t="shared" si="48"/>
        <v>0</v>
      </c>
      <c r="U114" s="111">
        <v>0</v>
      </c>
      <c r="V114" s="80">
        <f t="shared" si="49"/>
        <v>0</v>
      </c>
    </row>
    <row r="115" spans="1:22" ht="12.75" customHeight="1">
      <c r="A115" s="117" t="s">
        <v>446</v>
      </c>
      <c r="B115" s="41"/>
      <c r="C115" s="112">
        <v>0</v>
      </c>
      <c r="D115" s="80">
        <f t="shared" si="40"/>
        <v>0</v>
      </c>
      <c r="E115" s="112">
        <v>0</v>
      </c>
      <c r="F115" s="80">
        <f t="shared" si="41"/>
        <v>0</v>
      </c>
      <c r="G115" s="112">
        <v>0</v>
      </c>
      <c r="H115" s="80">
        <f t="shared" si="42"/>
        <v>0</v>
      </c>
      <c r="I115" s="112">
        <v>0</v>
      </c>
      <c r="J115" s="80">
        <f t="shared" si="43"/>
        <v>0</v>
      </c>
      <c r="K115" s="112">
        <v>0</v>
      </c>
      <c r="L115" s="80">
        <f t="shared" si="44"/>
        <v>0</v>
      </c>
      <c r="M115" s="112">
        <v>0</v>
      </c>
      <c r="N115" s="80">
        <f t="shared" si="45"/>
        <v>0</v>
      </c>
      <c r="O115" s="112">
        <v>0</v>
      </c>
      <c r="P115" s="80">
        <f t="shared" si="46"/>
        <v>0</v>
      </c>
      <c r="Q115" s="112">
        <v>0</v>
      </c>
      <c r="R115" s="80">
        <f t="shared" si="47"/>
        <v>0</v>
      </c>
      <c r="S115" s="112">
        <v>0</v>
      </c>
      <c r="T115" s="80">
        <f t="shared" si="48"/>
        <v>0</v>
      </c>
      <c r="U115" s="112">
        <v>0</v>
      </c>
      <c r="V115" s="80">
        <f t="shared" si="49"/>
        <v>0</v>
      </c>
    </row>
    <row r="116" spans="1:22" ht="12.75" customHeight="1">
      <c r="A116" s="40" t="s">
        <v>451</v>
      </c>
      <c r="B116" s="42"/>
      <c r="C116" s="85">
        <f>SUM(C111:C115)</f>
        <v>0</v>
      </c>
      <c r="D116" s="83">
        <f t="shared" si="40"/>
        <v>0</v>
      </c>
      <c r="E116" s="85">
        <f>SUM(E111:E115)</f>
        <v>0</v>
      </c>
      <c r="F116" s="83">
        <f t="shared" si="41"/>
        <v>0</v>
      </c>
      <c r="G116" s="85">
        <f>SUM(G111:G115)</f>
        <v>0</v>
      </c>
      <c r="H116" s="83">
        <f t="shared" si="42"/>
        <v>0</v>
      </c>
      <c r="I116" s="85">
        <f>SUM(I111:I115)</f>
        <v>0</v>
      </c>
      <c r="J116" s="83">
        <f t="shared" si="43"/>
        <v>0</v>
      </c>
      <c r="K116" s="85">
        <f>SUM(K111:K115)</f>
        <v>0</v>
      </c>
      <c r="L116" s="83">
        <f t="shared" si="44"/>
        <v>0</v>
      </c>
      <c r="M116" s="85">
        <f>SUM(M111:M115)</f>
        <v>0</v>
      </c>
      <c r="N116" s="83">
        <f t="shared" si="45"/>
        <v>0</v>
      </c>
      <c r="O116" s="85">
        <f>SUM(O111:O115)</f>
        <v>0</v>
      </c>
      <c r="P116" s="83">
        <f t="shared" si="46"/>
        <v>0</v>
      </c>
      <c r="Q116" s="85">
        <f>SUM(Q111:Q115)</f>
        <v>0</v>
      </c>
      <c r="R116" s="83">
        <f t="shared" si="47"/>
        <v>0</v>
      </c>
      <c r="S116" s="85">
        <f>SUM(S111:S115)</f>
        <v>0</v>
      </c>
      <c r="T116" s="83">
        <f t="shared" si="48"/>
        <v>0</v>
      </c>
      <c r="U116" s="85">
        <f>SUM(U111:U115)</f>
        <v>0</v>
      </c>
      <c r="V116" s="83">
        <f t="shared" si="49"/>
        <v>0</v>
      </c>
    </row>
    <row r="118" spans="1:22" ht="12.75" customHeight="1">
      <c r="A118" s="43" t="s">
        <v>452</v>
      </c>
      <c r="B118" s="43"/>
    </row>
    <row r="119" spans="1:22" ht="12.75" customHeight="1">
      <c r="A119" s="47" t="s">
        <v>507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  <pageSetUpPr fitToPage="1"/>
  </sheetPr>
  <dimension ref="A1:P57"/>
  <sheetViews>
    <sheetView zoomScaleNormal="100" workbookViewId="0" xr3:uid="{51F8DEE0-4D01-5F28-A812-FC0BD7CAC4A5}">
      <selection activeCell="C6" sqref="C6"/>
    </sheetView>
  </sheetViews>
  <sheetFormatPr defaultColWidth="9.140625" defaultRowHeight="12.75"/>
  <cols>
    <col min="1" max="1" width="4.5703125" style="2" customWidth="1"/>
    <col min="2" max="2" width="5.5703125" style="2" customWidth="1"/>
    <col min="3" max="3" width="29.5703125" style="2" customWidth="1"/>
    <col min="4" max="13" width="12.5703125" style="2" customWidth="1"/>
    <col min="14" max="16" width="12.42578125" style="2" customWidth="1"/>
    <col min="17" max="16384" width="9.140625" style="2"/>
  </cols>
  <sheetData>
    <row r="1" spans="1:6" ht="15">
      <c r="A1" s="1" t="s">
        <v>0</v>
      </c>
      <c r="C1" s="9"/>
      <c r="D1" s="9"/>
      <c r="E1" s="10"/>
    </row>
    <row r="2" spans="1:6" ht="15">
      <c r="A2" s="1" t="s">
        <v>1</v>
      </c>
      <c r="C2" s="10"/>
      <c r="D2" s="10"/>
      <c r="E2" s="10"/>
    </row>
    <row r="3" spans="1:6" ht="15">
      <c r="A3" s="1" t="s">
        <v>101</v>
      </c>
      <c r="C3" s="10"/>
      <c r="D3" s="10"/>
      <c r="E3" s="10"/>
    </row>
    <row r="4" spans="1:6" ht="15">
      <c r="A4" s="1"/>
      <c r="C4" s="10"/>
      <c r="D4" s="10"/>
      <c r="E4" s="10"/>
    </row>
    <row r="5" spans="1:6" ht="15">
      <c r="A5" s="1" t="s">
        <v>16</v>
      </c>
      <c r="C5" s="109" t="s">
        <v>97</v>
      </c>
      <c r="D5" s="10"/>
      <c r="E5" s="10"/>
    </row>
    <row r="6" spans="1:6" ht="15">
      <c r="B6" s="1"/>
      <c r="C6" s="10"/>
      <c r="D6" s="10"/>
      <c r="E6" s="10"/>
    </row>
    <row r="7" spans="1:6">
      <c r="A7" s="107" t="s">
        <v>18</v>
      </c>
      <c r="B7" s="1" t="s">
        <v>102</v>
      </c>
    </row>
    <row r="8" spans="1:6">
      <c r="B8" s="4" t="s">
        <v>103</v>
      </c>
    </row>
    <row r="9" spans="1:6">
      <c r="B9" s="63"/>
    </row>
    <row r="10" spans="1:6">
      <c r="B10" s="1" t="s">
        <v>104</v>
      </c>
      <c r="E10" s="32" t="s">
        <v>105</v>
      </c>
    </row>
    <row r="11" spans="1:6">
      <c r="E11" s="32" t="s">
        <v>106</v>
      </c>
    </row>
    <row r="12" spans="1:6">
      <c r="B12" s="106" t="s">
        <v>107</v>
      </c>
      <c r="C12" s="5"/>
      <c r="D12" s="5"/>
      <c r="E12" s="11"/>
    </row>
    <row r="13" spans="1:6">
      <c r="B13" s="2" t="s">
        <v>108</v>
      </c>
    </row>
    <row r="14" spans="1:6">
      <c r="C14" s="2" t="s">
        <v>109</v>
      </c>
      <c r="E14" s="154">
        <v>13546700</v>
      </c>
      <c r="F14" s="2" t="s">
        <v>110</v>
      </c>
    </row>
    <row r="15" spans="1:6">
      <c r="C15" s="2" t="s">
        <v>111</v>
      </c>
      <c r="E15" s="154">
        <v>179800</v>
      </c>
      <c r="F15" s="2" t="s">
        <v>110</v>
      </c>
    </row>
    <row r="16" spans="1:6">
      <c r="C16" s="2" t="s">
        <v>112</v>
      </c>
      <c r="E16" s="13" t="s">
        <v>113</v>
      </c>
    </row>
    <row r="17" spans="2:13">
      <c r="B17" s="2" t="s">
        <v>114</v>
      </c>
      <c r="E17" s="13" t="s">
        <v>113</v>
      </c>
    </row>
    <row r="18" spans="2:13">
      <c r="B18" s="2" t="s">
        <v>115</v>
      </c>
      <c r="E18" s="153">
        <v>884700</v>
      </c>
      <c r="F18" s="2" t="s">
        <v>110</v>
      </c>
    </row>
    <row r="19" spans="2:13">
      <c r="B19" s="2" t="s">
        <v>116</v>
      </c>
      <c r="E19" s="153">
        <v>68170</v>
      </c>
      <c r="F19" s="2" t="s">
        <v>110</v>
      </c>
    </row>
    <row r="20" spans="2:13">
      <c r="B20" s="2" t="s">
        <v>70</v>
      </c>
      <c r="E20" s="153">
        <v>120400</v>
      </c>
      <c r="F20" s="2" t="s">
        <v>110</v>
      </c>
    </row>
    <row r="22" spans="2:13">
      <c r="B22" s="106" t="s">
        <v>71</v>
      </c>
      <c r="C22" s="5"/>
      <c r="D22" s="5"/>
    </row>
    <row r="23" spans="2:13">
      <c r="B23" s="2" t="s">
        <v>117</v>
      </c>
    </row>
    <row r="24" spans="2:13">
      <c r="C24" s="2" t="s">
        <v>109</v>
      </c>
      <c r="E24" s="154">
        <v>1042700</v>
      </c>
      <c r="F24" s="2" t="s">
        <v>110</v>
      </c>
    </row>
    <row r="25" spans="2:13">
      <c r="C25" s="2" t="s">
        <v>111</v>
      </c>
      <c r="E25" s="154">
        <v>25100</v>
      </c>
      <c r="F25" s="2" t="s">
        <v>110</v>
      </c>
    </row>
    <row r="26" spans="2:13">
      <c r="C26" s="2" t="s">
        <v>112</v>
      </c>
      <c r="E26" s="155" t="s">
        <v>113</v>
      </c>
    </row>
    <row r="27" spans="2:13">
      <c r="B27" s="2" t="s">
        <v>115</v>
      </c>
      <c r="E27" s="154">
        <v>188500</v>
      </c>
      <c r="F27" s="2" t="s">
        <v>110</v>
      </c>
    </row>
    <row r="29" spans="2:13">
      <c r="B29" s="2" t="s">
        <v>118</v>
      </c>
    </row>
    <row r="30" spans="2:13">
      <c r="B30" s="2" t="s">
        <v>119</v>
      </c>
      <c r="M30" s="8"/>
    </row>
    <row r="33" spans="1:16">
      <c r="A33" s="107" t="s">
        <v>82</v>
      </c>
      <c r="B33" s="1" t="s">
        <v>120</v>
      </c>
    </row>
    <row r="34" spans="1:16">
      <c r="B34" s="4" t="s">
        <v>121</v>
      </c>
      <c r="C34" s="4"/>
      <c r="D34" s="4"/>
    </row>
    <row r="35" spans="1:16">
      <c r="B35" s="4" t="s">
        <v>122</v>
      </c>
      <c r="C35" s="4"/>
      <c r="D35" s="4"/>
    </row>
    <row r="37" spans="1:16">
      <c r="C37" s="86" t="s">
        <v>123</v>
      </c>
      <c r="D37" s="93" t="s">
        <v>105</v>
      </c>
      <c r="E37" s="93" t="s">
        <v>124</v>
      </c>
      <c r="F37" s="93" t="s">
        <v>125</v>
      </c>
      <c r="G37" s="93" t="s">
        <v>126</v>
      </c>
      <c r="H37" s="93" t="s">
        <v>127</v>
      </c>
      <c r="I37" s="93" t="s">
        <v>128</v>
      </c>
      <c r="J37" s="93" t="s">
        <v>129</v>
      </c>
      <c r="K37" s="93" t="s">
        <v>130</v>
      </c>
      <c r="L37" s="93" t="s">
        <v>131</v>
      </c>
      <c r="M37" s="93" t="s">
        <v>132</v>
      </c>
      <c r="N37" s="93" t="s">
        <v>133</v>
      </c>
      <c r="O37" s="93" t="s">
        <v>133</v>
      </c>
      <c r="P37" s="163"/>
    </row>
    <row r="38" spans="1:16">
      <c r="C38" s="14" t="s">
        <v>134</v>
      </c>
      <c r="D38" s="226">
        <v>1.4999999999999999E-2</v>
      </c>
      <c r="E38" s="226">
        <v>1.2E-2</v>
      </c>
      <c r="F38" s="226">
        <v>1.0999999999999999E-2</v>
      </c>
      <c r="G38" s="226">
        <v>1.0999999999999999E-2</v>
      </c>
      <c r="H38" s="226">
        <v>0.01</v>
      </c>
      <c r="I38" s="226">
        <v>0.01</v>
      </c>
      <c r="J38" s="226">
        <v>0.01</v>
      </c>
      <c r="K38" s="226">
        <v>0.01</v>
      </c>
      <c r="L38" s="226">
        <v>0.01</v>
      </c>
      <c r="M38" s="226">
        <v>0.01</v>
      </c>
      <c r="N38" s="128" t="s">
        <v>135</v>
      </c>
      <c r="O38" s="128"/>
      <c r="P38" s="48"/>
    </row>
    <row r="39" spans="1:16">
      <c r="C39" s="14" t="s">
        <v>136</v>
      </c>
      <c r="D39" s="128"/>
      <c r="E39" s="128"/>
      <c r="F39" s="128"/>
      <c r="G39" s="128"/>
      <c r="H39" s="128"/>
      <c r="I39" s="128"/>
      <c r="J39" s="128"/>
      <c r="K39" s="128"/>
      <c r="L39" s="128"/>
      <c r="M39" s="128"/>
      <c r="N39" s="128" t="s">
        <v>135</v>
      </c>
      <c r="O39" s="128"/>
      <c r="P39" s="48"/>
    </row>
    <row r="40" spans="1:16">
      <c r="C40" s="15" t="s">
        <v>137</v>
      </c>
      <c r="D40" s="140">
        <v>100000</v>
      </c>
      <c r="E40" s="140">
        <v>100000</v>
      </c>
      <c r="F40" s="140">
        <v>100000</v>
      </c>
      <c r="G40" s="140">
        <v>100000</v>
      </c>
      <c r="H40" s="140">
        <v>100000</v>
      </c>
      <c r="I40" s="140">
        <v>100000</v>
      </c>
      <c r="J40" s="140">
        <v>100000</v>
      </c>
      <c r="K40" s="140">
        <v>100000</v>
      </c>
      <c r="L40" s="140">
        <v>100000</v>
      </c>
      <c r="M40" s="140">
        <v>100000</v>
      </c>
      <c r="N40" s="128" t="s">
        <v>135</v>
      </c>
      <c r="O40" s="128"/>
      <c r="P40" s="48"/>
    </row>
    <row r="41" spans="1:16">
      <c r="C41" s="106" t="s">
        <v>138</v>
      </c>
      <c r="D41" s="1"/>
    </row>
    <row r="42" spans="1:16">
      <c r="C42" s="1"/>
      <c r="D42" s="1"/>
    </row>
    <row r="43" spans="1:16">
      <c r="A43" s="107" t="s">
        <v>139</v>
      </c>
      <c r="B43" s="1" t="s">
        <v>140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</row>
    <row r="44" spans="1:16">
      <c r="B44" s="4" t="s">
        <v>141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</row>
    <row r="45" spans="1:16">
      <c r="C45" s="1"/>
      <c r="D45" s="1"/>
      <c r="E45" s="1"/>
      <c r="F45" s="1"/>
      <c r="H45" s="1"/>
      <c r="I45" s="1"/>
      <c r="J45" s="1"/>
      <c r="K45" s="1"/>
      <c r="L45" s="1"/>
      <c r="M45" s="1"/>
      <c r="N45" s="1"/>
    </row>
    <row r="46" spans="1:16" ht="38.25">
      <c r="C46" s="132" t="s">
        <v>142</v>
      </c>
      <c r="D46" s="94" t="s">
        <v>143</v>
      </c>
      <c r="E46" s="131" t="s">
        <v>144</v>
      </c>
      <c r="F46" s="1"/>
      <c r="H46" s="1"/>
      <c r="I46" s="1"/>
      <c r="J46" s="1"/>
      <c r="K46" s="1"/>
      <c r="L46" s="1"/>
      <c r="M46" s="1"/>
    </row>
    <row r="47" spans="1:16">
      <c r="C47" s="14" t="s">
        <v>145</v>
      </c>
      <c r="D47" s="221">
        <v>7.01</v>
      </c>
      <c r="E47" s="221">
        <f>+D47</f>
        <v>7.01</v>
      </c>
      <c r="F47" s="1"/>
      <c r="H47" s="1"/>
      <c r="I47" s="1"/>
      <c r="J47" s="1"/>
      <c r="K47" s="1"/>
      <c r="L47" s="1"/>
      <c r="M47" s="1"/>
    </row>
    <row r="48" spans="1:16">
      <c r="C48" s="14" t="s">
        <v>146</v>
      </c>
      <c r="D48" s="221">
        <v>9.11</v>
      </c>
      <c r="E48" s="221">
        <f t="shared" ref="E48:E49" si="0">+D48</f>
        <v>9.11</v>
      </c>
      <c r="F48" s="1"/>
      <c r="H48" s="1"/>
      <c r="I48" s="1"/>
      <c r="J48" s="1"/>
      <c r="K48" s="1"/>
      <c r="L48" s="1"/>
      <c r="M48" s="1"/>
    </row>
    <row r="49" spans="3:13">
      <c r="C49" s="14" t="s">
        <v>147</v>
      </c>
      <c r="D49" s="221">
        <v>9.11</v>
      </c>
      <c r="E49" s="221">
        <f t="shared" si="0"/>
        <v>9.11</v>
      </c>
      <c r="F49" s="1"/>
      <c r="H49" s="1"/>
      <c r="I49" s="1"/>
      <c r="J49" s="1"/>
      <c r="K49" s="1"/>
      <c r="L49" s="1"/>
      <c r="M49" s="1"/>
    </row>
    <row r="50" spans="3:13">
      <c r="C50" s="16" t="s">
        <v>148</v>
      </c>
      <c r="D50" s="221">
        <v>9.11</v>
      </c>
      <c r="E50" s="221">
        <f>D50</f>
        <v>9.11</v>
      </c>
      <c r="F50" s="1"/>
      <c r="H50" s="1"/>
      <c r="I50" s="1"/>
      <c r="J50" s="1"/>
      <c r="K50" s="1"/>
      <c r="L50" s="1"/>
      <c r="M50" s="1"/>
    </row>
    <row r="51" spans="3:13">
      <c r="C51" s="16" t="s">
        <v>149</v>
      </c>
      <c r="D51" s="222"/>
      <c r="E51" s="222"/>
      <c r="F51" s="1"/>
      <c r="H51" s="1"/>
      <c r="I51" s="1"/>
      <c r="J51" s="1"/>
      <c r="K51" s="1"/>
      <c r="L51" s="1"/>
      <c r="M51" s="1"/>
    </row>
    <row r="52" spans="3:13">
      <c r="D52" s="1"/>
      <c r="E52" s="1"/>
      <c r="F52" s="1"/>
      <c r="H52" s="1"/>
      <c r="I52" s="1"/>
      <c r="J52" s="1"/>
      <c r="K52" s="1"/>
      <c r="L52" s="1"/>
      <c r="M52" s="1"/>
    </row>
    <row r="54" spans="3:13">
      <c r="J54" s="1"/>
      <c r="K54" s="1"/>
      <c r="L54" s="1"/>
      <c r="M54" s="1"/>
    </row>
    <row r="55" spans="3:13">
      <c r="J55" s="1"/>
      <c r="K55" s="1"/>
      <c r="L55" s="1"/>
      <c r="M55" s="1"/>
    </row>
    <row r="56" spans="3:13">
      <c r="J56" s="1"/>
      <c r="K56" s="1"/>
      <c r="L56" s="1"/>
      <c r="M56" s="1"/>
    </row>
    <row r="57" spans="3:13">
      <c r="I57" s="1"/>
      <c r="J57" s="1"/>
      <c r="K57" s="1"/>
      <c r="L57" s="1"/>
      <c r="M57" s="1"/>
    </row>
  </sheetData>
  <pageMargins left="0.45" right="0" top="0.25" bottom="0" header="0.3" footer="0.3"/>
  <pageSetup scale="78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7" tint="0.39997558519241921"/>
  </sheetPr>
  <dimension ref="A1:X120"/>
  <sheetViews>
    <sheetView topLeftCell="A9" zoomScale="70" zoomScaleNormal="70" workbookViewId="0" xr3:uid="{FB84E6B5-2F03-524A-B55D-05F6A9FA1888}">
      <selection activeCell="W59" sqref="W59"/>
    </sheetView>
  </sheetViews>
  <sheetFormatPr defaultColWidth="9.140625" defaultRowHeight="12.75" customHeight="1"/>
  <cols>
    <col min="1" max="1" width="9.5703125" style="2" customWidth="1"/>
    <col min="2" max="2" width="39.140625" style="2" customWidth="1"/>
    <col min="3" max="3" width="12.7109375" style="2" customWidth="1"/>
    <col min="4" max="4" width="8.7109375" style="2" customWidth="1"/>
    <col min="5" max="5" width="12.7109375" style="2" customWidth="1"/>
    <col min="6" max="6" width="8.7109375" style="2" customWidth="1"/>
    <col min="7" max="7" width="13.5703125" style="2" customWidth="1"/>
    <col min="8" max="8" width="8.7109375" style="2" customWidth="1"/>
    <col min="9" max="9" width="13.8554687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3.140625" style="2" customWidth="1"/>
    <col min="14" max="14" width="8.7109375" style="2" customWidth="1"/>
    <col min="15" max="15" width="13.5703125" style="2" customWidth="1"/>
    <col min="16" max="16" width="8.7109375" style="2" customWidth="1"/>
    <col min="17" max="17" width="14.140625" style="2" customWidth="1"/>
    <col min="18" max="18" width="8.7109375" style="2" customWidth="1"/>
    <col min="19" max="19" width="14.140625" style="2" customWidth="1"/>
    <col min="20" max="20" width="8.7109375" style="2" customWidth="1"/>
    <col min="21" max="21" width="13.42578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355</v>
      </c>
      <c r="G2" s="33" t="s">
        <v>74</v>
      </c>
      <c r="H2" s="34"/>
      <c r="I2" s="34"/>
      <c r="V2" s="32"/>
    </row>
    <row r="3" spans="1:22" ht="12.75" customHeight="1">
      <c r="A3" s="1" t="s">
        <v>357</v>
      </c>
      <c r="D3" s="118" t="s">
        <v>358</v>
      </c>
      <c r="G3" s="115" t="str">
        <f>+G2</f>
        <v>Grille Works (Wolfe Center)</v>
      </c>
      <c r="H3" s="116"/>
      <c r="I3" s="116"/>
      <c r="V3" s="32"/>
    </row>
    <row r="4" spans="1:22" ht="12.75" customHeight="1">
      <c r="A4" s="1" t="s">
        <v>359</v>
      </c>
      <c r="B4" s="109" t="s">
        <v>221</v>
      </c>
      <c r="D4" s="118" t="s">
        <v>360</v>
      </c>
      <c r="G4" s="115" t="s">
        <v>65</v>
      </c>
      <c r="H4" s="116"/>
      <c r="I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361</v>
      </c>
      <c r="B7" s="1"/>
    </row>
    <row r="8" spans="1:22" ht="12.75" customHeight="1">
      <c r="A8" s="2" t="s">
        <v>362</v>
      </c>
      <c r="C8" s="109">
        <v>228</v>
      </c>
      <c r="E8" s="109">
        <f>+C8</f>
        <v>228</v>
      </c>
      <c r="G8" s="109">
        <f>+E8</f>
        <v>228</v>
      </c>
      <c r="I8" s="109">
        <f>+G8</f>
        <v>228</v>
      </c>
      <c r="K8" s="109">
        <f>+I8</f>
        <v>228</v>
      </c>
      <c r="M8" s="109">
        <f>+K8</f>
        <v>228</v>
      </c>
      <c r="O8" s="109">
        <f>+M8</f>
        <v>228</v>
      </c>
      <c r="Q8" s="109">
        <f>+O8</f>
        <v>228</v>
      </c>
      <c r="S8" s="109">
        <f>+Q8</f>
        <v>228</v>
      </c>
      <c r="U8" s="109">
        <f>+S8</f>
        <v>228</v>
      </c>
    </row>
    <row r="10" spans="1:22" ht="12.75" customHeight="1">
      <c r="A10" s="2" t="s">
        <v>462</v>
      </c>
      <c r="C10" s="201">
        <f>+C14/C8/C12</f>
        <v>64.594475880422706</v>
      </c>
      <c r="E10" s="109"/>
      <c r="G10" s="109"/>
      <c r="I10" s="109"/>
      <c r="K10" s="109"/>
      <c r="M10" s="109"/>
      <c r="O10" s="109"/>
      <c r="Q10" s="109"/>
      <c r="S10" s="109"/>
      <c r="U10" s="109"/>
    </row>
    <row r="12" spans="1:22" ht="12.75" customHeight="1">
      <c r="A12" s="2" t="s">
        <v>463</v>
      </c>
      <c r="C12" s="110">
        <v>6.79</v>
      </c>
      <c r="E12" s="110"/>
      <c r="G12" s="110"/>
      <c r="I12" s="110"/>
      <c r="K12" s="110"/>
      <c r="M12" s="110"/>
      <c r="O12" s="110"/>
      <c r="Q12" s="110"/>
      <c r="S12" s="110"/>
      <c r="U12" s="110"/>
    </row>
    <row r="14" spans="1:22" ht="12.75" customHeight="1">
      <c r="A14" s="2" t="s">
        <v>464</v>
      </c>
      <c r="C14" s="198">
        <v>100000</v>
      </c>
      <c r="E14" s="121">
        <v>180000</v>
      </c>
      <c r="G14" s="121">
        <v>187000</v>
      </c>
      <c r="I14" s="121">
        <v>195000</v>
      </c>
      <c r="K14" s="121">
        <v>201000</v>
      </c>
      <c r="M14" s="121">
        <v>207000</v>
      </c>
      <c r="O14" s="121">
        <v>213000</v>
      </c>
      <c r="Q14" s="121">
        <v>219000</v>
      </c>
      <c r="S14" s="121">
        <v>226000</v>
      </c>
      <c r="U14" s="121">
        <v>232000</v>
      </c>
    </row>
    <row r="15" spans="1:22" ht="12.75" customHeight="1">
      <c r="A15" s="39">
        <v>0.1</v>
      </c>
    </row>
    <row r="16" spans="1:22" ht="12.75" customHeight="1">
      <c r="B16" s="35"/>
      <c r="C16" s="86" t="str">
        <f>C6</f>
        <v>FY 2018-19</v>
      </c>
      <c r="D16" s="86" t="s">
        <v>366</v>
      </c>
      <c r="E16" s="86" t="str">
        <f>E6</f>
        <v>FY 2019-20</v>
      </c>
      <c r="F16" s="86" t="s">
        <v>366</v>
      </c>
      <c r="G16" s="86" t="str">
        <f>G6</f>
        <v>FY 2020-21</v>
      </c>
      <c r="H16" s="86" t="s">
        <v>366</v>
      </c>
      <c r="I16" s="86" t="str">
        <f>I6</f>
        <v>FY 2021-22</v>
      </c>
      <c r="J16" s="86" t="s">
        <v>366</v>
      </c>
      <c r="K16" s="86" t="str">
        <f>K6</f>
        <v>FY 2022-23</v>
      </c>
      <c r="L16" s="86" t="s">
        <v>366</v>
      </c>
      <c r="M16" s="86" t="str">
        <f>M6</f>
        <v>FY 2023-24</v>
      </c>
      <c r="N16" s="86" t="s">
        <v>366</v>
      </c>
      <c r="O16" s="86" t="str">
        <f>O6</f>
        <v>FY 2024-25</v>
      </c>
      <c r="P16" s="86" t="s">
        <v>366</v>
      </c>
      <c r="Q16" s="86" t="str">
        <f>Q6</f>
        <v>FY 2025-26</v>
      </c>
      <c r="R16" s="86" t="s">
        <v>366</v>
      </c>
      <c r="S16" s="86" t="str">
        <f>S6</f>
        <v>FY 2026-27</v>
      </c>
      <c r="T16" s="86" t="s">
        <v>366</v>
      </c>
      <c r="U16" s="86" t="str">
        <f>U6</f>
        <v>FY 2027-28</v>
      </c>
      <c r="V16" s="86" t="s">
        <v>366</v>
      </c>
    </row>
    <row r="17" spans="1:24" ht="12.75" customHeight="1">
      <c r="A17" s="1" t="s">
        <v>367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368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369</v>
      </c>
      <c r="B19" s="35"/>
      <c r="C19" s="200">
        <f>+C14-C20</f>
        <v>87620</v>
      </c>
      <c r="D19" s="80">
        <f>IFERROR(C19/C$28,0)</f>
        <v>0.87619999999999998</v>
      </c>
      <c r="E19" s="200">
        <f>+E14-E20</f>
        <v>151200</v>
      </c>
      <c r="F19" s="80">
        <f>IFERROR(E19/E$28,0)</f>
        <v>0.84</v>
      </c>
      <c r="G19" s="200">
        <f>+G14-G20</f>
        <v>157624</v>
      </c>
      <c r="H19" s="80">
        <f>IFERROR(G19/G$28,0)</f>
        <v>0.84290909090909094</v>
      </c>
      <c r="I19" s="200">
        <f>+I14-I20</f>
        <v>165036.48000000001</v>
      </c>
      <c r="J19" s="80">
        <f>IFERROR(I19/I$28,0)</f>
        <v>0.8463409230769231</v>
      </c>
      <c r="K19" s="200">
        <f>+K14-K20</f>
        <v>170437.2096</v>
      </c>
      <c r="L19" s="80">
        <f>IFERROR(K19/K$28,0)</f>
        <v>0.84794631641791041</v>
      </c>
      <c r="M19" s="200">
        <f>+M14-M20</f>
        <v>175825.95379199999</v>
      </c>
      <c r="N19" s="80">
        <f>IFERROR(M19/M$28,0)</f>
        <v>0.84940074295652168</v>
      </c>
      <c r="O19" s="200">
        <f>+O14-O20</f>
        <v>181202.47286784</v>
      </c>
      <c r="P19" s="80">
        <f>IFERROR(O19/O$28,0)</f>
        <v>0.8507158350602817</v>
      </c>
      <c r="Q19" s="200">
        <f>+Q14-Q20</f>
        <v>186566.5223251968</v>
      </c>
      <c r="R19" s="80">
        <f>IFERROR(Q19/Q$28,0)</f>
        <v>0.85190192842555612</v>
      </c>
      <c r="S19" s="200">
        <f>+S14-S20</f>
        <v>192917.85277170074</v>
      </c>
      <c r="T19" s="80">
        <f>IFERROR(S19/S$28,0)</f>
        <v>0.85361881757389713</v>
      </c>
      <c r="U19" s="200">
        <f>+U14-U20</f>
        <v>198256.20982713473</v>
      </c>
      <c r="V19" s="80">
        <f>IFERROR(U19/U$28,0)</f>
        <v>0.85455262856523595</v>
      </c>
    </row>
    <row r="20" spans="1:24" ht="12.75" customHeight="1">
      <c r="A20" s="2" t="s">
        <v>370</v>
      </c>
      <c r="B20" s="35"/>
      <c r="C20" s="111">
        <f>+C14*12.38%</f>
        <v>12380</v>
      </c>
      <c r="D20" s="80">
        <f>IFERROR(C20/C$28,0)</f>
        <v>0.12379999999999999</v>
      </c>
      <c r="E20" s="111">
        <f>+E14*16%</f>
        <v>28800</v>
      </c>
      <c r="F20" s="80">
        <f>IFERROR(E20/E$28,0)</f>
        <v>0.16</v>
      </c>
      <c r="G20" s="111">
        <f t="shared" ref="G20:U21" si="0">E20*1.02</f>
        <v>29376</v>
      </c>
      <c r="H20" s="80">
        <f>IFERROR(G20/G$28,0)</f>
        <v>0.15709090909090909</v>
      </c>
      <c r="I20" s="111">
        <f t="shared" si="0"/>
        <v>29963.52</v>
      </c>
      <c r="J20" s="80">
        <f>IFERROR(I20/I$28,0)</f>
        <v>0.15365907692307693</v>
      </c>
      <c r="K20" s="111">
        <f t="shared" si="0"/>
        <v>30562.790400000002</v>
      </c>
      <c r="L20" s="80">
        <f>IFERROR(K20/K$28,0)</f>
        <v>0.15205368358208957</v>
      </c>
      <c r="M20" s="111">
        <f t="shared" si="0"/>
        <v>31174.046208000003</v>
      </c>
      <c r="N20" s="80">
        <f>IFERROR(M20/M$28,0)</f>
        <v>0.15059925704347829</v>
      </c>
      <c r="O20" s="111">
        <f t="shared" si="0"/>
        <v>31797.527132160005</v>
      </c>
      <c r="P20" s="80">
        <f>IFERROR(O20/O$28,0)</f>
        <v>0.14928416493971833</v>
      </c>
      <c r="Q20" s="111">
        <f t="shared" si="0"/>
        <v>32433.477674803205</v>
      </c>
      <c r="R20" s="80">
        <f>IFERROR(Q20/Q$28,0)</f>
        <v>0.14809807157444385</v>
      </c>
      <c r="S20" s="111">
        <f t="shared" si="0"/>
        <v>33082.147228299269</v>
      </c>
      <c r="T20" s="80">
        <f>IFERROR(S20/S$28,0)</f>
        <v>0.14638118242610296</v>
      </c>
      <c r="U20" s="111">
        <f t="shared" si="0"/>
        <v>33743.790172865258</v>
      </c>
      <c r="V20" s="80">
        <f>IFERROR(U20/U$28,0)</f>
        <v>0.14544737143476405</v>
      </c>
    </row>
    <row r="21" spans="1:24" ht="12.75" customHeight="1">
      <c r="A21" s="2" t="s">
        <v>371</v>
      </c>
      <c r="B21" s="35"/>
      <c r="C21" s="111"/>
      <c r="D21" s="80">
        <f>IFERROR(C21/C$28,0)</f>
        <v>0</v>
      </c>
      <c r="E21" s="111">
        <v>0</v>
      </c>
      <c r="F21" s="80">
        <f>IFERROR(E21/E$28,0)</f>
        <v>0</v>
      </c>
      <c r="G21" s="111">
        <f t="shared" si="0"/>
        <v>0</v>
      </c>
      <c r="H21" s="80">
        <f>IFERROR(G21/G$28,0)</f>
        <v>0</v>
      </c>
      <c r="I21" s="111">
        <f t="shared" si="0"/>
        <v>0</v>
      </c>
      <c r="J21" s="80">
        <f>IFERROR(I21/I$28,0)</f>
        <v>0</v>
      </c>
      <c r="K21" s="111">
        <f t="shared" si="0"/>
        <v>0</v>
      </c>
      <c r="L21" s="80">
        <f>IFERROR(K21/K$28,0)</f>
        <v>0</v>
      </c>
      <c r="M21" s="111">
        <f t="shared" si="0"/>
        <v>0</v>
      </c>
      <c r="N21" s="80">
        <f>IFERROR(M21/M$28,0)</f>
        <v>0</v>
      </c>
      <c r="O21" s="111">
        <f t="shared" si="0"/>
        <v>0</v>
      </c>
      <c r="P21" s="80">
        <f>IFERROR(O21/O$28,0)</f>
        <v>0</v>
      </c>
      <c r="Q21" s="111">
        <f t="shared" si="0"/>
        <v>0</v>
      </c>
      <c r="R21" s="80">
        <f>IFERROR(Q21/Q$28,0)</f>
        <v>0</v>
      </c>
      <c r="S21" s="111">
        <f t="shared" si="0"/>
        <v>0</v>
      </c>
      <c r="T21" s="80">
        <f>IFERROR(S21/S$28,0)</f>
        <v>0</v>
      </c>
      <c r="U21" s="111">
        <f t="shared" si="0"/>
        <v>0</v>
      </c>
      <c r="V21" s="80">
        <f>IFERROR(U21/U$28,0)</f>
        <v>0</v>
      </c>
    </row>
    <row r="22" spans="1:24" ht="12.75" customHeight="1">
      <c r="A22" s="2" t="s">
        <v>372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373</v>
      </c>
      <c r="B23" s="123"/>
      <c r="C23" s="79"/>
      <c r="D23" s="80">
        <f t="shared" ref="D23:D28" si="1">IFERROR(C23/C$28,0)</f>
        <v>0</v>
      </c>
      <c r="E23" s="79"/>
      <c r="F23" s="80">
        <f t="shared" ref="F23:F28" si="2">IFERROR(E23/E$28,0)</f>
        <v>0</v>
      </c>
      <c r="G23" s="79"/>
      <c r="H23" s="80">
        <f t="shared" ref="H23:H28" si="3">IFERROR(G23/G$28,0)</f>
        <v>0</v>
      </c>
      <c r="I23" s="79"/>
      <c r="J23" s="80">
        <f t="shared" ref="J23:J28" si="4">IFERROR(I23/I$28,0)</f>
        <v>0</v>
      </c>
      <c r="K23" s="79"/>
      <c r="L23" s="80">
        <f t="shared" ref="L23:L28" si="5">IFERROR(K23/K$28,0)</f>
        <v>0</v>
      </c>
      <c r="M23" s="79"/>
      <c r="N23" s="80">
        <f t="shared" ref="N23:N28" si="6">IFERROR(M23/M$28,0)</f>
        <v>0</v>
      </c>
      <c r="O23" s="79"/>
      <c r="P23" s="80">
        <f t="shared" ref="P23:P28" si="7">IFERROR(O23/O$28,0)</f>
        <v>0</v>
      </c>
      <c r="Q23" s="79"/>
      <c r="R23" s="80">
        <f t="shared" ref="R23:R28" si="8">IFERROR(Q23/Q$28,0)</f>
        <v>0</v>
      </c>
      <c r="S23" s="79"/>
      <c r="T23" s="80">
        <f t="shared" ref="T23:T28" si="9">IFERROR(S23/S$28,0)</f>
        <v>0</v>
      </c>
      <c r="U23" s="79"/>
      <c r="V23" s="80">
        <f t="shared" ref="V23:V28" si="10">IFERROR(U23/U$28,0)</f>
        <v>0</v>
      </c>
    </row>
    <row r="24" spans="1:24" ht="12.75" customHeight="1">
      <c r="A24" s="122" t="s">
        <v>374</v>
      </c>
      <c r="B24" s="123"/>
      <c r="C24" s="79"/>
      <c r="D24" s="80">
        <f t="shared" si="1"/>
        <v>0</v>
      </c>
      <c r="E24" s="79"/>
      <c r="F24" s="80">
        <f t="shared" si="2"/>
        <v>0</v>
      </c>
      <c r="G24" s="79"/>
      <c r="H24" s="80">
        <f t="shared" si="3"/>
        <v>0</v>
      </c>
      <c r="I24" s="79"/>
      <c r="J24" s="80">
        <f t="shared" si="4"/>
        <v>0</v>
      </c>
      <c r="K24" s="79"/>
      <c r="L24" s="80">
        <f t="shared" si="5"/>
        <v>0</v>
      </c>
      <c r="M24" s="79"/>
      <c r="N24" s="80">
        <f t="shared" si="6"/>
        <v>0</v>
      </c>
      <c r="O24" s="79"/>
      <c r="P24" s="80">
        <f t="shared" si="7"/>
        <v>0</v>
      </c>
      <c r="Q24" s="79"/>
      <c r="R24" s="80">
        <f t="shared" si="8"/>
        <v>0</v>
      </c>
      <c r="S24" s="79"/>
      <c r="T24" s="80">
        <f t="shared" si="9"/>
        <v>0</v>
      </c>
      <c r="U24" s="79"/>
      <c r="V24" s="80">
        <f t="shared" si="10"/>
        <v>0</v>
      </c>
      <c r="X24" s="79"/>
    </row>
    <row r="25" spans="1:24" ht="12.75" customHeight="1">
      <c r="A25" s="2" t="s">
        <v>375</v>
      </c>
      <c r="B25" s="35"/>
      <c r="C25" s="111"/>
      <c r="D25" s="80">
        <f t="shared" si="1"/>
        <v>0</v>
      </c>
      <c r="E25" s="111"/>
      <c r="F25" s="80">
        <f t="shared" si="2"/>
        <v>0</v>
      </c>
      <c r="G25" s="111"/>
      <c r="H25" s="80">
        <f t="shared" si="3"/>
        <v>0</v>
      </c>
      <c r="I25" s="111"/>
      <c r="J25" s="80">
        <f t="shared" si="4"/>
        <v>0</v>
      </c>
      <c r="K25" s="111"/>
      <c r="L25" s="80">
        <f t="shared" si="5"/>
        <v>0</v>
      </c>
      <c r="M25" s="111"/>
      <c r="N25" s="80">
        <f t="shared" si="6"/>
        <v>0</v>
      </c>
      <c r="O25" s="111"/>
      <c r="P25" s="80">
        <f t="shared" si="7"/>
        <v>0</v>
      </c>
      <c r="Q25" s="111"/>
      <c r="R25" s="80">
        <f t="shared" si="8"/>
        <v>0</v>
      </c>
      <c r="S25" s="111"/>
      <c r="T25" s="80">
        <f t="shared" si="9"/>
        <v>0</v>
      </c>
      <c r="U25" s="111"/>
      <c r="V25" s="80">
        <f t="shared" si="10"/>
        <v>0</v>
      </c>
      <c r="X25" s="79"/>
    </row>
    <row r="26" spans="1:24" ht="12.75" customHeight="1">
      <c r="A26" s="122" t="s">
        <v>376</v>
      </c>
      <c r="B26" s="35"/>
      <c r="C26" s="79"/>
      <c r="D26" s="80">
        <f t="shared" si="1"/>
        <v>0</v>
      </c>
      <c r="E26" s="79"/>
      <c r="F26" s="80">
        <f t="shared" si="2"/>
        <v>0</v>
      </c>
      <c r="G26" s="79"/>
      <c r="H26" s="80">
        <f t="shared" si="3"/>
        <v>0</v>
      </c>
      <c r="I26" s="79"/>
      <c r="J26" s="80">
        <f t="shared" si="4"/>
        <v>0</v>
      </c>
      <c r="K26" s="79"/>
      <c r="L26" s="80">
        <f t="shared" si="5"/>
        <v>0</v>
      </c>
      <c r="M26" s="79"/>
      <c r="N26" s="80">
        <f t="shared" si="6"/>
        <v>0</v>
      </c>
      <c r="O26" s="79"/>
      <c r="P26" s="80">
        <f t="shared" si="7"/>
        <v>0</v>
      </c>
      <c r="Q26" s="79"/>
      <c r="R26" s="80">
        <f t="shared" si="8"/>
        <v>0</v>
      </c>
      <c r="S26" s="79"/>
      <c r="T26" s="80">
        <f t="shared" si="9"/>
        <v>0</v>
      </c>
      <c r="U26" s="79"/>
      <c r="V26" s="80">
        <f t="shared" si="10"/>
        <v>0</v>
      </c>
    </row>
    <row r="27" spans="1:24" ht="12.75" customHeight="1">
      <c r="A27" s="2" t="s">
        <v>377</v>
      </c>
      <c r="B27" s="35"/>
      <c r="C27" s="112"/>
      <c r="D27" s="80">
        <f t="shared" si="1"/>
        <v>0</v>
      </c>
      <c r="E27" s="112"/>
      <c r="F27" s="80">
        <f t="shared" si="2"/>
        <v>0</v>
      </c>
      <c r="G27" s="112"/>
      <c r="H27" s="80">
        <f t="shared" si="3"/>
        <v>0</v>
      </c>
      <c r="I27" s="112"/>
      <c r="J27" s="80">
        <f t="shared" si="4"/>
        <v>0</v>
      </c>
      <c r="K27" s="112"/>
      <c r="L27" s="80">
        <f t="shared" si="5"/>
        <v>0</v>
      </c>
      <c r="M27" s="112"/>
      <c r="N27" s="80">
        <f t="shared" si="6"/>
        <v>0</v>
      </c>
      <c r="O27" s="112"/>
      <c r="P27" s="80">
        <f t="shared" si="7"/>
        <v>0</v>
      </c>
      <c r="Q27" s="112"/>
      <c r="R27" s="80">
        <f t="shared" si="8"/>
        <v>0</v>
      </c>
      <c r="S27" s="112"/>
      <c r="T27" s="80">
        <f t="shared" si="9"/>
        <v>0</v>
      </c>
      <c r="U27" s="112"/>
      <c r="V27" s="80">
        <f t="shared" si="10"/>
        <v>0</v>
      </c>
    </row>
    <row r="28" spans="1:24" ht="12.75" customHeight="1">
      <c r="A28" s="1" t="s">
        <v>378</v>
      </c>
      <c r="B28" s="53"/>
      <c r="C28" s="82">
        <f>SUM(C19:C27)</f>
        <v>100000</v>
      </c>
      <c r="D28" s="83">
        <f t="shared" si="1"/>
        <v>1</v>
      </c>
      <c r="E28" s="82">
        <f>SUM(E19:E27)</f>
        <v>180000</v>
      </c>
      <c r="F28" s="83">
        <f t="shared" si="2"/>
        <v>1</v>
      </c>
      <c r="G28" s="82">
        <f>SUM(G19:G27)</f>
        <v>187000</v>
      </c>
      <c r="H28" s="83">
        <f t="shared" si="3"/>
        <v>1</v>
      </c>
      <c r="I28" s="82">
        <f>SUM(I19:I27)</f>
        <v>195000</v>
      </c>
      <c r="J28" s="83">
        <f t="shared" si="4"/>
        <v>1</v>
      </c>
      <c r="K28" s="82">
        <f>SUM(K19:K27)</f>
        <v>201000</v>
      </c>
      <c r="L28" s="83">
        <f t="shared" si="5"/>
        <v>1</v>
      </c>
      <c r="M28" s="82">
        <f>SUM(M19:M27)</f>
        <v>207000</v>
      </c>
      <c r="N28" s="83">
        <f t="shared" si="6"/>
        <v>1</v>
      </c>
      <c r="O28" s="82">
        <f>SUM(O19:O27)</f>
        <v>213000</v>
      </c>
      <c r="P28" s="83">
        <f t="shared" si="7"/>
        <v>1</v>
      </c>
      <c r="Q28" s="82">
        <f>SUM(Q19:Q27)</f>
        <v>219000</v>
      </c>
      <c r="R28" s="83">
        <f t="shared" si="8"/>
        <v>1</v>
      </c>
      <c r="S28" s="82">
        <f>SUM(S19:S27)</f>
        <v>226000</v>
      </c>
      <c r="T28" s="83">
        <f t="shared" si="9"/>
        <v>1</v>
      </c>
      <c r="U28" s="82">
        <f>SUM(U19:U27)</f>
        <v>232000</v>
      </c>
      <c r="V28" s="83">
        <f t="shared" si="10"/>
        <v>1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379</v>
      </c>
      <c r="B30" s="53"/>
      <c r="C30" s="197">
        <v>0.34</v>
      </c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380</v>
      </c>
      <c r="B31" s="35"/>
      <c r="C31" s="178">
        <f>$C$30*C14</f>
        <v>34000</v>
      </c>
      <c r="D31" s="80">
        <f>IFERROR(C31/C$28,0)</f>
        <v>0.34</v>
      </c>
      <c r="E31" s="178">
        <f>$C$30*E14</f>
        <v>61200.000000000007</v>
      </c>
      <c r="F31" s="80">
        <f>IFERROR(E31/E$28,0)</f>
        <v>0.34</v>
      </c>
      <c r="G31" s="178">
        <f>$C$30*G14</f>
        <v>63580.000000000007</v>
      </c>
      <c r="H31" s="80">
        <f>IFERROR(G31/G$28,0)</f>
        <v>0.34</v>
      </c>
      <c r="I31" s="178">
        <f>$C$30*I14</f>
        <v>66300</v>
      </c>
      <c r="J31" s="80">
        <f>IFERROR(I31/I$28,0)</f>
        <v>0.34</v>
      </c>
      <c r="K31" s="178">
        <f>$C$30*K14</f>
        <v>68340</v>
      </c>
      <c r="L31" s="80">
        <f>IFERROR(K31/K$28,0)</f>
        <v>0.34</v>
      </c>
      <c r="M31" s="178">
        <f>$C$30*M14</f>
        <v>70380</v>
      </c>
      <c r="N31" s="80">
        <f>IFERROR(M31/M$28,0)</f>
        <v>0.34</v>
      </c>
      <c r="O31" s="178">
        <f>$C$30*O14</f>
        <v>72420</v>
      </c>
      <c r="P31" s="80">
        <f>IFERROR(O31/O$28,0)</f>
        <v>0.34</v>
      </c>
      <c r="Q31" s="178">
        <f>$C$30*Q14</f>
        <v>74460</v>
      </c>
      <c r="R31" s="80">
        <f>IFERROR(Q31/Q$28,0)</f>
        <v>0.34</v>
      </c>
      <c r="S31" s="178">
        <f>$C$30*S14</f>
        <v>76840</v>
      </c>
      <c r="T31" s="80">
        <f>IFERROR(S31/S$28,0)</f>
        <v>0.34</v>
      </c>
      <c r="U31" s="178">
        <f>$C$30*U14</f>
        <v>78880</v>
      </c>
      <c r="V31" s="80">
        <f>IFERROR(U31/U$28,0)</f>
        <v>0.34</v>
      </c>
    </row>
    <row r="32" spans="1:24" ht="12.75" customHeight="1">
      <c r="A32" s="8" t="s">
        <v>381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382</v>
      </c>
      <c r="B33" s="53"/>
      <c r="C33" s="82">
        <f>SUM(C31:C32)</f>
        <v>34000</v>
      </c>
      <c r="D33" s="83">
        <f>IFERROR(C33/C$28,0)</f>
        <v>0.34</v>
      </c>
      <c r="E33" s="82">
        <f>SUM(E31:E32)</f>
        <v>61200.000000000007</v>
      </c>
      <c r="F33" s="83">
        <f>IFERROR(E33/E$28,0)</f>
        <v>0.34</v>
      </c>
      <c r="G33" s="82">
        <f>SUM(G31:G32)</f>
        <v>63580.000000000007</v>
      </c>
      <c r="H33" s="83">
        <f>IFERROR(G33/G$28,0)</f>
        <v>0.34</v>
      </c>
      <c r="I33" s="82">
        <f>SUM(I31:I32)</f>
        <v>66300</v>
      </c>
      <c r="J33" s="83">
        <f>IFERROR(I33/I$28,0)</f>
        <v>0.34</v>
      </c>
      <c r="K33" s="82">
        <f>SUM(K31:K32)</f>
        <v>68340</v>
      </c>
      <c r="L33" s="83">
        <f>IFERROR(K33/K$28,0)</f>
        <v>0.34</v>
      </c>
      <c r="M33" s="82">
        <f>SUM(M31:M32)</f>
        <v>70380</v>
      </c>
      <c r="N33" s="83">
        <f>IFERROR(M33/M$28,0)</f>
        <v>0.34</v>
      </c>
      <c r="O33" s="82">
        <f>SUM(O31:O32)</f>
        <v>72420</v>
      </c>
      <c r="P33" s="83">
        <f>IFERROR(O33/O$28,0)</f>
        <v>0.34</v>
      </c>
      <c r="Q33" s="82">
        <f>SUM(Q31:Q32)</f>
        <v>74460</v>
      </c>
      <c r="R33" s="83">
        <f>IFERROR(Q33/Q$28,0)</f>
        <v>0.34</v>
      </c>
      <c r="S33" s="82">
        <f>SUM(S31:S32)</f>
        <v>76840</v>
      </c>
      <c r="T33" s="83">
        <f>IFERROR(S33/S$28,0)</f>
        <v>0.34</v>
      </c>
      <c r="U33" s="82">
        <f>SUM(U31:U32)</f>
        <v>78880</v>
      </c>
      <c r="V33" s="83">
        <f>IFERROR(U33/U$28,0)</f>
        <v>0.34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383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384</v>
      </c>
      <c r="B36" s="35"/>
      <c r="C36" s="178">
        <v>0</v>
      </c>
      <c r="D36" s="80">
        <f t="shared" ref="D36:D46" si="11">IFERROR(C36/C$28,0)</f>
        <v>0</v>
      </c>
      <c r="E36" s="178"/>
      <c r="F36" s="80">
        <f t="shared" ref="F36:F46" si="12">IFERROR(E36/E$28,0)</f>
        <v>0</v>
      </c>
      <c r="G36" s="178"/>
      <c r="H36" s="80">
        <f t="shared" ref="H36:H46" si="13">IFERROR(G36/G$28,0)</f>
        <v>0</v>
      </c>
      <c r="I36" s="178"/>
      <c r="J36" s="80">
        <f t="shared" ref="J36:J46" si="14">IFERROR(I36/I$28,0)</f>
        <v>0</v>
      </c>
      <c r="K36" s="178"/>
      <c r="L36" s="80">
        <f t="shared" ref="L36:L46" si="15">IFERROR(K36/K$28,0)</f>
        <v>0</v>
      </c>
      <c r="M36" s="178"/>
      <c r="N36" s="80">
        <f t="shared" ref="N36:N46" si="16">IFERROR(M36/M$28,0)</f>
        <v>0</v>
      </c>
      <c r="O36" s="178"/>
      <c r="P36" s="80">
        <f t="shared" ref="P36:P46" si="17">IFERROR(O36/O$28,0)</f>
        <v>0</v>
      </c>
      <c r="Q36" s="178"/>
      <c r="R36" s="80">
        <f t="shared" ref="R36:R46" si="18">IFERROR(Q36/Q$28,0)</f>
        <v>0</v>
      </c>
      <c r="S36" s="178"/>
      <c r="T36" s="80">
        <f t="shared" ref="T36:T46" si="19">IFERROR(S36/S$28,0)</f>
        <v>0</v>
      </c>
      <c r="U36" s="178"/>
      <c r="V36" s="80">
        <f t="shared" ref="V36:V46" si="20">IFERROR(U36/U$28,0)</f>
        <v>0</v>
      </c>
    </row>
    <row r="37" spans="1:22" ht="12.75" customHeight="1">
      <c r="A37" s="2" t="s">
        <v>385</v>
      </c>
      <c r="B37" s="35"/>
      <c r="C37" s="178">
        <v>77174</v>
      </c>
      <c r="D37" s="80">
        <f t="shared" si="11"/>
        <v>0.77173999999999998</v>
      </c>
      <c r="E37" s="178">
        <f>+C37*1.025</f>
        <v>79103.349999999991</v>
      </c>
      <c r="F37" s="80">
        <f t="shared" si="12"/>
        <v>0.43946305555555548</v>
      </c>
      <c r="G37" s="178">
        <f>+E37*1.035-20000</f>
        <v>61871.967249999987</v>
      </c>
      <c r="H37" s="80">
        <f t="shared" si="13"/>
        <v>0.3308661350267379</v>
      </c>
      <c r="I37" s="178">
        <f>+G37*1.032</f>
        <v>63851.870201999991</v>
      </c>
      <c r="J37" s="80">
        <f t="shared" si="14"/>
        <v>0.32744548821538455</v>
      </c>
      <c r="K37" s="178">
        <f>+I37*1.025</f>
        <v>65448.166957049987</v>
      </c>
      <c r="L37" s="80">
        <f t="shared" si="15"/>
        <v>0.32561277093059693</v>
      </c>
      <c r="M37" s="178">
        <f>+K37*1.025</f>
        <v>67084.371130976229</v>
      </c>
      <c r="N37" s="80">
        <f t="shared" si="16"/>
        <v>0.32407908758925713</v>
      </c>
      <c r="O37" s="178">
        <f>+M37*1.025</f>
        <v>68761.480409250624</v>
      </c>
      <c r="P37" s="80">
        <f t="shared" si="17"/>
        <v>0.32282385168662264</v>
      </c>
      <c r="Q37" s="178">
        <f>+O37*1.025</f>
        <v>70480.517419481883</v>
      </c>
      <c r="R37" s="80">
        <f t="shared" si="18"/>
        <v>0.32182884666430084</v>
      </c>
      <c r="S37" s="178">
        <f>+Q37*1.025</f>
        <v>72242.530354968927</v>
      </c>
      <c r="T37" s="80">
        <f t="shared" si="19"/>
        <v>0.31965721396003949</v>
      </c>
      <c r="U37" s="178">
        <f>+S37*1.025</f>
        <v>74048.593613843143</v>
      </c>
      <c r="V37" s="80">
        <f t="shared" si="20"/>
        <v>0.31917497247346183</v>
      </c>
    </row>
    <row r="38" spans="1:22" ht="12.75" customHeight="1">
      <c r="A38" s="2" t="s">
        <v>386</v>
      </c>
      <c r="B38" s="35"/>
      <c r="C38" s="178"/>
      <c r="D38" s="80">
        <f t="shared" si="11"/>
        <v>0</v>
      </c>
      <c r="E38" s="178"/>
      <c r="F38" s="80">
        <f t="shared" si="12"/>
        <v>0</v>
      </c>
      <c r="G38" s="178">
        <f>+E38*1.035</f>
        <v>0</v>
      </c>
      <c r="H38" s="80">
        <f t="shared" si="13"/>
        <v>0</v>
      </c>
      <c r="I38" s="178">
        <f>+G38*1.032</f>
        <v>0</v>
      </c>
      <c r="J38" s="80">
        <f t="shared" si="14"/>
        <v>0</v>
      </c>
      <c r="K38" s="178">
        <f>+I38*1.025</f>
        <v>0</v>
      </c>
      <c r="L38" s="80">
        <f t="shared" si="15"/>
        <v>0</v>
      </c>
      <c r="M38" s="178">
        <f>+K38*1.025</f>
        <v>0</v>
      </c>
      <c r="N38" s="80">
        <f t="shared" si="16"/>
        <v>0</v>
      </c>
      <c r="O38" s="178">
        <f>+M38*1.025</f>
        <v>0</v>
      </c>
      <c r="P38" s="80">
        <f t="shared" si="17"/>
        <v>0</v>
      </c>
      <c r="Q38" s="178">
        <f>+O38*1.025</f>
        <v>0</v>
      </c>
      <c r="R38" s="80">
        <f t="shared" si="18"/>
        <v>0</v>
      </c>
      <c r="S38" s="178">
        <f>+Q38*1.025</f>
        <v>0</v>
      </c>
      <c r="T38" s="80">
        <f t="shared" si="19"/>
        <v>0</v>
      </c>
      <c r="U38" s="178">
        <f>+S38*1.025</f>
        <v>0</v>
      </c>
      <c r="V38" s="80">
        <f t="shared" si="20"/>
        <v>0</v>
      </c>
    </row>
    <row r="39" spans="1:22" ht="12.75" customHeight="1">
      <c r="A39" s="2" t="s">
        <v>387</v>
      </c>
      <c r="B39" s="35"/>
      <c r="C39" s="178"/>
      <c r="D39" s="80">
        <f t="shared" si="11"/>
        <v>0</v>
      </c>
      <c r="E39" s="178"/>
      <c r="F39" s="80">
        <f t="shared" si="12"/>
        <v>0</v>
      </c>
      <c r="G39" s="178">
        <f>+E39*1.035</f>
        <v>0</v>
      </c>
      <c r="H39" s="80">
        <f t="shared" si="13"/>
        <v>0</v>
      </c>
      <c r="I39" s="178">
        <f>+G39*1.032</f>
        <v>0</v>
      </c>
      <c r="J39" s="80">
        <f t="shared" si="14"/>
        <v>0</v>
      </c>
      <c r="K39" s="178">
        <f>+I39*1.025</f>
        <v>0</v>
      </c>
      <c r="L39" s="80">
        <f t="shared" si="15"/>
        <v>0</v>
      </c>
      <c r="M39" s="178">
        <f>+K39*1.025</f>
        <v>0</v>
      </c>
      <c r="N39" s="80">
        <f t="shared" si="16"/>
        <v>0</v>
      </c>
      <c r="O39" s="178">
        <f>+M39*1.025</f>
        <v>0</v>
      </c>
      <c r="P39" s="80">
        <f t="shared" si="17"/>
        <v>0</v>
      </c>
      <c r="Q39" s="178">
        <f>+O39*1.025</f>
        <v>0</v>
      </c>
      <c r="R39" s="80">
        <f t="shared" si="18"/>
        <v>0</v>
      </c>
      <c r="S39" s="178">
        <f>+Q39*1.025</f>
        <v>0</v>
      </c>
      <c r="T39" s="80">
        <f t="shared" si="19"/>
        <v>0</v>
      </c>
      <c r="U39" s="178">
        <f>+S39*1.025</f>
        <v>0</v>
      </c>
      <c r="V39" s="80">
        <f t="shared" si="20"/>
        <v>0</v>
      </c>
    </row>
    <row r="40" spans="1:22" ht="12.75" customHeight="1">
      <c r="A40" s="2" t="s">
        <v>388</v>
      </c>
      <c r="B40" s="35"/>
      <c r="C40" s="178">
        <f>C36*0.124</f>
        <v>0</v>
      </c>
      <c r="D40" s="80">
        <f t="shared" si="11"/>
        <v>0</v>
      </c>
      <c r="E40" s="113"/>
      <c r="F40" s="80">
        <f t="shared" si="12"/>
        <v>0</v>
      </c>
      <c r="G40" s="178">
        <f>G36*0.124</f>
        <v>0</v>
      </c>
      <c r="H40" s="80">
        <f t="shared" si="13"/>
        <v>0</v>
      </c>
      <c r="I40" s="178">
        <f>I36*0.124</f>
        <v>0</v>
      </c>
      <c r="J40" s="80">
        <f t="shared" si="14"/>
        <v>0</v>
      </c>
      <c r="K40" s="178">
        <f>K36*0.124</f>
        <v>0</v>
      </c>
      <c r="L40" s="80">
        <f t="shared" si="15"/>
        <v>0</v>
      </c>
      <c r="M40" s="178">
        <f>M36*0.124</f>
        <v>0</v>
      </c>
      <c r="N40" s="80">
        <f t="shared" si="16"/>
        <v>0</v>
      </c>
      <c r="O40" s="178">
        <f>O36*0.124</f>
        <v>0</v>
      </c>
      <c r="P40" s="80">
        <f t="shared" si="17"/>
        <v>0</v>
      </c>
      <c r="Q40" s="178">
        <f>Q36*0.124</f>
        <v>0</v>
      </c>
      <c r="R40" s="80">
        <f t="shared" si="18"/>
        <v>0</v>
      </c>
      <c r="S40" s="178">
        <f>S36*0.124</f>
        <v>0</v>
      </c>
      <c r="T40" s="80">
        <f t="shared" si="19"/>
        <v>0</v>
      </c>
      <c r="U40" s="178">
        <f>U36*0.124</f>
        <v>0</v>
      </c>
      <c r="V40" s="80">
        <f t="shared" si="20"/>
        <v>0</v>
      </c>
    </row>
    <row r="41" spans="1:22" ht="12.75" customHeight="1">
      <c r="A41" s="2" t="s">
        <v>389</v>
      </c>
      <c r="B41" s="35"/>
      <c r="C41" s="178">
        <f>C37*0.124</f>
        <v>9569.5759999999991</v>
      </c>
      <c r="D41" s="80">
        <f t="shared" si="11"/>
        <v>9.5695759999999991E-2</v>
      </c>
      <c r="E41" s="178">
        <f>E37*0.124</f>
        <v>9808.8153999999995</v>
      </c>
      <c r="F41" s="80">
        <f t="shared" si="12"/>
        <v>5.4493418888888888E-2</v>
      </c>
      <c r="G41" s="178">
        <f>G37*0.124</f>
        <v>7672.1239389999982</v>
      </c>
      <c r="H41" s="80">
        <f t="shared" si="13"/>
        <v>4.1027400743315498E-2</v>
      </c>
      <c r="I41" s="178">
        <f>I37*0.124</f>
        <v>7917.6319050479988</v>
      </c>
      <c r="J41" s="80">
        <f t="shared" si="14"/>
        <v>4.0603240538707688E-2</v>
      </c>
      <c r="K41" s="178">
        <f>K37*0.124</f>
        <v>8115.5727026741979</v>
      </c>
      <c r="L41" s="80">
        <f t="shared" si="15"/>
        <v>4.0375983595394016E-2</v>
      </c>
      <c r="M41" s="178">
        <f>M37*0.124</f>
        <v>8318.4620202410515</v>
      </c>
      <c r="N41" s="80">
        <f t="shared" si="16"/>
        <v>4.0185806861067881E-2</v>
      </c>
      <c r="O41" s="178">
        <f>O37*0.124</f>
        <v>8526.423570747078</v>
      </c>
      <c r="P41" s="80">
        <f t="shared" si="17"/>
        <v>4.0030157609141213E-2</v>
      </c>
      <c r="Q41" s="178">
        <f>Q37*0.124</f>
        <v>8739.5841600157528</v>
      </c>
      <c r="R41" s="80">
        <f t="shared" si="18"/>
        <v>3.99067769863733E-2</v>
      </c>
      <c r="S41" s="178">
        <f>S37*0.124</f>
        <v>8958.073764016146</v>
      </c>
      <c r="T41" s="80">
        <f t="shared" si="19"/>
        <v>3.9637494531044891E-2</v>
      </c>
      <c r="U41" s="178">
        <f>U37*0.124</f>
        <v>9182.0256081165498</v>
      </c>
      <c r="V41" s="80">
        <f t="shared" si="20"/>
        <v>3.9577696586709267E-2</v>
      </c>
    </row>
    <row r="42" spans="1:22" ht="12.75" customHeight="1">
      <c r="A42" s="2" t="s">
        <v>390</v>
      </c>
      <c r="B42" s="35"/>
      <c r="C42" s="178"/>
      <c r="D42" s="80">
        <f t="shared" si="11"/>
        <v>0</v>
      </c>
      <c r="E42" s="178"/>
      <c r="F42" s="80">
        <f t="shared" si="12"/>
        <v>0</v>
      </c>
      <c r="G42" s="178"/>
      <c r="H42" s="80">
        <f t="shared" si="13"/>
        <v>0</v>
      </c>
      <c r="I42" s="178"/>
      <c r="J42" s="80">
        <f t="shared" si="14"/>
        <v>0</v>
      </c>
      <c r="K42" s="178"/>
      <c r="L42" s="80">
        <f t="shared" si="15"/>
        <v>0</v>
      </c>
      <c r="M42" s="178"/>
      <c r="N42" s="80">
        <f t="shared" si="16"/>
        <v>0</v>
      </c>
      <c r="O42" s="178"/>
      <c r="P42" s="80">
        <f t="shared" si="17"/>
        <v>0</v>
      </c>
      <c r="Q42" s="178"/>
      <c r="R42" s="80">
        <f t="shared" si="18"/>
        <v>0</v>
      </c>
      <c r="S42" s="178"/>
      <c r="T42" s="80">
        <f t="shared" si="19"/>
        <v>0</v>
      </c>
      <c r="U42" s="178"/>
      <c r="V42" s="80">
        <f t="shared" si="20"/>
        <v>0</v>
      </c>
    </row>
    <row r="43" spans="1:22" ht="12.75" customHeight="1">
      <c r="A43" s="2" t="s">
        <v>391</v>
      </c>
      <c r="B43" s="35"/>
      <c r="C43" s="178"/>
      <c r="D43" s="80">
        <f t="shared" si="11"/>
        <v>0</v>
      </c>
      <c r="E43" s="178"/>
      <c r="F43" s="80">
        <f t="shared" si="12"/>
        <v>0</v>
      </c>
      <c r="G43" s="178"/>
      <c r="H43" s="80">
        <f t="shared" si="13"/>
        <v>0</v>
      </c>
      <c r="I43" s="178"/>
      <c r="J43" s="80">
        <f t="shared" si="14"/>
        <v>0</v>
      </c>
      <c r="K43" s="178"/>
      <c r="L43" s="80">
        <f t="shared" si="15"/>
        <v>0</v>
      </c>
      <c r="M43" s="178"/>
      <c r="N43" s="80">
        <f t="shared" si="16"/>
        <v>0</v>
      </c>
      <c r="O43" s="178"/>
      <c r="P43" s="80">
        <f t="shared" si="17"/>
        <v>0</v>
      </c>
      <c r="Q43" s="178"/>
      <c r="R43" s="80">
        <f t="shared" si="18"/>
        <v>0</v>
      </c>
      <c r="S43" s="178"/>
      <c r="T43" s="80">
        <f t="shared" si="19"/>
        <v>0</v>
      </c>
      <c r="U43" s="178"/>
      <c r="V43" s="80">
        <f t="shared" si="20"/>
        <v>0</v>
      </c>
    </row>
    <row r="44" spans="1:22" ht="12.75" customHeight="1">
      <c r="A44" s="2" t="s">
        <v>392</v>
      </c>
      <c r="B44" s="35"/>
      <c r="C44" s="178"/>
      <c r="D44" s="80">
        <f t="shared" si="11"/>
        <v>0</v>
      </c>
      <c r="E44" s="178"/>
      <c r="F44" s="80">
        <f t="shared" si="12"/>
        <v>0</v>
      </c>
      <c r="G44" s="178"/>
      <c r="H44" s="80">
        <f t="shared" si="13"/>
        <v>0</v>
      </c>
      <c r="I44" s="178"/>
      <c r="J44" s="80">
        <f t="shared" si="14"/>
        <v>0</v>
      </c>
      <c r="K44" s="178"/>
      <c r="L44" s="80">
        <f t="shared" si="15"/>
        <v>0</v>
      </c>
      <c r="M44" s="178"/>
      <c r="N44" s="80">
        <f t="shared" si="16"/>
        <v>0</v>
      </c>
      <c r="O44" s="178"/>
      <c r="P44" s="80">
        <f t="shared" si="17"/>
        <v>0</v>
      </c>
      <c r="Q44" s="178"/>
      <c r="R44" s="80">
        <f t="shared" si="18"/>
        <v>0</v>
      </c>
      <c r="S44" s="178"/>
      <c r="T44" s="80">
        <f t="shared" si="19"/>
        <v>0</v>
      </c>
      <c r="U44" s="178"/>
      <c r="V44" s="80">
        <f t="shared" si="20"/>
        <v>0</v>
      </c>
    </row>
    <row r="45" spans="1:22" ht="12.75" customHeight="1">
      <c r="A45" s="2" t="s">
        <v>393</v>
      </c>
      <c r="B45" s="35"/>
      <c r="C45" s="181">
        <f>SUM(C36:C39)*0.094</f>
        <v>7254.3559999999998</v>
      </c>
      <c r="D45" s="80">
        <f t="shared" si="11"/>
        <v>7.2543559999999993E-2</v>
      </c>
      <c r="E45" s="181">
        <f>SUM(E36:E39)*0.094</f>
        <v>7435.714899999999</v>
      </c>
      <c r="F45" s="80">
        <f t="shared" si="12"/>
        <v>4.1309527222222218E-2</v>
      </c>
      <c r="G45" s="181">
        <f>SUM(G36:G39)*0.094</f>
        <v>5815.964921499999</v>
      </c>
      <c r="H45" s="80">
        <f t="shared" si="13"/>
        <v>3.1101416692513362E-2</v>
      </c>
      <c r="I45" s="181">
        <f>SUM(I36:I39)*0.094</f>
        <v>6002.0757989879994</v>
      </c>
      <c r="J45" s="80">
        <f t="shared" si="14"/>
        <v>3.077987589224615E-2</v>
      </c>
      <c r="K45" s="181">
        <f>SUM(K36:K39)*0.094</f>
        <v>6152.1276939626987</v>
      </c>
      <c r="L45" s="80">
        <f t="shared" si="15"/>
        <v>3.0607600467476112E-2</v>
      </c>
      <c r="M45" s="181">
        <f>SUM(M36:M39)*0.094</f>
        <v>6305.9308863117658</v>
      </c>
      <c r="N45" s="80">
        <f t="shared" si="16"/>
        <v>3.0463434233390173E-2</v>
      </c>
      <c r="O45" s="181">
        <f>SUM(O36:O39)*0.094</f>
        <v>6463.5791584695589</v>
      </c>
      <c r="P45" s="80">
        <f t="shared" si="17"/>
        <v>3.0345442058542529E-2</v>
      </c>
      <c r="Q45" s="181">
        <f>SUM(Q36:Q39)*0.094</f>
        <v>6625.1686374312967</v>
      </c>
      <c r="R45" s="80">
        <f t="shared" si="18"/>
        <v>3.0251911586444278E-2</v>
      </c>
      <c r="S45" s="181">
        <f>SUM(S36:S39)*0.094</f>
        <v>6790.7978533670794</v>
      </c>
      <c r="T45" s="80">
        <f t="shared" si="19"/>
        <v>3.0047778112243715E-2</v>
      </c>
      <c r="U45" s="181">
        <f>SUM(U36:U39)*0.094</f>
        <v>6960.5677997012554</v>
      </c>
      <c r="V45" s="80">
        <f t="shared" si="20"/>
        <v>3.000244741250541E-2</v>
      </c>
    </row>
    <row r="46" spans="1:22" ht="12.75" customHeight="1">
      <c r="A46" s="1" t="s">
        <v>394</v>
      </c>
      <c r="B46" s="53"/>
      <c r="C46" s="82">
        <f>SUM(C36:C45)</f>
        <v>93997.932000000001</v>
      </c>
      <c r="D46" s="83">
        <f t="shared" si="11"/>
        <v>0.93997931999999995</v>
      </c>
      <c r="E46" s="82">
        <f>SUM(E36:E45)</f>
        <v>96347.88029999999</v>
      </c>
      <c r="F46" s="83">
        <f t="shared" si="12"/>
        <v>0.5352660016666666</v>
      </c>
      <c r="G46" s="82">
        <f>SUM(G36:G45)</f>
        <v>75360.05611049998</v>
      </c>
      <c r="H46" s="83">
        <f t="shared" si="13"/>
        <v>0.40299495246256672</v>
      </c>
      <c r="I46" s="82">
        <f>SUM(I36:I45)</f>
        <v>77771.577906035978</v>
      </c>
      <c r="J46" s="83">
        <f t="shared" si="14"/>
        <v>0.39882860464633835</v>
      </c>
      <c r="K46" s="82">
        <f>SUM(K36:K45)</f>
        <v>79715.867353686888</v>
      </c>
      <c r="L46" s="83">
        <f t="shared" si="15"/>
        <v>0.39659635499346713</v>
      </c>
      <c r="M46" s="82">
        <f>SUM(M36:M45)</f>
        <v>81708.76403752905</v>
      </c>
      <c r="N46" s="83">
        <f t="shared" si="16"/>
        <v>0.39472832868371521</v>
      </c>
      <c r="O46" s="82">
        <f>SUM(O36:O45)</f>
        <v>83751.483138467258</v>
      </c>
      <c r="P46" s="83">
        <f t="shared" si="17"/>
        <v>0.3931994513543064</v>
      </c>
      <c r="Q46" s="82">
        <f>SUM(Q36:Q45)</f>
        <v>85845.27021692894</v>
      </c>
      <c r="R46" s="83">
        <f t="shared" si="18"/>
        <v>0.39198753523711843</v>
      </c>
      <c r="S46" s="82">
        <f>SUM(S36:S45)</f>
        <v>87991.401972352149</v>
      </c>
      <c r="T46" s="83">
        <f t="shared" si="19"/>
        <v>0.3893424866033281</v>
      </c>
      <c r="U46" s="82">
        <f>SUM(U36:U45)</f>
        <v>90191.187021660953</v>
      </c>
      <c r="V46" s="83">
        <f t="shared" si="20"/>
        <v>0.38875511647267652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366</v>
      </c>
      <c r="E50" s="86" t="str">
        <f>E6</f>
        <v>FY 2019-20</v>
      </c>
      <c r="F50" s="86" t="s">
        <v>366</v>
      </c>
      <c r="G50" s="86" t="str">
        <f>G6</f>
        <v>FY 2020-21</v>
      </c>
      <c r="H50" s="86" t="s">
        <v>366</v>
      </c>
      <c r="I50" s="86" t="str">
        <f>I6</f>
        <v>FY 2021-22</v>
      </c>
      <c r="J50" s="86" t="s">
        <v>366</v>
      </c>
      <c r="K50" s="86" t="str">
        <f>K6</f>
        <v>FY 2022-23</v>
      </c>
      <c r="L50" s="86" t="s">
        <v>366</v>
      </c>
      <c r="M50" s="86" t="str">
        <f>M6</f>
        <v>FY 2023-24</v>
      </c>
      <c r="N50" s="86" t="s">
        <v>366</v>
      </c>
      <c r="O50" s="86" t="str">
        <f>O6</f>
        <v>FY 2024-25</v>
      </c>
      <c r="P50" s="86" t="s">
        <v>366</v>
      </c>
      <c r="Q50" s="86" t="str">
        <f>Q6</f>
        <v>FY 2025-26</v>
      </c>
      <c r="R50" s="86" t="s">
        <v>366</v>
      </c>
      <c r="S50" s="86" t="str">
        <f>S6</f>
        <v>FY 2026-27</v>
      </c>
      <c r="T50" s="86" t="s">
        <v>366</v>
      </c>
      <c r="U50" s="86" t="str">
        <f>U6</f>
        <v>FY 2027-28</v>
      </c>
      <c r="V50" s="86" t="s">
        <v>366</v>
      </c>
    </row>
    <row r="51" spans="1:24" ht="12.75" customHeight="1">
      <c r="A51" s="1" t="s">
        <v>395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396</v>
      </c>
      <c r="B52" s="35"/>
      <c r="C52" s="178">
        <v>0</v>
      </c>
      <c r="D52" s="80">
        <f t="shared" ref="D52:D104" si="21">IFERROR(C52/C$28,0)</f>
        <v>0</v>
      </c>
      <c r="E52" s="178">
        <v>0</v>
      </c>
      <c r="F52" s="80">
        <f t="shared" ref="F52:F104" si="22">IFERROR(E52/E$28,0)</f>
        <v>0</v>
      </c>
      <c r="G52" s="178">
        <v>0</v>
      </c>
      <c r="H52" s="80">
        <f t="shared" ref="H52:H104" si="23">IFERROR(G52/G$28,0)</f>
        <v>0</v>
      </c>
      <c r="I52" s="178">
        <v>0</v>
      </c>
      <c r="J52" s="80">
        <f t="shared" ref="J52:J104" si="24">IFERROR(I52/I$28,0)</f>
        <v>0</v>
      </c>
      <c r="K52" s="178">
        <v>0</v>
      </c>
      <c r="L52" s="80">
        <f t="shared" ref="L52:L104" si="25">IFERROR(K52/K$28,0)</f>
        <v>0</v>
      </c>
      <c r="M52" s="178">
        <v>0</v>
      </c>
      <c r="N52" s="80">
        <f t="shared" ref="N52:N104" si="26">IFERROR(M52/M$28,0)</f>
        <v>0</v>
      </c>
      <c r="O52" s="178">
        <v>0</v>
      </c>
      <c r="P52" s="80">
        <f t="shared" ref="P52:P104" si="27">IFERROR(O52/O$28,0)</f>
        <v>0</v>
      </c>
      <c r="Q52" s="178">
        <v>0</v>
      </c>
      <c r="R52" s="80">
        <f t="shared" ref="R52:R104" si="28">IFERROR(Q52/Q$28,0)</f>
        <v>0</v>
      </c>
      <c r="S52" s="178">
        <v>0</v>
      </c>
      <c r="T52" s="80">
        <f t="shared" ref="T52:T104" si="29">IFERROR(S52/S$28,0)</f>
        <v>0</v>
      </c>
      <c r="U52" s="178">
        <v>0</v>
      </c>
      <c r="V52" s="80">
        <f t="shared" ref="V52:V105" si="30">IFERROR(U52/U$28,0)</f>
        <v>0</v>
      </c>
      <c r="X52" s="192"/>
    </row>
    <row r="53" spans="1:24" ht="12.75" customHeight="1">
      <c r="A53" s="2" t="s">
        <v>397</v>
      </c>
      <c r="B53" s="35"/>
      <c r="C53" s="178">
        <v>0</v>
      </c>
      <c r="D53" s="80">
        <f t="shared" si="21"/>
        <v>0</v>
      </c>
      <c r="E53" s="178">
        <v>0</v>
      </c>
      <c r="F53" s="80">
        <f t="shared" si="22"/>
        <v>0</v>
      </c>
      <c r="G53" s="178">
        <v>0</v>
      </c>
      <c r="H53" s="80">
        <f t="shared" si="23"/>
        <v>0</v>
      </c>
      <c r="I53" s="178">
        <v>0</v>
      </c>
      <c r="J53" s="80">
        <f t="shared" si="24"/>
        <v>0</v>
      </c>
      <c r="K53" s="178">
        <v>0</v>
      </c>
      <c r="L53" s="80">
        <f t="shared" si="25"/>
        <v>0</v>
      </c>
      <c r="M53" s="178">
        <v>0</v>
      </c>
      <c r="N53" s="80">
        <f t="shared" si="26"/>
        <v>0</v>
      </c>
      <c r="O53" s="178">
        <v>0</v>
      </c>
      <c r="P53" s="80">
        <f t="shared" si="27"/>
        <v>0</v>
      </c>
      <c r="Q53" s="178">
        <v>0</v>
      </c>
      <c r="R53" s="80">
        <f t="shared" si="28"/>
        <v>0</v>
      </c>
      <c r="S53" s="178">
        <v>0</v>
      </c>
      <c r="T53" s="80">
        <f t="shared" si="29"/>
        <v>0</v>
      </c>
      <c r="U53" s="178">
        <v>0</v>
      </c>
      <c r="V53" s="80">
        <f t="shared" si="30"/>
        <v>0</v>
      </c>
      <c r="X53" s="192"/>
    </row>
    <row r="54" spans="1:24" ht="12.75" customHeight="1">
      <c r="A54" s="2" t="s">
        <v>398</v>
      </c>
      <c r="B54" s="35"/>
      <c r="C54" s="178">
        <v>70</v>
      </c>
      <c r="D54" s="80">
        <f t="shared" si="21"/>
        <v>6.9999999999999999E-4</v>
      </c>
      <c r="E54" s="178">
        <v>125.99999999999999</v>
      </c>
      <c r="F54" s="80">
        <f t="shared" si="22"/>
        <v>6.9999999999999988E-4</v>
      </c>
      <c r="G54" s="178">
        <v>130.9</v>
      </c>
      <c r="H54" s="80">
        <f t="shared" si="23"/>
        <v>6.9999999999999999E-4</v>
      </c>
      <c r="I54" s="178">
        <v>136.5</v>
      </c>
      <c r="J54" s="80">
        <f t="shared" si="24"/>
        <v>6.9999999999999999E-4</v>
      </c>
      <c r="K54" s="178">
        <v>140.69999999999999</v>
      </c>
      <c r="L54" s="80">
        <f t="shared" si="25"/>
        <v>6.9999999999999999E-4</v>
      </c>
      <c r="M54" s="178">
        <v>144.9</v>
      </c>
      <c r="N54" s="80">
        <f t="shared" si="26"/>
        <v>6.9999999999999999E-4</v>
      </c>
      <c r="O54" s="178">
        <v>149.1</v>
      </c>
      <c r="P54" s="80">
        <f t="shared" si="27"/>
        <v>6.9999999999999999E-4</v>
      </c>
      <c r="Q54" s="178">
        <v>153.30000000000001</v>
      </c>
      <c r="R54" s="80">
        <f t="shared" si="28"/>
        <v>7.000000000000001E-4</v>
      </c>
      <c r="S54" s="178">
        <v>158.19999999999999</v>
      </c>
      <c r="T54" s="80">
        <f t="shared" si="29"/>
        <v>6.9999999999999999E-4</v>
      </c>
      <c r="U54" s="178">
        <v>162.4</v>
      </c>
      <c r="V54" s="80">
        <f t="shared" si="30"/>
        <v>6.9999999999999999E-4</v>
      </c>
      <c r="X54" s="192"/>
    </row>
    <row r="55" spans="1:24" ht="12.75" customHeight="1">
      <c r="A55" s="2" t="s">
        <v>399</v>
      </c>
      <c r="B55" s="35"/>
      <c r="C55" s="178"/>
      <c r="D55" s="80">
        <f t="shared" si="21"/>
        <v>0</v>
      </c>
      <c r="E55" s="178"/>
      <c r="F55" s="80">
        <f t="shared" si="22"/>
        <v>0</v>
      </c>
      <c r="G55" s="178"/>
      <c r="H55" s="80">
        <f t="shared" si="23"/>
        <v>0</v>
      </c>
      <c r="I55" s="178"/>
      <c r="J55" s="80">
        <f t="shared" si="24"/>
        <v>0</v>
      </c>
      <c r="K55" s="178"/>
      <c r="L55" s="80">
        <f t="shared" si="25"/>
        <v>0</v>
      </c>
      <c r="M55" s="178"/>
      <c r="N55" s="80">
        <f t="shared" si="26"/>
        <v>0</v>
      </c>
      <c r="O55" s="178"/>
      <c r="P55" s="80">
        <f t="shared" si="27"/>
        <v>0</v>
      </c>
      <c r="Q55" s="178"/>
      <c r="R55" s="80">
        <f t="shared" si="28"/>
        <v>0</v>
      </c>
      <c r="S55" s="178"/>
      <c r="T55" s="80">
        <f t="shared" si="29"/>
        <v>0</v>
      </c>
      <c r="U55" s="178"/>
      <c r="V55" s="80">
        <f t="shared" si="30"/>
        <v>0</v>
      </c>
      <c r="X55" s="192"/>
    </row>
    <row r="56" spans="1:24" ht="12.75" customHeight="1">
      <c r="A56" s="2" t="s">
        <v>400</v>
      </c>
      <c r="B56" s="35"/>
      <c r="C56" s="178">
        <v>51</v>
      </c>
      <c r="D56" s="80">
        <f t="shared" si="21"/>
        <v>5.1000000000000004E-4</v>
      </c>
      <c r="E56" s="178">
        <v>91.8</v>
      </c>
      <c r="F56" s="80">
        <f t="shared" si="22"/>
        <v>5.1000000000000004E-4</v>
      </c>
      <c r="G56" s="178">
        <v>95.37</v>
      </c>
      <c r="H56" s="80">
        <f t="shared" si="23"/>
        <v>5.1000000000000004E-4</v>
      </c>
      <c r="I56" s="178">
        <v>99.45</v>
      </c>
      <c r="J56" s="80">
        <f t="shared" si="24"/>
        <v>5.1000000000000004E-4</v>
      </c>
      <c r="K56" s="178">
        <v>102.51</v>
      </c>
      <c r="L56" s="80">
        <f t="shared" si="25"/>
        <v>5.1000000000000004E-4</v>
      </c>
      <c r="M56" s="178">
        <v>105.57000000000001</v>
      </c>
      <c r="N56" s="80">
        <f t="shared" si="26"/>
        <v>5.1000000000000004E-4</v>
      </c>
      <c r="O56" s="178">
        <v>108.63000000000001</v>
      </c>
      <c r="P56" s="80">
        <f t="shared" si="27"/>
        <v>5.1000000000000004E-4</v>
      </c>
      <c r="Q56" s="178">
        <v>111.69000000000001</v>
      </c>
      <c r="R56" s="80">
        <f t="shared" si="28"/>
        <v>5.1000000000000004E-4</v>
      </c>
      <c r="S56" s="178">
        <v>115.26</v>
      </c>
      <c r="T56" s="80">
        <f t="shared" si="29"/>
        <v>5.1000000000000004E-4</v>
      </c>
      <c r="U56" s="178">
        <v>118.32</v>
      </c>
      <c r="V56" s="80">
        <f t="shared" si="30"/>
        <v>5.0999999999999993E-4</v>
      </c>
      <c r="X56" s="192"/>
    </row>
    <row r="57" spans="1:24" ht="12.75" customHeight="1">
      <c r="A57" s="2" t="s">
        <v>401</v>
      </c>
      <c r="B57" s="35"/>
      <c r="C57" s="178">
        <v>0</v>
      </c>
      <c r="D57" s="80">
        <f t="shared" si="21"/>
        <v>0</v>
      </c>
      <c r="E57" s="178">
        <v>0</v>
      </c>
      <c r="F57" s="80">
        <f t="shared" si="22"/>
        <v>0</v>
      </c>
      <c r="G57" s="178">
        <v>0</v>
      </c>
      <c r="H57" s="80">
        <f t="shared" si="23"/>
        <v>0</v>
      </c>
      <c r="I57" s="178">
        <v>0</v>
      </c>
      <c r="J57" s="80">
        <f t="shared" si="24"/>
        <v>0</v>
      </c>
      <c r="K57" s="178">
        <v>0</v>
      </c>
      <c r="L57" s="80">
        <f t="shared" si="25"/>
        <v>0</v>
      </c>
      <c r="M57" s="178">
        <v>0</v>
      </c>
      <c r="N57" s="80">
        <f t="shared" si="26"/>
        <v>0</v>
      </c>
      <c r="O57" s="178">
        <v>0</v>
      </c>
      <c r="P57" s="80">
        <f t="shared" si="27"/>
        <v>0</v>
      </c>
      <c r="Q57" s="178">
        <v>0</v>
      </c>
      <c r="R57" s="80">
        <f t="shared" si="28"/>
        <v>0</v>
      </c>
      <c r="S57" s="178">
        <v>0</v>
      </c>
      <c r="T57" s="80">
        <f t="shared" si="29"/>
        <v>0</v>
      </c>
      <c r="U57" s="178">
        <v>0</v>
      </c>
      <c r="V57" s="80">
        <f t="shared" si="30"/>
        <v>0</v>
      </c>
      <c r="X57" s="192"/>
    </row>
    <row r="58" spans="1:24" ht="12.75" customHeight="1">
      <c r="A58" s="2" t="s">
        <v>402</v>
      </c>
      <c r="B58" s="35"/>
      <c r="C58" s="178">
        <v>0</v>
      </c>
      <c r="D58" s="80">
        <f t="shared" si="21"/>
        <v>0</v>
      </c>
      <c r="E58" s="178">
        <v>0</v>
      </c>
      <c r="F58" s="80">
        <f t="shared" si="22"/>
        <v>0</v>
      </c>
      <c r="G58" s="178">
        <v>0</v>
      </c>
      <c r="H58" s="80">
        <f t="shared" si="23"/>
        <v>0</v>
      </c>
      <c r="I58" s="178">
        <v>0</v>
      </c>
      <c r="J58" s="80">
        <f t="shared" si="24"/>
        <v>0</v>
      </c>
      <c r="K58" s="178">
        <v>0</v>
      </c>
      <c r="L58" s="80">
        <f t="shared" si="25"/>
        <v>0</v>
      </c>
      <c r="M58" s="178">
        <v>0</v>
      </c>
      <c r="N58" s="80">
        <f t="shared" si="26"/>
        <v>0</v>
      </c>
      <c r="O58" s="178">
        <v>0</v>
      </c>
      <c r="P58" s="80">
        <f t="shared" si="27"/>
        <v>0</v>
      </c>
      <c r="Q58" s="178">
        <v>0</v>
      </c>
      <c r="R58" s="80">
        <f t="shared" si="28"/>
        <v>0</v>
      </c>
      <c r="S58" s="178">
        <v>0</v>
      </c>
      <c r="T58" s="80">
        <f t="shared" si="29"/>
        <v>0</v>
      </c>
      <c r="U58" s="178">
        <v>0</v>
      </c>
      <c r="V58" s="80">
        <f t="shared" si="30"/>
        <v>0</v>
      </c>
      <c r="X58" s="192"/>
    </row>
    <row r="59" spans="1:24" ht="12.75" customHeight="1">
      <c r="A59" s="2" t="s">
        <v>403</v>
      </c>
      <c r="B59" s="35"/>
      <c r="C59" s="178"/>
      <c r="D59" s="80">
        <f t="shared" si="21"/>
        <v>0</v>
      </c>
      <c r="E59" s="178"/>
      <c r="F59" s="80">
        <f t="shared" si="22"/>
        <v>0</v>
      </c>
      <c r="G59" s="178"/>
      <c r="H59" s="80">
        <f t="shared" si="23"/>
        <v>0</v>
      </c>
      <c r="I59" s="178"/>
      <c r="J59" s="80">
        <f t="shared" si="24"/>
        <v>0</v>
      </c>
      <c r="K59" s="178"/>
      <c r="L59" s="80">
        <f t="shared" si="25"/>
        <v>0</v>
      </c>
      <c r="M59" s="178"/>
      <c r="N59" s="80">
        <f t="shared" si="26"/>
        <v>0</v>
      </c>
      <c r="O59" s="178"/>
      <c r="P59" s="80">
        <f t="shared" si="27"/>
        <v>0</v>
      </c>
      <c r="Q59" s="178"/>
      <c r="R59" s="80">
        <f t="shared" si="28"/>
        <v>0</v>
      </c>
      <c r="S59" s="178"/>
      <c r="T59" s="80">
        <f t="shared" si="29"/>
        <v>0</v>
      </c>
      <c r="U59" s="178"/>
      <c r="V59" s="80">
        <f t="shared" si="30"/>
        <v>0</v>
      </c>
      <c r="X59" s="192"/>
    </row>
    <row r="60" spans="1:24" ht="12.75" customHeight="1">
      <c r="A60" s="2" t="s">
        <v>404</v>
      </c>
      <c r="B60" s="35"/>
      <c r="C60" s="178">
        <v>0</v>
      </c>
      <c r="D60" s="80">
        <f t="shared" si="21"/>
        <v>0</v>
      </c>
      <c r="E60" s="178">
        <v>0</v>
      </c>
      <c r="F60" s="80">
        <f t="shared" si="22"/>
        <v>0</v>
      </c>
      <c r="G60" s="178">
        <v>0</v>
      </c>
      <c r="H60" s="80">
        <f t="shared" si="23"/>
        <v>0</v>
      </c>
      <c r="I60" s="178">
        <v>0</v>
      </c>
      <c r="J60" s="80">
        <f t="shared" si="24"/>
        <v>0</v>
      </c>
      <c r="K60" s="178">
        <v>0</v>
      </c>
      <c r="L60" s="80">
        <f t="shared" si="25"/>
        <v>0</v>
      </c>
      <c r="M60" s="178">
        <v>0</v>
      </c>
      <c r="N60" s="80">
        <f t="shared" si="26"/>
        <v>0</v>
      </c>
      <c r="O60" s="178">
        <v>0</v>
      </c>
      <c r="P60" s="80">
        <f t="shared" si="27"/>
        <v>0</v>
      </c>
      <c r="Q60" s="178">
        <v>0</v>
      </c>
      <c r="R60" s="80">
        <f t="shared" si="28"/>
        <v>0</v>
      </c>
      <c r="S60" s="178">
        <v>0</v>
      </c>
      <c r="T60" s="80">
        <f t="shared" si="29"/>
        <v>0</v>
      </c>
      <c r="U60" s="178">
        <v>0</v>
      </c>
      <c r="V60" s="80">
        <f t="shared" si="30"/>
        <v>0</v>
      </c>
      <c r="X60" s="192"/>
    </row>
    <row r="61" spans="1:24" ht="12.75" customHeight="1">
      <c r="A61" s="2" t="s">
        <v>405</v>
      </c>
      <c r="B61" s="35"/>
      <c r="C61" s="178">
        <v>0</v>
      </c>
      <c r="D61" s="80">
        <f t="shared" si="21"/>
        <v>0</v>
      </c>
      <c r="E61" s="178">
        <v>0</v>
      </c>
      <c r="F61" s="80">
        <f t="shared" si="22"/>
        <v>0</v>
      </c>
      <c r="G61" s="178">
        <v>0</v>
      </c>
      <c r="H61" s="80">
        <f t="shared" si="23"/>
        <v>0</v>
      </c>
      <c r="I61" s="178">
        <v>0</v>
      </c>
      <c r="J61" s="80">
        <f t="shared" si="24"/>
        <v>0</v>
      </c>
      <c r="K61" s="178">
        <v>0</v>
      </c>
      <c r="L61" s="80">
        <f t="shared" si="25"/>
        <v>0</v>
      </c>
      <c r="M61" s="178">
        <v>0</v>
      </c>
      <c r="N61" s="80">
        <f t="shared" si="26"/>
        <v>0</v>
      </c>
      <c r="O61" s="178">
        <v>0</v>
      </c>
      <c r="P61" s="80">
        <f t="shared" si="27"/>
        <v>0</v>
      </c>
      <c r="Q61" s="178">
        <v>0</v>
      </c>
      <c r="R61" s="80">
        <f t="shared" si="28"/>
        <v>0</v>
      </c>
      <c r="S61" s="178">
        <v>0</v>
      </c>
      <c r="T61" s="80">
        <f t="shared" si="29"/>
        <v>0</v>
      </c>
      <c r="U61" s="178">
        <v>0</v>
      </c>
      <c r="V61" s="80">
        <f t="shared" si="30"/>
        <v>0</v>
      </c>
      <c r="X61" s="192"/>
    </row>
    <row r="62" spans="1:24" ht="12.75" customHeight="1">
      <c r="A62" s="2" t="s">
        <v>406</v>
      </c>
      <c r="B62" s="35"/>
      <c r="C62" s="178">
        <v>0</v>
      </c>
      <c r="D62" s="80">
        <f t="shared" si="21"/>
        <v>0</v>
      </c>
      <c r="E62" s="178">
        <v>0</v>
      </c>
      <c r="F62" s="80">
        <f t="shared" si="22"/>
        <v>0</v>
      </c>
      <c r="G62" s="178">
        <v>0</v>
      </c>
      <c r="H62" s="80">
        <f t="shared" si="23"/>
        <v>0</v>
      </c>
      <c r="I62" s="178">
        <v>0</v>
      </c>
      <c r="J62" s="80">
        <f t="shared" si="24"/>
        <v>0</v>
      </c>
      <c r="K62" s="178">
        <v>0</v>
      </c>
      <c r="L62" s="80">
        <f t="shared" si="25"/>
        <v>0</v>
      </c>
      <c r="M62" s="178">
        <v>0</v>
      </c>
      <c r="N62" s="80">
        <f t="shared" si="26"/>
        <v>0</v>
      </c>
      <c r="O62" s="178">
        <v>0</v>
      </c>
      <c r="P62" s="80">
        <f t="shared" si="27"/>
        <v>0</v>
      </c>
      <c r="Q62" s="178">
        <v>0</v>
      </c>
      <c r="R62" s="80">
        <f t="shared" si="28"/>
        <v>0</v>
      </c>
      <c r="S62" s="178">
        <v>0</v>
      </c>
      <c r="T62" s="80">
        <f t="shared" si="29"/>
        <v>0</v>
      </c>
      <c r="U62" s="178">
        <v>0</v>
      </c>
      <c r="V62" s="80">
        <f t="shared" si="30"/>
        <v>0</v>
      </c>
      <c r="X62" s="192"/>
    </row>
    <row r="63" spans="1:24" ht="12.75" customHeight="1">
      <c r="A63" s="2" t="s">
        <v>407</v>
      </c>
      <c r="B63" s="35"/>
      <c r="C63" s="178">
        <v>1216.5679843630483</v>
      </c>
      <c r="D63" s="80">
        <f t="shared" si="21"/>
        <v>1.2165679843630482E-2</v>
      </c>
      <c r="E63" s="178">
        <v>2222.152385140329</v>
      </c>
      <c r="F63" s="80">
        <f t="shared" si="22"/>
        <v>1.2345291028557383E-2</v>
      </c>
      <c r="G63" s="178">
        <v>2284.1332407927307</v>
      </c>
      <c r="H63" s="80">
        <f t="shared" si="23"/>
        <v>1.2214616260923693E-2</v>
      </c>
      <c r="I63" s="178">
        <v>2387.9662248036507</v>
      </c>
      <c r="J63" s="80">
        <f t="shared" si="24"/>
        <v>1.2245980640018722E-2</v>
      </c>
      <c r="K63" s="178">
        <v>2453.8560342445626</v>
      </c>
      <c r="L63" s="80">
        <f t="shared" si="25"/>
        <v>1.2208238976341107E-2</v>
      </c>
      <c r="M63" s="178">
        <v>2531.3659164123978</v>
      </c>
      <c r="N63" s="80">
        <f t="shared" si="26"/>
        <v>1.2228820852233806E-2</v>
      </c>
      <c r="O63" s="178">
        <v>2610.1087916801043</v>
      </c>
      <c r="P63" s="80">
        <f t="shared" si="27"/>
        <v>1.2254031885822086E-2</v>
      </c>
      <c r="Q63" s="178">
        <v>2691.5143409611132</v>
      </c>
      <c r="R63" s="80">
        <f t="shared" si="28"/>
        <v>1.2290019821740243E-2</v>
      </c>
      <c r="S63" s="178">
        <v>2785.4791152466701</v>
      </c>
      <c r="T63" s="80">
        <f t="shared" si="29"/>
        <v>1.2325128828525088E-2</v>
      </c>
      <c r="U63" s="178">
        <v>2868.1338166974201</v>
      </c>
      <c r="V63" s="80">
        <f t="shared" si="30"/>
        <v>1.236264576162681E-2</v>
      </c>
      <c r="X63" s="192"/>
    </row>
    <row r="64" spans="1:24" ht="12.75" customHeight="1">
      <c r="A64" s="2" t="s">
        <v>408</v>
      </c>
      <c r="B64" s="35"/>
      <c r="C64" s="178">
        <v>479.99999999999994</v>
      </c>
      <c r="D64" s="80">
        <f t="shared" si="21"/>
        <v>4.7999999999999996E-3</v>
      </c>
      <c r="E64" s="178">
        <v>863.99999999999989</v>
      </c>
      <c r="F64" s="80">
        <f t="shared" si="22"/>
        <v>4.7999999999999996E-3</v>
      </c>
      <c r="G64" s="178">
        <v>897.59999999999991</v>
      </c>
      <c r="H64" s="80">
        <f t="shared" si="23"/>
        <v>4.7999999999999996E-3</v>
      </c>
      <c r="I64" s="178">
        <v>935.99999999999989</v>
      </c>
      <c r="J64" s="80">
        <f t="shared" si="24"/>
        <v>4.7999999999999996E-3</v>
      </c>
      <c r="K64" s="178">
        <v>964.8</v>
      </c>
      <c r="L64" s="80">
        <f t="shared" si="25"/>
        <v>4.7999999999999996E-3</v>
      </c>
      <c r="M64" s="178">
        <v>993.59999999999991</v>
      </c>
      <c r="N64" s="80">
        <f t="shared" si="26"/>
        <v>4.7999999999999996E-3</v>
      </c>
      <c r="O64" s="178">
        <v>1022.3999999999999</v>
      </c>
      <c r="P64" s="80">
        <f t="shared" si="27"/>
        <v>4.7999999999999996E-3</v>
      </c>
      <c r="Q64" s="178">
        <v>1051.1999999999998</v>
      </c>
      <c r="R64" s="80">
        <f t="shared" si="28"/>
        <v>4.7999999999999996E-3</v>
      </c>
      <c r="S64" s="178">
        <v>1084.8</v>
      </c>
      <c r="T64" s="80">
        <f t="shared" si="29"/>
        <v>4.7999999999999996E-3</v>
      </c>
      <c r="U64" s="178">
        <v>1113.5999999999999</v>
      </c>
      <c r="V64" s="80">
        <f t="shared" si="30"/>
        <v>4.7999999999999996E-3</v>
      </c>
      <c r="X64" s="192"/>
    </row>
    <row r="65" spans="1:24" ht="12.75" customHeight="1">
      <c r="A65" s="2" t="s">
        <v>409</v>
      </c>
      <c r="B65" s="35"/>
      <c r="C65" s="178">
        <v>50.000000000000007</v>
      </c>
      <c r="D65" s="80">
        <f t="shared" si="21"/>
        <v>5.0000000000000012E-4</v>
      </c>
      <c r="E65" s="178">
        <v>90</v>
      </c>
      <c r="F65" s="80">
        <f t="shared" si="22"/>
        <v>5.0000000000000001E-4</v>
      </c>
      <c r="G65" s="178">
        <v>93.500000000000014</v>
      </c>
      <c r="H65" s="80">
        <f t="shared" si="23"/>
        <v>5.0000000000000012E-4</v>
      </c>
      <c r="I65" s="178">
        <v>97.5</v>
      </c>
      <c r="J65" s="80">
        <f t="shared" si="24"/>
        <v>5.0000000000000001E-4</v>
      </c>
      <c r="K65" s="178">
        <v>100.5</v>
      </c>
      <c r="L65" s="80">
        <f t="shared" si="25"/>
        <v>5.0000000000000001E-4</v>
      </c>
      <c r="M65" s="178">
        <v>103.5</v>
      </c>
      <c r="N65" s="80">
        <f t="shared" si="26"/>
        <v>5.0000000000000001E-4</v>
      </c>
      <c r="O65" s="178">
        <v>106.5</v>
      </c>
      <c r="P65" s="80">
        <f t="shared" si="27"/>
        <v>5.0000000000000001E-4</v>
      </c>
      <c r="Q65" s="178">
        <v>109.5</v>
      </c>
      <c r="R65" s="80">
        <f t="shared" si="28"/>
        <v>5.0000000000000001E-4</v>
      </c>
      <c r="S65" s="178">
        <v>113</v>
      </c>
      <c r="T65" s="80">
        <f t="shared" si="29"/>
        <v>5.0000000000000001E-4</v>
      </c>
      <c r="U65" s="178">
        <v>115.99999999999999</v>
      </c>
      <c r="V65" s="80">
        <f t="shared" si="30"/>
        <v>4.999999999999999E-4</v>
      </c>
      <c r="X65" s="192"/>
    </row>
    <row r="66" spans="1:24" ht="12.75" customHeight="1">
      <c r="A66" s="2" t="s">
        <v>410</v>
      </c>
      <c r="B66" s="35"/>
      <c r="C66" s="178">
        <v>280</v>
      </c>
      <c r="D66" s="80">
        <f t="shared" si="21"/>
        <v>2.8E-3</v>
      </c>
      <c r="E66" s="178">
        <v>503.99999999999994</v>
      </c>
      <c r="F66" s="80">
        <f t="shared" si="22"/>
        <v>2.7999999999999995E-3</v>
      </c>
      <c r="G66" s="178">
        <v>523.6</v>
      </c>
      <c r="H66" s="80">
        <f t="shared" si="23"/>
        <v>2.8E-3</v>
      </c>
      <c r="I66" s="178">
        <v>546</v>
      </c>
      <c r="J66" s="80">
        <f t="shared" si="24"/>
        <v>2.8E-3</v>
      </c>
      <c r="K66" s="178">
        <v>562.79999999999995</v>
      </c>
      <c r="L66" s="80">
        <f t="shared" si="25"/>
        <v>2.8E-3</v>
      </c>
      <c r="M66" s="178">
        <v>579.6</v>
      </c>
      <c r="N66" s="80">
        <f t="shared" si="26"/>
        <v>2.8E-3</v>
      </c>
      <c r="O66" s="178">
        <v>596.4</v>
      </c>
      <c r="P66" s="80">
        <f t="shared" si="27"/>
        <v>2.8E-3</v>
      </c>
      <c r="Q66" s="178">
        <v>613.20000000000005</v>
      </c>
      <c r="R66" s="80">
        <f t="shared" si="28"/>
        <v>2.8000000000000004E-3</v>
      </c>
      <c r="S66" s="178">
        <v>632.79999999999995</v>
      </c>
      <c r="T66" s="80">
        <f t="shared" si="29"/>
        <v>2.8E-3</v>
      </c>
      <c r="U66" s="178">
        <v>649.6</v>
      </c>
      <c r="V66" s="80">
        <f t="shared" si="30"/>
        <v>2.8E-3</v>
      </c>
      <c r="X66" s="192"/>
    </row>
    <row r="67" spans="1:24" ht="12.75" customHeight="1">
      <c r="A67" s="2" t="s">
        <v>411</v>
      </c>
      <c r="B67" s="35"/>
      <c r="C67" s="178">
        <v>1500</v>
      </c>
      <c r="D67" s="80">
        <f t="shared" si="21"/>
        <v>1.4999999999999999E-2</v>
      </c>
      <c r="E67" s="178">
        <v>2700</v>
      </c>
      <c r="F67" s="80">
        <f t="shared" si="22"/>
        <v>1.4999999999999999E-2</v>
      </c>
      <c r="G67" s="178">
        <v>2805</v>
      </c>
      <c r="H67" s="80">
        <f t="shared" si="23"/>
        <v>1.4999999999999999E-2</v>
      </c>
      <c r="I67" s="178">
        <v>2925</v>
      </c>
      <c r="J67" s="80">
        <f t="shared" si="24"/>
        <v>1.4999999999999999E-2</v>
      </c>
      <c r="K67" s="178">
        <v>3014.9999999999995</v>
      </c>
      <c r="L67" s="80">
        <f t="shared" si="25"/>
        <v>1.4999999999999998E-2</v>
      </c>
      <c r="M67" s="178">
        <v>3105</v>
      </c>
      <c r="N67" s="80">
        <f t="shared" si="26"/>
        <v>1.4999999999999999E-2</v>
      </c>
      <c r="O67" s="178">
        <v>3194.9999999999995</v>
      </c>
      <c r="P67" s="80">
        <f t="shared" si="27"/>
        <v>1.4999999999999998E-2</v>
      </c>
      <c r="Q67" s="178">
        <v>3284.9999999999995</v>
      </c>
      <c r="R67" s="80">
        <f t="shared" si="28"/>
        <v>1.4999999999999998E-2</v>
      </c>
      <c r="S67" s="178">
        <v>3390</v>
      </c>
      <c r="T67" s="80">
        <f t="shared" si="29"/>
        <v>1.4999999999999999E-2</v>
      </c>
      <c r="U67" s="178">
        <v>3479.9999999999995</v>
      </c>
      <c r="V67" s="80">
        <f t="shared" si="30"/>
        <v>1.4999999999999998E-2</v>
      </c>
      <c r="X67" s="192"/>
    </row>
    <row r="68" spans="1:24" ht="12.75" customHeight="1">
      <c r="A68" s="2" t="s">
        <v>412</v>
      </c>
      <c r="B68" s="35"/>
      <c r="C68" s="178">
        <v>169.99999999999997</v>
      </c>
      <c r="D68" s="80">
        <f t="shared" si="21"/>
        <v>1.6999999999999997E-3</v>
      </c>
      <c r="E68" s="178">
        <v>305.99999999999994</v>
      </c>
      <c r="F68" s="80">
        <f t="shared" si="22"/>
        <v>1.6999999999999997E-3</v>
      </c>
      <c r="G68" s="178">
        <v>317.89999999999998</v>
      </c>
      <c r="H68" s="80">
        <f t="shared" si="23"/>
        <v>1.6999999999999999E-3</v>
      </c>
      <c r="I68" s="178">
        <v>331.49999999999994</v>
      </c>
      <c r="J68" s="80">
        <f t="shared" si="24"/>
        <v>1.6999999999999997E-3</v>
      </c>
      <c r="K68" s="178">
        <v>341.69999999999993</v>
      </c>
      <c r="L68" s="80">
        <f t="shared" si="25"/>
        <v>1.6999999999999997E-3</v>
      </c>
      <c r="M68" s="178">
        <v>351.9</v>
      </c>
      <c r="N68" s="80">
        <f t="shared" si="26"/>
        <v>1.6999999999999999E-3</v>
      </c>
      <c r="O68" s="178">
        <v>362.09999999999997</v>
      </c>
      <c r="P68" s="80">
        <f t="shared" si="27"/>
        <v>1.6999999999999999E-3</v>
      </c>
      <c r="Q68" s="178">
        <v>372.3</v>
      </c>
      <c r="R68" s="80">
        <f t="shared" si="28"/>
        <v>1.7000000000000001E-3</v>
      </c>
      <c r="S68" s="178">
        <v>384.2</v>
      </c>
      <c r="T68" s="80">
        <f t="shared" si="29"/>
        <v>1.6999999999999999E-3</v>
      </c>
      <c r="U68" s="178">
        <v>394.4</v>
      </c>
      <c r="V68" s="80">
        <f t="shared" si="30"/>
        <v>1.6999999999999999E-3</v>
      </c>
      <c r="X68" s="192"/>
    </row>
    <row r="69" spans="1:24" ht="12.75" customHeight="1">
      <c r="A69" s="2" t="s">
        <v>413</v>
      </c>
      <c r="B69" s="35"/>
      <c r="C69" s="178">
        <v>0</v>
      </c>
      <c r="D69" s="80">
        <f t="shared" si="21"/>
        <v>0</v>
      </c>
      <c r="E69" s="178">
        <v>0</v>
      </c>
      <c r="F69" s="80">
        <f t="shared" si="22"/>
        <v>0</v>
      </c>
      <c r="G69" s="178">
        <v>0</v>
      </c>
      <c r="H69" s="80">
        <f t="shared" si="23"/>
        <v>0</v>
      </c>
      <c r="I69" s="178">
        <v>0</v>
      </c>
      <c r="J69" s="80">
        <f t="shared" si="24"/>
        <v>0</v>
      </c>
      <c r="K69" s="178">
        <v>0</v>
      </c>
      <c r="L69" s="80">
        <f t="shared" si="25"/>
        <v>0</v>
      </c>
      <c r="M69" s="178">
        <v>0</v>
      </c>
      <c r="N69" s="80">
        <f t="shared" si="26"/>
        <v>0</v>
      </c>
      <c r="O69" s="178">
        <v>0</v>
      </c>
      <c r="P69" s="80">
        <f t="shared" si="27"/>
        <v>0</v>
      </c>
      <c r="Q69" s="178">
        <v>0</v>
      </c>
      <c r="R69" s="80">
        <f t="shared" si="28"/>
        <v>0</v>
      </c>
      <c r="S69" s="178">
        <v>0</v>
      </c>
      <c r="T69" s="80">
        <f t="shared" si="29"/>
        <v>0</v>
      </c>
      <c r="U69" s="178">
        <v>0</v>
      </c>
      <c r="V69" s="80">
        <f t="shared" si="30"/>
        <v>0</v>
      </c>
      <c r="X69" s="192"/>
    </row>
    <row r="70" spans="1:24" ht="12.75" customHeight="1">
      <c r="A70" s="2" t="s">
        <v>414</v>
      </c>
      <c r="B70" s="35"/>
      <c r="C70" s="178">
        <v>10.000000000000002</v>
      </c>
      <c r="D70" s="80">
        <f t="shared" si="21"/>
        <v>1.0000000000000002E-4</v>
      </c>
      <c r="E70" s="178">
        <v>18</v>
      </c>
      <c r="F70" s="80">
        <f t="shared" si="22"/>
        <v>1E-4</v>
      </c>
      <c r="G70" s="178">
        <v>18.700000000000003</v>
      </c>
      <c r="H70" s="80">
        <f t="shared" si="23"/>
        <v>1.0000000000000002E-4</v>
      </c>
      <c r="I70" s="178">
        <v>19.5</v>
      </c>
      <c r="J70" s="80">
        <f t="shared" si="24"/>
        <v>1E-4</v>
      </c>
      <c r="K70" s="178">
        <v>20.099999999999998</v>
      </c>
      <c r="L70" s="80">
        <f t="shared" si="25"/>
        <v>9.9999999999999991E-5</v>
      </c>
      <c r="M70" s="178">
        <v>20.7</v>
      </c>
      <c r="N70" s="80">
        <f t="shared" si="26"/>
        <v>9.9999999999999991E-5</v>
      </c>
      <c r="O70" s="178">
        <v>21.3</v>
      </c>
      <c r="P70" s="80">
        <f t="shared" si="27"/>
        <v>1E-4</v>
      </c>
      <c r="Q70" s="178">
        <v>21.900000000000002</v>
      </c>
      <c r="R70" s="80">
        <f t="shared" si="28"/>
        <v>1E-4</v>
      </c>
      <c r="S70" s="178">
        <v>22.6</v>
      </c>
      <c r="T70" s="80">
        <f t="shared" si="29"/>
        <v>1E-4</v>
      </c>
      <c r="U70" s="178">
        <v>23.2</v>
      </c>
      <c r="V70" s="80">
        <f t="shared" si="30"/>
        <v>9.9999999999999991E-5</v>
      </c>
      <c r="X70" s="192"/>
    </row>
    <row r="71" spans="1:24" ht="12.75" customHeight="1">
      <c r="A71" s="2" t="s">
        <v>415</v>
      </c>
      <c r="B71" s="35"/>
      <c r="C71" s="178">
        <v>0</v>
      </c>
      <c r="D71" s="80">
        <f t="shared" si="21"/>
        <v>0</v>
      </c>
      <c r="E71" s="178">
        <v>0</v>
      </c>
      <c r="F71" s="80">
        <f t="shared" si="22"/>
        <v>0</v>
      </c>
      <c r="G71" s="178">
        <v>0</v>
      </c>
      <c r="H71" s="80">
        <f t="shared" si="23"/>
        <v>0</v>
      </c>
      <c r="I71" s="178">
        <v>0</v>
      </c>
      <c r="J71" s="80">
        <f t="shared" si="24"/>
        <v>0</v>
      </c>
      <c r="K71" s="178">
        <v>0</v>
      </c>
      <c r="L71" s="80">
        <f t="shared" si="25"/>
        <v>0</v>
      </c>
      <c r="M71" s="178">
        <v>0</v>
      </c>
      <c r="N71" s="80">
        <f t="shared" si="26"/>
        <v>0</v>
      </c>
      <c r="O71" s="178">
        <v>0</v>
      </c>
      <c r="P71" s="80">
        <f t="shared" si="27"/>
        <v>0</v>
      </c>
      <c r="Q71" s="178">
        <v>0</v>
      </c>
      <c r="R71" s="80">
        <f t="shared" si="28"/>
        <v>0</v>
      </c>
      <c r="S71" s="178">
        <v>0</v>
      </c>
      <c r="T71" s="80">
        <f t="shared" si="29"/>
        <v>0</v>
      </c>
      <c r="U71" s="178">
        <v>0</v>
      </c>
      <c r="V71" s="80">
        <f t="shared" si="30"/>
        <v>0</v>
      </c>
      <c r="X71" s="192"/>
    </row>
    <row r="72" spans="1:24" ht="12.75" customHeight="1">
      <c r="A72" s="2" t="s">
        <v>416</v>
      </c>
      <c r="B72" s="35"/>
      <c r="C72" s="178">
        <v>0</v>
      </c>
      <c r="D72" s="80">
        <f t="shared" si="21"/>
        <v>0</v>
      </c>
      <c r="E72" s="178">
        <v>0</v>
      </c>
      <c r="F72" s="80">
        <f t="shared" si="22"/>
        <v>0</v>
      </c>
      <c r="G72" s="178">
        <v>0</v>
      </c>
      <c r="H72" s="80">
        <f t="shared" si="23"/>
        <v>0</v>
      </c>
      <c r="I72" s="178">
        <v>0</v>
      </c>
      <c r="J72" s="80">
        <f t="shared" si="24"/>
        <v>0</v>
      </c>
      <c r="K72" s="178">
        <v>0</v>
      </c>
      <c r="L72" s="80">
        <f t="shared" si="25"/>
        <v>0</v>
      </c>
      <c r="M72" s="178">
        <v>0</v>
      </c>
      <c r="N72" s="80">
        <f t="shared" si="26"/>
        <v>0</v>
      </c>
      <c r="O72" s="178">
        <v>0</v>
      </c>
      <c r="P72" s="80">
        <f t="shared" si="27"/>
        <v>0</v>
      </c>
      <c r="Q72" s="178">
        <v>0</v>
      </c>
      <c r="R72" s="80">
        <f t="shared" si="28"/>
        <v>0</v>
      </c>
      <c r="S72" s="178">
        <v>0</v>
      </c>
      <c r="T72" s="80">
        <f t="shared" si="29"/>
        <v>0</v>
      </c>
      <c r="U72" s="178">
        <v>0</v>
      </c>
      <c r="V72" s="80">
        <f t="shared" si="30"/>
        <v>0</v>
      </c>
      <c r="X72" s="192"/>
    </row>
    <row r="73" spans="1:24" ht="12.75" customHeight="1">
      <c r="A73" s="2" t="s">
        <v>417</v>
      </c>
      <c r="B73" s="35"/>
      <c r="C73" s="178">
        <v>0</v>
      </c>
      <c r="D73" s="80">
        <f t="shared" si="21"/>
        <v>0</v>
      </c>
      <c r="E73" s="178">
        <v>0</v>
      </c>
      <c r="F73" s="80">
        <f t="shared" si="22"/>
        <v>0</v>
      </c>
      <c r="G73" s="178">
        <v>0</v>
      </c>
      <c r="H73" s="80">
        <f t="shared" si="23"/>
        <v>0</v>
      </c>
      <c r="I73" s="178">
        <v>0</v>
      </c>
      <c r="J73" s="80">
        <f t="shared" si="24"/>
        <v>0</v>
      </c>
      <c r="K73" s="178">
        <v>0</v>
      </c>
      <c r="L73" s="80">
        <f t="shared" si="25"/>
        <v>0</v>
      </c>
      <c r="M73" s="178">
        <v>0</v>
      </c>
      <c r="N73" s="80">
        <f t="shared" si="26"/>
        <v>0</v>
      </c>
      <c r="O73" s="178">
        <v>0</v>
      </c>
      <c r="P73" s="80">
        <f t="shared" si="27"/>
        <v>0</v>
      </c>
      <c r="Q73" s="178">
        <v>0</v>
      </c>
      <c r="R73" s="80">
        <f t="shared" si="28"/>
        <v>0</v>
      </c>
      <c r="S73" s="178">
        <v>0</v>
      </c>
      <c r="T73" s="80">
        <f t="shared" si="29"/>
        <v>0</v>
      </c>
      <c r="U73" s="178">
        <v>0</v>
      </c>
      <c r="V73" s="80">
        <f t="shared" si="30"/>
        <v>0</v>
      </c>
      <c r="X73" s="192"/>
    </row>
    <row r="74" spans="1:24" ht="12.75" customHeight="1">
      <c r="A74" s="2" t="s">
        <v>418</v>
      </c>
      <c r="B74" s="35"/>
      <c r="C74" s="178">
        <v>0</v>
      </c>
      <c r="D74" s="80">
        <f t="shared" si="21"/>
        <v>0</v>
      </c>
      <c r="E74" s="178">
        <v>0</v>
      </c>
      <c r="F74" s="80">
        <f t="shared" si="22"/>
        <v>0</v>
      </c>
      <c r="G74" s="178">
        <v>0</v>
      </c>
      <c r="H74" s="80">
        <f t="shared" si="23"/>
        <v>0</v>
      </c>
      <c r="I74" s="178">
        <v>0</v>
      </c>
      <c r="J74" s="80">
        <f t="shared" si="24"/>
        <v>0</v>
      </c>
      <c r="K74" s="178">
        <v>0</v>
      </c>
      <c r="L74" s="80">
        <f t="shared" si="25"/>
        <v>0</v>
      </c>
      <c r="M74" s="178">
        <v>0</v>
      </c>
      <c r="N74" s="80">
        <f t="shared" si="26"/>
        <v>0</v>
      </c>
      <c r="O74" s="178">
        <v>0</v>
      </c>
      <c r="P74" s="80">
        <f t="shared" si="27"/>
        <v>0</v>
      </c>
      <c r="Q74" s="178">
        <v>0</v>
      </c>
      <c r="R74" s="80">
        <f t="shared" si="28"/>
        <v>0</v>
      </c>
      <c r="S74" s="178">
        <v>0</v>
      </c>
      <c r="T74" s="80">
        <f t="shared" si="29"/>
        <v>0</v>
      </c>
      <c r="U74" s="178">
        <v>0</v>
      </c>
      <c r="V74" s="80">
        <f t="shared" si="30"/>
        <v>0</v>
      </c>
      <c r="X74" s="192"/>
    </row>
    <row r="75" spans="1:24" ht="12.75" customHeight="1">
      <c r="A75" s="2" t="s">
        <v>419</v>
      </c>
      <c r="B75" s="35"/>
      <c r="C75" s="178">
        <v>450</v>
      </c>
      <c r="D75" s="80">
        <f t="shared" si="21"/>
        <v>4.4999999999999997E-3</v>
      </c>
      <c r="E75" s="178">
        <v>809.99999999999989</v>
      </c>
      <c r="F75" s="80">
        <f t="shared" si="22"/>
        <v>4.4999999999999997E-3</v>
      </c>
      <c r="G75" s="178">
        <v>841.5</v>
      </c>
      <c r="H75" s="80">
        <f t="shared" si="23"/>
        <v>4.4999999999999997E-3</v>
      </c>
      <c r="I75" s="178">
        <v>877.5</v>
      </c>
      <c r="J75" s="80">
        <f t="shared" si="24"/>
        <v>4.4999999999999997E-3</v>
      </c>
      <c r="K75" s="178">
        <v>904.49999999999989</v>
      </c>
      <c r="L75" s="80">
        <f t="shared" si="25"/>
        <v>4.4999999999999997E-3</v>
      </c>
      <c r="M75" s="178">
        <v>931.5</v>
      </c>
      <c r="N75" s="80">
        <f t="shared" si="26"/>
        <v>4.4999999999999997E-3</v>
      </c>
      <c r="O75" s="178">
        <v>958.49999999999989</v>
      </c>
      <c r="P75" s="80">
        <f t="shared" si="27"/>
        <v>4.4999999999999997E-3</v>
      </c>
      <c r="Q75" s="178">
        <v>985.5</v>
      </c>
      <c r="R75" s="80">
        <f t="shared" si="28"/>
        <v>4.4999999999999997E-3</v>
      </c>
      <c r="S75" s="178">
        <v>1016.9999999999999</v>
      </c>
      <c r="T75" s="80">
        <f t="shared" si="29"/>
        <v>4.4999999999999997E-3</v>
      </c>
      <c r="U75" s="178">
        <v>1044</v>
      </c>
      <c r="V75" s="80">
        <f t="shared" si="30"/>
        <v>4.4999999999999997E-3</v>
      </c>
      <c r="X75" s="192"/>
    </row>
    <row r="76" spans="1:24" ht="12.75" customHeight="1">
      <c r="A76" s="2" t="s">
        <v>420</v>
      </c>
      <c r="B76" s="35"/>
      <c r="C76" s="178">
        <v>40.000000000000007</v>
      </c>
      <c r="D76" s="80">
        <f t="shared" si="21"/>
        <v>4.0000000000000007E-4</v>
      </c>
      <c r="E76" s="178">
        <v>72</v>
      </c>
      <c r="F76" s="80">
        <f t="shared" si="22"/>
        <v>4.0000000000000002E-4</v>
      </c>
      <c r="G76" s="178">
        <v>74.800000000000011</v>
      </c>
      <c r="H76" s="80">
        <f t="shared" si="23"/>
        <v>4.0000000000000007E-4</v>
      </c>
      <c r="I76" s="178">
        <v>78</v>
      </c>
      <c r="J76" s="80">
        <f t="shared" si="24"/>
        <v>4.0000000000000002E-4</v>
      </c>
      <c r="K76" s="178">
        <v>80.399999999999991</v>
      </c>
      <c r="L76" s="80">
        <f t="shared" si="25"/>
        <v>3.9999999999999996E-4</v>
      </c>
      <c r="M76" s="178">
        <v>82.8</v>
      </c>
      <c r="N76" s="80">
        <f t="shared" si="26"/>
        <v>3.9999999999999996E-4</v>
      </c>
      <c r="O76" s="178">
        <v>85.2</v>
      </c>
      <c r="P76" s="80">
        <f t="shared" si="27"/>
        <v>4.0000000000000002E-4</v>
      </c>
      <c r="Q76" s="178">
        <v>87.600000000000009</v>
      </c>
      <c r="R76" s="80">
        <f t="shared" si="28"/>
        <v>4.0000000000000002E-4</v>
      </c>
      <c r="S76" s="178">
        <v>90.4</v>
      </c>
      <c r="T76" s="80">
        <f t="shared" si="29"/>
        <v>4.0000000000000002E-4</v>
      </c>
      <c r="U76" s="178">
        <v>92.8</v>
      </c>
      <c r="V76" s="80">
        <f t="shared" si="30"/>
        <v>3.9999999999999996E-4</v>
      </c>
      <c r="X76" s="192"/>
    </row>
    <row r="77" spans="1:24" ht="12.75" customHeight="1">
      <c r="A77" s="2" t="s">
        <v>421</v>
      </c>
      <c r="B77" s="35"/>
      <c r="C77" s="178">
        <v>130</v>
      </c>
      <c r="D77" s="80">
        <f t="shared" si="21"/>
        <v>1.2999999999999999E-3</v>
      </c>
      <c r="E77" s="178">
        <v>234</v>
      </c>
      <c r="F77" s="80">
        <f t="shared" si="22"/>
        <v>1.2999999999999999E-3</v>
      </c>
      <c r="G77" s="178">
        <v>243.1</v>
      </c>
      <c r="H77" s="80">
        <f t="shared" si="23"/>
        <v>1.2999999999999999E-3</v>
      </c>
      <c r="I77" s="178">
        <v>253.5</v>
      </c>
      <c r="J77" s="80">
        <f t="shared" si="24"/>
        <v>1.2999999999999999E-3</v>
      </c>
      <c r="K77" s="178">
        <v>261.29999999999995</v>
      </c>
      <c r="L77" s="80">
        <f t="shared" si="25"/>
        <v>1.2999999999999997E-3</v>
      </c>
      <c r="M77" s="178">
        <v>269.10000000000002</v>
      </c>
      <c r="N77" s="80">
        <f t="shared" si="26"/>
        <v>1.3000000000000002E-3</v>
      </c>
      <c r="O77" s="178">
        <v>276.89999999999998</v>
      </c>
      <c r="P77" s="80">
        <f t="shared" si="27"/>
        <v>1.2999999999999999E-3</v>
      </c>
      <c r="Q77" s="178">
        <v>284.69999999999993</v>
      </c>
      <c r="R77" s="80">
        <f t="shared" si="28"/>
        <v>1.2999999999999997E-3</v>
      </c>
      <c r="S77" s="178">
        <v>293.8</v>
      </c>
      <c r="T77" s="80">
        <f t="shared" si="29"/>
        <v>1.3000000000000002E-3</v>
      </c>
      <c r="U77" s="178">
        <v>301.59999999999997</v>
      </c>
      <c r="V77" s="80">
        <f t="shared" si="30"/>
        <v>1.2999999999999999E-3</v>
      </c>
      <c r="X77" s="192"/>
    </row>
    <row r="78" spans="1:24" ht="12.75" customHeight="1">
      <c r="A78" s="2" t="s">
        <v>422</v>
      </c>
      <c r="B78" s="35"/>
      <c r="C78" s="178">
        <v>2200</v>
      </c>
      <c r="D78" s="80">
        <f t="shared" si="21"/>
        <v>2.1999999999999999E-2</v>
      </c>
      <c r="E78" s="178">
        <v>3959.9999999999995</v>
      </c>
      <c r="F78" s="80">
        <f t="shared" si="22"/>
        <v>2.1999999999999999E-2</v>
      </c>
      <c r="G78" s="178">
        <v>4114</v>
      </c>
      <c r="H78" s="80">
        <f t="shared" si="23"/>
        <v>2.1999999999999999E-2</v>
      </c>
      <c r="I78" s="178">
        <v>4290</v>
      </c>
      <c r="J78" s="80">
        <f t="shared" si="24"/>
        <v>2.1999999999999999E-2</v>
      </c>
      <c r="K78" s="178">
        <v>4422</v>
      </c>
      <c r="L78" s="80">
        <f t="shared" si="25"/>
        <v>2.1999999999999999E-2</v>
      </c>
      <c r="M78" s="178">
        <v>4554</v>
      </c>
      <c r="N78" s="80">
        <f t="shared" si="26"/>
        <v>2.1999999999999999E-2</v>
      </c>
      <c r="O78" s="178">
        <v>4685.9999999999991</v>
      </c>
      <c r="P78" s="80">
        <f t="shared" si="27"/>
        <v>2.1999999999999995E-2</v>
      </c>
      <c r="Q78" s="178">
        <v>4817.9999999999991</v>
      </c>
      <c r="R78" s="80">
        <f t="shared" si="28"/>
        <v>2.1999999999999995E-2</v>
      </c>
      <c r="S78" s="178">
        <v>4972</v>
      </c>
      <c r="T78" s="80">
        <f t="shared" si="29"/>
        <v>2.1999999999999999E-2</v>
      </c>
      <c r="U78" s="178">
        <v>5103.9999999999991</v>
      </c>
      <c r="V78" s="80">
        <f t="shared" si="30"/>
        <v>2.1999999999999995E-2</v>
      </c>
      <c r="X78" s="192"/>
    </row>
    <row r="79" spans="1:24" ht="12.75" customHeight="1">
      <c r="A79" s="2" t="s">
        <v>423</v>
      </c>
      <c r="B79" s="35"/>
      <c r="C79" s="178">
        <v>0</v>
      </c>
      <c r="D79" s="80">
        <f t="shared" si="21"/>
        <v>0</v>
      </c>
      <c r="E79" s="178">
        <v>0</v>
      </c>
      <c r="F79" s="80">
        <f t="shared" si="22"/>
        <v>0</v>
      </c>
      <c r="G79" s="178">
        <v>0</v>
      </c>
      <c r="H79" s="80">
        <f t="shared" si="23"/>
        <v>0</v>
      </c>
      <c r="I79" s="178">
        <v>0</v>
      </c>
      <c r="J79" s="80">
        <f t="shared" si="24"/>
        <v>0</v>
      </c>
      <c r="K79" s="178">
        <v>0</v>
      </c>
      <c r="L79" s="80">
        <f t="shared" si="25"/>
        <v>0</v>
      </c>
      <c r="M79" s="178">
        <v>0</v>
      </c>
      <c r="N79" s="80">
        <f t="shared" si="26"/>
        <v>0</v>
      </c>
      <c r="O79" s="178">
        <v>0</v>
      </c>
      <c r="P79" s="80">
        <f t="shared" si="27"/>
        <v>0</v>
      </c>
      <c r="Q79" s="178">
        <v>0</v>
      </c>
      <c r="R79" s="80">
        <f t="shared" si="28"/>
        <v>0</v>
      </c>
      <c r="S79" s="178">
        <v>0</v>
      </c>
      <c r="T79" s="80">
        <f t="shared" si="29"/>
        <v>0</v>
      </c>
      <c r="U79" s="178">
        <v>0</v>
      </c>
      <c r="V79" s="80">
        <f t="shared" si="30"/>
        <v>0</v>
      </c>
      <c r="X79" s="192"/>
    </row>
    <row r="80" spans="1:24" ht="12.75" customHeight="1">
      <c r="A80" s="2" t="s">
        <v>424</v>
      </c>
      <c r="B80" s="35"/>
      <c r="C80" s="178">
        <v>0</v>
      </c>
      <c r="D80" s="80">
        <f t="shared" si="21"/>
        <v>0</v>
      </c>
      <c r="E80" s="178">
        <v>0</v>
      </c>
      <c r="F80" s="80">
        <f t="shared" si="22"/>
        <v>0</v>
      </c>
      <c r="G80" s="178">
        <v>0</v>
      </c>
      <c r="H80" s="80">
        <f t="shared" si="23"/>
        <v>0</v>
      </c>
      <c r="I80" s="178">
        <v>0</v>
      </c>
      <c r="J80" s="80">
        <f t="shared" si="24"/>
        <v>0</v>
      </c>
      <c r="K80" s="178">
        <v>0</v>
      </c>
      <c r="L80" s="80">
        <f t="shared" si="25"/>
        <v>0</v>
      </c>
      <c r="M80" s="178">
        <v>0</v>
      </c>
      <c r="N80" s="80">
        <f t="shared" si="26"/>
        <v>0</v>
      </c>
      <c r="O80" s="178">
        <v>0</v>
      </c>
      <c r="P80" s="80">
        <f t="shared" si="27"/>
        <v>0</v>
      </c>
      <c r="Q80" s="178">
        <v>0</v>
      </c>
      <c r="R80" s="80">
        <f t="shared" si="28"/>
        <v>0</v>
      </c>
      <c r="S80" s="178">
        <v>0</v>
      </c>
      <c r="T80" s="80">
        <f t="shared" si="29"/>
        <v>0</v>
      </c>
      <c r="U80" s="178">
        <v>0</v>
      </c>
      <c r="V80" s="80">
        <f t="shared" si="30"/>
        <v>0</v>
      </c>
      <c r="X80" s="192"/>
    </row>
    <row r="81" spans="1:24" ht="12.75" customHeight="1">
      <c r="A81" s="2" t="s">
        <v>425</v>
      </c>
      <c r="B81" s="35"/>
      <c r="C81" s="178">
        <v>0</v>
      </c>
      <c r="D81" s="80">
        <f t="shared" si="21"/>
        <v>0</v>
      </c>
      <c r="E81" s="178">
        <v>0</v>
      </c>
      <c r="F81" s="80">
        <f t="shared" si="22"/>
        <v>0</v>
      </c>
      <c r="G81" s="178">
        <v>0</v>
      </c>
      <c r="H81" s="80">
        <f t="shared" si="23"/>
        <v>0</v>
      </c>
      <c r="I81" s="178">
        <v>0</v>
      </c>
      <c r="J81" s="80">
        <f t="shared" si="24"/>
        <v>0</v>
      </c>
      <c r="K81" s="178">
        <v>0</v>
      </c>
      <c r="L81" s="80">
        <f t="shared" si="25"/>
        <v>0</v>
      </c>
      <c r="M81" s="178">
        <v>0</v>
      </c>
      <c r="N81" s="80">
        <f t="shared" si="26"/>
        <v>0</v>
      </c>
      <c r="O81" s="178">
        <v>0</v>
      </c>
      <c r="P81" s="80">
        <f t="shared" si="27"/>
        <v>0</v>
      </c>
      <c r="Q81" s="178">
        <v>0</v>
      </c>
      <c r="R81" s="80">
        <f t="shared" si="28"/>
        <v>0</v>
      </c>
      <c r="S81" s="178">
        <v>0</v>
      </c>
      <c r="T81" s="80">
        <f t="shared" si="29"/>
        <v>0</v>
      </c>
      <c r="U81" s="178">
        <v>0</v>
      </c>
      <c r="V81" s="80">
        <f t="shared" si="30"/>
        <v>0</v>
      </c>
      <c r="X81" s="192"/>
    </row>
    <row r="82" spans="1:24" ht="12.75" customHeight="1">
      <c r="A82" s="2" t="s">
        <v>426</v>
      </c>
      <c r="B82" s="35"/>
      <c r="C82" s="178">
        <v>0</v>
      </c>
      <c r="D82" s="80">
        <f t="shared" si="21"/>
        <v>0</v>
      </c>
      <c r="E82" s="178">
        <v>0</v>
      </c>
      <c r="F82" s="80">
        <f t="shared" si="22"/>
        <v>0</v>
      </c>
      <c r="G82" s="178">
        <v>0</v>
      </c>
      <c r="H82" s="80">
        <f t="shared" si="23"/>
        <v>0</v>
      </c>
      <c r="I82" s="178">
        <v>0</v>
      </c>
      <c r="J82" s="80">
        <f t="shared" si="24"/>
        <v>0</v>
      </c>
      <c r="K82" s="178">
        <v>0</v>
      </c>
      <c r="L82" s="80">
        <f t="shared" si="25"/>
        <v>0</v>
      </c>
      <c r="M82" s="178">
        <v>0</v>
      </c>
      <c r="N82" s="80">
        <f t="shared" si="26"/>
        <v>0</v>
      </c>
      <c r="O82" s="178">
        <v>0</v>
      </c>
      <c r="P82" s="80">
        <f t="shared" si="27"/>
        <v>0</v>
      </c>
      <c r="Q82" s="178">
        <v>0</v>
      </c>
      <c r="R82" s="80">
        <f t="shared" si="28"/>
        <v>0</v>
      </c>
      <c r="S82" s="178">
        <v>0</v>
      </c>
      <c r="T82" s="80">
        <f t="shared" si="29"/>
        <v>0</v>
      </c>
      <c r="U82" s="178">
        <v>0</v>
      </c>
      <c r="V82" s="80">
        <f t="shared" si="30"/>
        <v>0</v>
      </c>
      <c r="X82" s="192"/>
    </row>
    <row r="83" spans="1:24" ht="12.75" customHeight="1">
      <c r="A83" s="2" t="s">
        <v>427</v>
      </c>
      <c r="B83" s="35"/>
      <c r="C83" s="178">
        <v>0</v>
      </c>
      <c r="D83" s="80">
        <f t="shared" si="21"/>
        <v>0</v>
      </c>
      <c r="E83" s="178">
        <v>0</v>
      </c>
      <c r="F83" s="80">
        <f t="shared" si="22"/>
        <v>0</v>
      </c>
      <c r="G83" s="178">
        <v>0</v>
      </c>
      <c r="H83" s="80">
        <f t="shared" si="23"/>
        <v>0</v>
      </c>
      <c r="I83" s="178">
        <v>0</v>
      </c>
      <c r="J83" s="80">
        <f t="shared" si="24"/>
        <v>0</v>
      </c>
      <c r="K83" s="178">
        <v>0</v>
      </c>
      <c r="L83" s="80">
        <f t="shared" si="25"/>
        <v>0</v>
      </c>
      <c r="M83" s="178">
        <v>0</v>
      </c>
      <c r="N83" s="80">
        <f t="shared" si="26"/>
        <v>0</v>
      </c>
      <c r="O83" s="178">
        <v>0</v>
      </c>
      <c r="P83" s="80">
        <f t="shared" si="27"/>
        <v>0</v>
      </c>
      <c r="Q83" s="178">
        <v>0</v>
      </c>
      <c r="R83" s="80">
        <f t="shared" si="28"/>
        <v>0</v>
      </c>
      <c r="S83" s="178">
        <v>0</v>
      </c>
      <c r="T83" s="80">
        <f t="shared" si="29"/>
        <v>0</v>
      </c>
      <c r="U83" s="178">
        <v>0</v>
      </c>
      <c r="V83" s="80">
        <f t="shared" si="30"/>
        <v>0</v>
      </c>
      <c r="X83" s="192"/>
    </row>
    <row r="84" spans="1:24" ht="12.75" customHeight="1">
      <c r="A84" s="2" t="s">
        <v>428</v>
      </c>
      <c r="B84" s="35"/>
      <c r="C84" s="178">
        <v>0</v>
      </c>
      <c r="D84" s="80">
        <f t="shared" si="21"/>
        <v>0</v>
      </c>
      <c r="E84" s="178">
        <v>0</v>
      </c>
      <c r="F84" s="80">
        <f t="shared" si="22"/>
        <v>0</v>
      </c>
      <c r="G84" s="178">
        <v>0</v>
      </c>
      <c r="H84" s="80">
        <f t="shared" si="23"/>
        <v>0</v>
      </c>
      <c r="I84" s="178">
        <v>0</v>
      </c>
      <c r="J84" s="80">
        <f t="shared" si="24"/>
        <v>0</v>
      </c>
      <c r="K84" s="178">
        <v>0</v>
      </c>
      <c r="L84" s="80">
        <f t="shared" si="25"/>
        <v>0</v>
      </c>
      <c r="M84" s="178">
        <v>0</v>
      </c>
      <c r="N84" s="80">
        <f t="shared" si="26"/>
        <v>0</v>
      </c>
      <c r="O84" s="178">
        <v>0</v>
      </c>
      <c r="P84" s="80">
        <f t="shared" si="27"/>
        <v>0</v>
      </c>
      <c r="Q84" s="178">
        <v>0</v>
      </c>
      <c r="R84" s="80">
        <f t="shared" si="28"/>
        <v>0</v>
      </c>
      <c r="S84" s="178">
        <v>0</v>
      </c>
      <c r="T84" s="80">
        <f t="shared" si="29"/>
        <v>0</v>
      </c>
      <c r="U84" s="178">
        <v>0</v>
      </c>
      <c r="V84" s="80">
        <f t="shared" si="30"/>
        <v>0</v>
      </c>
      <c r="X84" s="192"/>
    </row>
    <row r="85" spans="1:24" ht="12.75" customHeight="1">
      <c r="A85" s="2" t="s">
        <v>429</v>
      </c>
      <c r="B85" s="35"/>
      <c r="C85" s="178">
        <v>0</v>
      </c>
      <c r="D85" s="80">
        <f t="shared" si="21"/>
        <v>0</v>
      </c>
      <c r="E85" s="178">
        <v>0</v>
      </c>
      <c r="F85" s="80">
        <f t="shared" si="22"/>
        <v>0</v>
      </c>
      <c r="G85" s="178">
        <v>0</v>
      </c>
      <c r="H85" s="80">
        <f t="shared" si="23"/>
        <v>0</v>
      </c>
      <c r="I85" s="178">
        <v>0</v>
      </c>
      <c r="J85" s="80">
        <f t="shared" si="24"/>
        <v>0</v>
      </c>
      <c r="K85" s="178">
        <v>0</v>
      </c>
      <c r="L85" s="80">
        <f t="shared" si="25"/>
        <v>0</v>
      </c>
      <c r="M85" s="178">
        <v>0</v>
      </c>
      <c r="N85" s="80">
        <f t="shared" si="26"/>
        <v>0</v>
      </c>
      <c r="O85" s="178">
        <v>0</v>
      </c>
      <c r="P85" s="80">
        <f t="shared" si="27"/>
        <v>0</v>
      </c>
      <c r="Q85" s="178">
        <v>0</v>
      </c>
      <c r="R85" s="80">
        <f t="shared" si="28"/>
        <v>0</v>
      </c>
      <c r="S85" s="178">
        <v>0</v>
      </c>
      <c r="T85" s="80">
        <f t="shared" si="29"/>
        <v>0</v>
      </c>
      <c r="U85" s="178">
        <v>0</v>
      </c>
      <c r="V85" s="80">
        <f t="shared" si="30"/>
        <v>0</v>
      </c>
      <c r="X85" s="192"/>
    </row>
    <row r="86" spans="1:24" ht="12.75" customHeight="1">
      <c r="A86" s="2" t="s">
        <v>430</v>
      </c>
      <c r="B86" s="35"/>
      <c r="C86" s="178">
        <v>400.00000000000006</v>
      </c>
      <c r="D86" s="80">
        <f t="shared" si="21"/>
        <v>4.000000000000001E-3</v>
      </c>
      <c r="E86" s="178">
        <v>720</v>
      </c>
      <c r="F86" s="80">
        <f t="shared" si="22"/>
        <v>4.0000000000000001E-3</v>
      </c>
      <c r="G86" s="178">
        <v>748.00000000000011</v>
      </c>
      <c r="H86" s="80">
        <f t="shared" si="23"/>
        <v>4.000000000000001E-3</v>
      </c>
      <c r="I86" s="178">
        <v>780</v>
      </c>
      <c r="J86" s="80">
        <f t="shared" si="24"/>
        <v>4.0000000000000001E-3</v>
      </c>
      <c r="K86" s="178">
        <v>804</v>
      </c>
      <c r="L86" s="80">
        <f t="shared" si="25"/>
        <v>4.0000000000000001E-3</v>
      </c>
      <c r="M86" s="178">
        <v>828</v>
      </c>
      <c r="N86" s="80">
        <f t="shared" si="26"/>
        <v>4.0000000000000001E-3</v>
      </c>
      <c r="O86" s="178">
        <v>852</v>
      </c>
      <c r="P86" s="80">
        <f t="shared" si="27"/>
        <v>4.0000000000000001E-3</v>
      </c>
      <c r="Q86" s="178">
        <v>876</v>
      </c>
      <c r="R86" s="80">
        <f t="shared" si="28"/>
        <v>4.0000000000000001E-3</v>
      </c>
      <c r="S86" s="178">
        <v>904</v>
      </c>
      <c r="T86" s="80">
        <f t="shared" si="29"/>
        <v>4.0000000000000001E-3</v>
      </c>
      <c r="U86" s="178">
        <v>927.99999999999989</v>
      </c>
      <c r="V86" s="80">
        <f t="shared" si="30"/>
        <v>3.9999999999999992E-3</v>
      </c>
      <c r="X86" s="192"/>
    </row>
    <row r="87" spans="1:24" ht="12.75" customHeight="1">
      <c r="A87" s="2" t="s">
        <v>431</v>
      </c>
      <c r="B87" s="35"/>
      <c r="C87" s="178">
        <v>0</v>
      </c>
      <c r="D87" s="80">
        <f t="shared" si="21"/>
        <v>0</v>
      </c>
      <c r="E87" s="178">
        <v>0</v>
      </c>
      <c r="F87" s="80">
        <f t="shared" si="22"/>
        <v>0</v>
      </c>
      <c r="G87" s="178">
        <v>0</v>
      </c>
      <c r="H87" s="80">
        <f t="shared" si="23"/>
        <v>0</v>
      </c>
      <c r="I87" s="178">
        <v>0</v>
      </c>
      <c r="J87" s="80">
        <f t="shared" si="24"/>
        <v>0</v>
      </c>
      <c r="K87" s="178">
        <v>0</v>
      </c>
      <c r="L87" s="80">
        <f t="shared" si="25"/>
        <v>0</v>
      </c>
      <c r="M87" s="178">
        <v>0</v>
      </c>
      <c r="N87" s="80">
        <f t="shared" si="26"/>
        <v>0</v>
      </c>
      <c r="O87" s="178">
        <v>0</v>
      </c>
      <c r="P87" s="80">
        <f t="shared" si="27"/>
        <v>0</v>
      </c>
      <c r="Q87" s="178">
        <v>0</v>
      </c>
      <c r="R87" s="80">
        <f t="shared" si="28"/>
        <v>0</v>
      </c>
      <c r="S87" s="178">
        <v>0</v>
      </c>
      <c r="T87" s="80">
        <f t="shared" si="29"/>
        <v>0</v>
      </c>
      <c r="U87" s="178">
        <v>0</v>
      </c>
      <c r="V87" s="80">
        <f t="shared" si="30"/>
        <v>0</v>
      </c>
      <c r="X87" s="192"/>
    </row>
    <row r="88" spans="1:24" ht="12.75" customHeight="1">
      <c r="A88" s="2" t="s">
        <v>432</v>
      </c>
      <c r="B88" s="35"/>
      <c r="C88" s="178">
        <v>510.00000000000006</v>
      </c>
      <c r="D88" s="80">
        <f t="shared" si="21"/>
        <v>5.1000000000000004E-3</v>
      </c>
      <c r="E88" s="178">
        <v>918</v>
      </c>
      <c r="F88" s="80">
        <f t="shared" si="22"/>
        <v>5.1000000000000004E-3</v>
      </c>
      <c r="G88" s="178">
        <v>953.70000000000016</v>
      </c>
      <c r="H88" s="80">
        <f t="shared" si="23"/>
        <v>5.1000000000000012E-3</v>
      </c>
      <c r="I88" s="178">
        <v>994.50000000000011</v>
      </c>
      <c r="J88" s="80">
        <f t="shared" si="24"/>
        <v>5.1000000000000004E-3</v>
      </c>
      <c r="K88" s="178">
        <v>1025.1000000000001</v>
      </c>
      <c r="L88" s="80">
        <f t="shared" si="25"/>
        <v>5.1000000000000004E-3</v>
      </c>
      <c r="M88" s="178">
        <v>1055.7</v>
      </c>
      <c r="N88" s="80">
        <f t="shared" si="26"/>
        <v>5.1000000000000004E-3</v>
      </c>
      <c r="O88" s="178">
        <v>1086.3</v>
      </c>
      <c r="P88" s="80">
        <f t="shared" si="27"/>
        <v>5.0999999999999995E-3</v>
      </c>
      <c r="Q88" s="178">
        <v>1116.9000000000001</v>
      </c>
      <c r="R88" s="80">
        <f t="shared" si="28"/>
        <v>5.1000000000000004E-3</v>
      </c>
      <c r="S88" s="178">
        <v>1152.6000000000001</v>
      </c>
      <c r="T88" s="80">
        <f t="shared" si="29"/>
        <v>5.1000000000000004E-3</v>
      </c>
      <c r="U88" s="178">
        <v>1183.2</v>
      </c>
      <c r="V88" s="80">
        <f t="shared" si="30"/>
        <v>5.1000000000000004E-3</v>
      </c>
      <c r="X88" s="192"/>
    </row>
    <row r="89" spans="1:24" ht="12.75" customHeight="1">
      <c r="A89" s="2" t="s">
        <v>433</v>
      </c>
      <c r="B89" s="35"/>
      <c r="C89" s="178">
        <v>0</v>
      </c>
      <c r="D89" s="80">
        <f t="shared" si="21"/>
        <v>0</v>
      </c>
      <c r="E89" s="178">
        <v>0</v>
      </c>
      <c r="F89" s="80">
        <f t="shared" si="22"/>
        <v>0</v>
      </c>
      <c r="G89" s="178">
        <v>0</v>
      </c>
      <c r="H89" s="80">
        <f t="shared" si="23"/>
        <v>0</v>
      </c>
      <c r="I89" s="178">
        <v>0</v>
      </c>
      <c r="J89" s="80">
        <f t="shared" si="24"/>
        <v>0</v>
      </c>
      <c r="K89" s="178">
        <v>0</v>
      </c>
      <c r="L89" s="80">
        <f t="shared" si="25"/>
        <v>0</v>
      </c>
      <c r="M89" s="178">
        <v>0</v>
      </c>
      <c r="N89" s="80">
        <f t="shared" si="26"/>
        <v>0</v>
      </c>
      <c r="O89" s="178">
        <v>0</v>
      </c>
      <c r="P89" s="80">
        <f t="shared" si="27"/>
        <v>0</v>
      </c>
      <c r="Q89" s="178">
        <v>0</v>
      </c>
      <c r="R89" s="80">
        <f t="shared" si="28"/>
        <v>0</v>
      </c>
      <c r="S89" s="178">
        <v>0</v>
      </c>
      <c r="T89" s="80">
        <f t="shared" si="29"/>
        <v>0</v>
      </c>
      <c r="U89" s="178">
        <v>0</v>
      </c>
      <c r="V89" s="80">
        <f t="shared" si="30"/>
        <v>0</v>
      </c>
      <c r="X89" s="192"/>
    </row>
    <row r="90" spans="1:24" ht="12.75" customHeight="1">
      <c r="A90" s="2" t="s">
        <v>434</v>
      </c>
      <c r="B90" s="35"/>
      <c r="C90" s="178">
        <v>20.000000000000004</v>
      </c>
      <c r="D90" s="80">
        <f t="shared" si="21"/>
        <v>2.0000000000000004E-4</v>
      </c>
      <c r="E90" s="178">
        <v>36</v>
      </c>
      <c r="F90" s="80">
        <f t="shared" si="22"/>
        <v>2.0000000000000001E-4</v>
      </c>
      <c r="G90" s="178">
        <v>37.400000000000006</v>
      </c>
      <c r="H90" s="80">
        <f t="shared" si="23"/>
        <v>2.0000000000000004E-4</v>
      </c>
      <c r="I90" s="178">
        <v>39</v>
      </c>
      <c r="J90" s="80">
        <f t="shared" si="24"/>
        <v>2.0000000000000001E-4</v>
      </c>
      <c r="K90" s="178">
        <v>40.199999999999996</v>
      </c>
      <c r="L90" s="80">
        <f t="shared" si="25"/>
        <v>1.9999999999999998E-4</v>
      </c>
      <c r="M90" s="178">
        <v>41.4</v>
      </c>
      <c r="N90" s="80">
        <f t="shared" si="26"/>
        <v>1.9999999999999998E-4</v>
      </c>
      <c r="O90" s="178">
        <v>42.6</v>
      </c>
      <c r="P90" s="80">
        <f t="shared" si="27"/>
        <v>2.0000000000000001E-4</v>
      </c>
      <c r="Q90" s="178">
        <v>43.800000000000004</v>
      </c>
      <c r="R90" s="80">
        <f t="shared" si="28"/>
        <v>2.0000000000000001E-4</v>
      </c>
      <c r="S90" s="178">
        <v>45.2</v>
      </c>
      <c r="T90" s="80">
        <f t="shared" si="29"/>
        <v>2.0000000000000001E-4</v>
      </c>
      <c r="U90" s="178">
        <v>46.4</v>
      </c>
      <c r="V90" s="80">
        <f t="shared" si="30"/>
        <v>1.9999999999999998E-4</v>
      </c>
      <c r="X90" s="192"/>
    </row>
    <row r="91" spans="1:24" ht="12.75" customHeight="1">
      <c r="A91" s="2" t="s">
        <v>435</v>
      </c>
      <c r="C91" s="178">
        <v>0</v>
      </c>
      <c r="D91" s="80">
        <f t="shared" si="21"/>
        <v>0</v>
      </c>
      <c r="E91" s="178">
        <v>0</v>
      </c>
      <c r="F91" s="80">
        <f t="shared" si="22"/>
        <v>0</v>
      </c>
      <c r="G91" s="178">
        <v>0</v>
      </c>
      <c r="H91" s="80">
        <f t="shared" si="23"/>
        <v>0</v>
      </c>
      <c r="I91" s="178">
        <v>0</v>
      </c>
      <c r="J91" s="80">
        <f t="shared" si="24"/>
        <v>0</v>
      </c>
      <c r="K91" s="178">
        <v>0</v>
      </c>
      <c r="L91" s="80">
        <f t="shared" si="25"/>
        <v>0</v>
      </c>
      <c r="M91" s="178">
        <v>0</v>
      </c>
      <c r="N91" s="80">
        <f t="shared" si="26"/>
        <v>0</v>
      </c>
      <c r="O91" s="178">
        <v>0</v>
      </c>
      <c r="P91" s="80">
        <f t="shared" si="27"/>
        <v>0</v>
      </c>
      <c r="Q91" s="178">
        <v>0</v>
      </c>
      <c r="R91" s="80">
        <f t="shared" si="28"/>
        <v>0</v>
      </c>
      <c r="S91" s="178">
        <v>0</v>
      </c>
      <c r="T91" s="80">
        <f t="shared" si="29"/>
        <v>0</v>
      </c>
      <c r="U91" s="178">
        <v>0</v>
      </c>
      <c r="V91" s="80">
        <f t="shared" si="30"/>
        <v>0</v>
      </c>
      <c r="X91" s="192"/>
    </row>
    <row r="92" spans="1:24" ht="12.75" customHeight="1">
      <c r="A92" s="2" t="s">
        <v>436</v>
      </c>
      <c r="B92" s="35"/>
      <c r="C92" s="178">
        <v>520</v>
      </c>
      <c r="D92" s="80">
        <f t="shared" si="21"/>
        <v>5.1999999999999998E-3</v>
      </c>
      <c r="E92" s="178">
        <v>936</v>
      </c>
      <c r="F92" s="80">
        <f t="shared" si="22"/>
        <v>5.1999999999999998E-3</v>
      </c>
      <c r="G92" s="178">
        <v>972.4</v>
      </c>
      <c r="H92" s="80">
        <f t="shared" si="23"/>
        <v>5.1999999999999998E-3</v>
      </c>
      <c r="I92" s="178">
        <v>1014</v>
      </c>
      <c r="J92" s="80">
        <f t="shared" si="24"/>
        <v>5.1999999999999998E-3</v>
      </c>
      <c r="K92" s="178">
        <v>1045.1999999999998</v>
      </c>
      <c r="L92" s="80">
        <f t="shared" si="25"/>
        <v>5.1999999999999989E-3</v>
      </c>
      <c r="M92" s="178">
        <v>1076.4000000000001</v>
      </c>
      <c r="N92" s="80">
        <f t="shared" si="26"/>
        <v>5.2000000000000006E-3</v>
      </c>
      <c r="O92" s="178">
        <v>1107.5999999999999</v>
      </c>
      <c r="P92" s="80">
        <f t="shared" si="27"/>
        <v>5.1999999999999998E-3</v>
      </c>
      <c r="Q92" s="178">
        <v>1138.7999999999997</v>
      </c>
      <c r="R92" s="80">
        <f t="shared" si="28"/>
        <v>5.1999999999999989E-3</v>
      </c>
      <c r="S92" s="178">
        <v>1175.2</v>
      </c>
      <c r="T92" s="80">
        <f t="shared" si="29"/>
        <v>5.2000000000000006E-3</v>
      </c>
      <c r="U92" s="178">
        <v>1206.3999999999999</v>
      </c>
      <c r="V92" s="80">
        <f t="shared" si="30"/>
        <v>5.1999999999999998E-3</v>
      </c>
      <c r="X92" s="192"/>
    </row>
    <row r="93" spans="1:24" ht="12.75" customHeight="1">
      <c r="A93" s="2" t="s">
        <v>437</v>
      </c>
      <c r="B93" s="35"/>
      <c r="C93" s="178">
        <v>0</v>
      </c>
      <c r="D93" s="80">
        <f t="shared" si="21"/>
        <v>0</v>
      </c>
      <c r="E93" s="178">
        <v>0</v>
      </c>
      <c r="F93" s="80">
        <f t="shared" si="22"/>
        <v>0</v>
      </c>
      <c r="G93" s="178">
        <v>0</v>
      </c>
      <c r="H93" s="80">
        <f t="shared" si="23"/>
        <v>0</v>
      </c>
      <c r="I93" s="178">
        <v>0</v>
      </c>
      <c r="J93" s="80">
        <f t="shared" si="24"/>
        <v>0</v>
      </c>
      <c r="K93" s="178">
        <v>0</v>
      </c>
      <c r="L93" s="80">
        <f t="shared" si="25"/>
        <v>0</v>
      </c>
      <c r="M93" s="178">
        <v>0</v>
      </c>
      <c r="N93" s="80">
        <f t="shared" si="26"/>
        <v>0</v>
      </c>
      <c r="O93" s="178">
        <v>0</v>
      </c>
      <c r="P93" s="80">
        <f t="shared" si="27"/>
        <v>0</v>
      </c>
      <c r="Q93" s="178">
        <v>0</v>
      </c>
      <c r="R93" s="80">
        <f t="shared" si="28"/>
        <v>0</v>
      </c>
      <c r="S93" s="178">
        <v>0</v>
      </c>
      <c r="T93" s="80">
        <f t="shared" si="29"/>
        <v>0</v>
      </c>
      <c r="U93" s="178">
        <v>0</v>
      </c>
      <c r="V93" s="80">
        <f t="shared" si="30"/>
        <v>0</v>
      </c>
      <c r="X93" s="192"/>
    </row>
    <row r="94" spans="1:24" ht="12.75" customHeight="1">
      <c r="A94" s="2" t="s">
        <v>438</v>
      </c>
      <c r="B94" s="35"/>
      <c r="C94" s="178">
        <v>0</v>
      </c>
      <c r="D94" s="80">
        <f t="shared" si="21"/>
        <v>0</v>
      </c>
      <c r="E94" s="178">
        <v>0</v>
      </c>
      <c r="F94" s="80">
        <f t="shared" si="22"/>
        <v>0</v>
      </c>
      <c r="G94" s="178">
        <v>0</v>
      </c>
      <c r="H94" s="80">
        <f t="shared" si="23"/>
        <v>0</v>
      </c>
      <c r="I94" s="178">
        <v>0</v>
      </c>
      <c r="J94" s="80">
        <f t="shared" si="24"/>
        <v>0</v>
      </c>
      <c r="K94" s="178">
        <v>0</v>
      </c>
      <c r="L94" s="80">
        <f t="shared" si="25"/>
        <v>0</v>
      </c>
      <c r="M94" s="178">
        <v>0</v>
      </c>
      <c r="N94" s="80">
        <f t="shared" si="26"/>
        <v>0</v>
      </c>
      <c r="O94" s="178">
        <v>0</v>
      </c>
      <c r="P94" s="80">
        <f t="shared" si="27"/>
        <v>0</v>
      </c>
      <c r="Q94" s="178">
        <v>0</v>
      </c>
      <c r="R94" s="80">
        <f t="shared" si="28"/>
        <v>0</v>
      </c>
      <c r="S94" s="178">
        <v>0</v>
      </c>
      <c r="T94" s="80">
        <f t="shared" si="29"/>
        <v>0</v>
      </c>
      <c r="U94" s="178">
        <v>0</v>
      </c>
      <c r="V94" s="80">
        <f t="shared" si="30"/>
        <v>0</v>
      </c>
      <c r="X94" s="192"/>
    </row>
    <row r="95" spans="1:24" ht="12.75" customHeight="1">
      <c r="A95" s="2" t="s">
        <v>439</v>
      </c>
      <c r="B95" s="35"/>
      <c r="C95" s="178">
        <v>0</v>
      </c>
      <c r="D95" s="80">
        <f t="shared" si="21"/>
        <v>0</v>
      </c>
      <c r="E95" s="178">
        <v>0</v>
      </c>
      <c r="F95" s="80">
        <f t="shared" si="22"/>
        <v>0</v>
      </c>
      <c r="G95" s="178">
        <v>0</v>
      </c>
      <c r="H95" s="80">
        <f t="shared" si="23"/>
        <v>0</v>
      </c>
      <c r="I95" s="178">
        <v>0</v>
      </c>
      <c r="J95" s="80">
        <f t="shared" si="24"/>
        <v>0</v>
      </c>
      <c r="K95" s="178">
        <v>0</v>
      </c>
      <c r="L95" s="80">
        <f t="shared" si="25"/>
        <v>0</v>
      </c>
      <c r="M95" s="178">
        <v>0</v>
      </c>
      <c r="N95" s="80">
        <f t="shared" si="26"/>
        <v>0</v>
      </c>
      <c r="O95" s="178">
        <v>0</v>
      </c>
      <c r="P95" s="80">
        <f t="shared" si="27"/>
        <v>0</v>
      </c>
      <c r="Q95" s="178">
        <v>0</v>
      </c>
      <c r="R95" s="80">
        <f t="shared" si="28"/>
        <v>0</v>
      </c>
      <c r="S95" s="178">
        <v>0</v>
      </c>
      <c r="T95" s="80">
        <f t="shared" si="29"/>
        <v>0</v>
      </c>
      <c r="U95" s="178">
        <v>0</v>
      </c>
      <c r="V95" s="80">
        <f t="shared" si="30"/>
        <v>0</v>
      </c>
      <c r="X95" s="192"/>
    </row>
    <row r="96" spans="1:24" ht="12.75" customHeight="1">
      <c r="A96" s="2" t="s">
        <v>440</v>
      </c>
      <c r="B96" s="35"/>
      <c r="C96" s="178">
        <v>0</v>
      </c>
      <c r="D96" s="80">
        <f t="shared" si="21"/>
        <v>0</v>
      </c>
      <c r="E96" s="178">
        <v>0</v>
      </c>
      <c r="F96" s="80">
        <f t="shared" si="22"/>
        <v>0</v>
      </c>
      <c r="G96" s="178">
        <v>0</v>
      </c>
      <c r="H96" s="80">
        <f t="shared" si="23"/>
        <v>0</v>
      </c>
      <c r="I96" s="178">
        <v>0</v>
      </c>
      <c r="J96" s="80">
        <f t="shared" si="24"/>
        <v>0</v>
      </c>
      <c r="K96" s="178">
        <v>0</v>
      </c>
      <c r="L96" s="80">
        <f t="shared" si="25"/>
        <v>0</v>
      </c>
      <c r="M96" s="178">
        <v>0</v>
      </c>
      <c r="N96" s="80">
        <f t="shared" si="26"/>
        <v>0</v>
      </c>
      <c r="O96" s="178">
        <v>0</v>
      </c>
      <c r="P96" s="80">
        <f t="shared" si="27"/>
        <v>0</v>
      </c>
      <c r="Q96" s="178">
        <v>0</v>
      </c>
      <c r="R96" s="80">
        <f t="shared" si="28"/>
        <v>0</v>
      </c>
      <c r="S96" s="178">
        <v>0</v>
      </c>
      <c r="T96" s="80">
        <f t="shared" si="29"/>
        <v>0</v>
      </c>
      <c r="U96" s="178">
        <v>0</v>
      </c>
      <c r="V96" s="80">
        <f t="shared" si="30"/>
        <v>0</v>
      </c>
      <c r="X96" s="192"/>
    </row>
    <row r="97" spans="1:24" ht="12.75" customHeight="1">
      <c r="A97" s="2" t="s">
        <v>441</v>
      </c>
      <c r="B97" s="35"/>
      <c r="C97" s="178">
        <v>3418.8081999999999</v>
      </c>
      <c r="D97" s="80">
        <f t="shared" si="21"/>
        <v>3.4188082000000002E-2</v>
      </c>
      <c r="E97" s="178">
        <v>3504.2784049999996</v>
      </c>
      <c r="F97" s="80">
        <f t="shared" si="22"/>
        <v>1.9468213361111108E-2</v>
      </c>
      <c r="G97" s="178">
        <v>2740.9281491749994</v>
      </c>
      <c r="H97" s="80">
        <f t="shared" si="23"/>
        <v>1.4657369781684488E-2</v>
      </c>
      <c r="I97" s="178">
        <v>2828.6378499485995</v>
      </c>
      <c r="J97" s="80">
        <f t="shared" si="24"/>
        <v>1.4505835127941536E-2</v>
      </c>
      <c r="K97" s="178">
        <v>2899.3537961973143</v>
      </c>
      <c r="L97" s="80">
        <f t="shared" si="25"/>
        <v>1.4424645752225445E-2</v>
      </c>
      <c r="M97" s="178">
        <v>2971.8376411022468</v>
      </c>
      <c r="N97" s="80">
        <f t="shared" si="26"/>
        <v>1.4356703580204092E-2</v>
      </c>
      <c r="O97" s="178">
        <v>3046.1335821298026</v>
      </c>
      <c r="P97" s="80">
        <f t="shared" si="27"/>
        <v>1.4301096629717383E-2</v>
      </c>
      <c r="Q97" s="178">
        <v>3122.2869216830472</v>
      </c>
      <c r="R97" s="80">
        <f t="shared" si="28"/>
        <v>1.4257017907228527E-2</v>
      </c>
      <c r="S97" s="178">
        <v>3200.3440947251233</v>
      </c>
      <c r="T97" s="80">
        <f t="shared" si="29"/>
        <v>1.4160814578429749E-2</v>
      </c>
      <c r="U97" s="178">
        <v>3280.3526970932512</v>
      </c>
      <c r="V97" s="80">
        <f t="shared" si="30"/>
        <v>1.4139451280574358E-2</v>
      </c>
      <c r="X97" s="192"/>
    </row>
    <row r="98" spans="1:24" ht="12.75" customHeight="1">
      <c r="A98" s="117" t="s">
        <v>444</v>
      </c>
      <c r="B98" s="35"/>
      <c r="C98" s="178">
        <v>119.99999999999999</v>
      </c>
      <c r="D98" s="80">
        <f t="shared" si="21"/>
        <v>1.1999999999999999E-3</v>
      </c>
      <c r="E98" s="178">
        <v>215.99999999999997</v>
      </c>
      <c r="F98" s="80">
        <f t="shared" si="22"/>
        <v>1.1999999999999999E-3</v>
      </c>
      <c r="G98" s="178">
        <v>224.39999999999998</v>
      </c>
      <c r="H98" s="80">
        <f t="shared" si="23"/>
        <v>1.1999999999999999E-3</v>
      </c>
      <c r="I98" s="178">
        <v>233.99999999999997</v>
      </c>
      <c r="J98" s="80">
        <f t="shared" si="24"/>
        <v>1.1999999999999999E-3</v>
      </c>
      <c r="K98" s="178">
        <v>241.2</v>
      </c>
      <c r="L98" s="80">
        <f t="shared" si="25"/>
        <v>1.1999999999999999E-3</v>
      </c>
      <c r="M98" s="178">
        <v>248.39999999999998</v>
      </c>
      <c r="N98" s="80">
        <f t="shared" si="26"/>
        <v>1.1999999999999999E-3</v>
      </c>
      <c r="O98" s="178">
        <v>255.59999999999997</v>
      </c>
      <c r="P98" s="80">
        <f t="shared" si="27"/>
        <v>1.1999999999999999E-3</v>
      </c>
      <c r="Q98" s="178">
        <v>262.79999999999995</v>
      </c>
      <c r="R98" s="80">
        <f t="shared" si="28"/>
        <v>1.1999999999999999E-3</v>
      </c>
      <c r="S98" s="178">
        <v>271.2</v>
      </c>
      <c r="T98" s="80">
        <f t="shared" si="29"/>
        <v>1.1999999999999999E-3</v>
      </c>
      <c r="U98" s="178">
        <v>278.39999999999998</v>
      </c>
      <c r="V98" s="80">
        <f t="shared" si="30"/>
        <v>1.1999999999999999E-3</v>
      </c>
      <c r="X98" s="192"/>
    </row>
    <row r="99" spans="1:24" ht="12.75" customHeight="1">
      <c r="A99" s="117" t="s">
        <v>444</v>
      </c>
      <c r="B99" s="35"/>
      <c r="C99" s="178">
        <v>0</v>
      </c>
      <c r="D99" s="80">
        <f t="shared" si="21"/>
        <v>0</v>
      </c>
      <c r="E99" s="178">
        <v>0</v>
      </c>
      <c r="F99" s="80">
        <f t="shared" si="22"/>
        <v>0</v>
      </c>
      <c r="G99" s="178">
        <v>0</v>
      </c>
      <c r="H99" s="80">
        <f t="shared" si="23"/>
        <v>0</v>
      </c>
      <c r="I99" s="178">
        <v>0</v>
      </c>
      <c r="J99" s="80">
        <f t="shared" si="24"/>
        <v>0</v>
      </c>
      <c r="K99" s="178">
        <v>0</v>
      </c>
      <c r="L99" s="80">
        <f t="shared" si="25"/>
        <v>0</v>
      </c>
      <c r="M99" s="178">
        <v>0</v>
      </c>
      <c r="N99" s="80">
        <f t="shared" si="26"/>
        <v>0</v>
      </c>
      <c r="O99" s="178">
        <v>0</v>
      </c>
      <c r="P99" s="80">
        <f t="shared" si="27"/>
        <v>0</v>
      </c>
      <c r="Q99" s="178">
        <v>0</v>
      </c>
      <c r="R99" s="80">
        <f t="shared" si="28"/>
        <v>0</v>
      </c>
      <c r="S99" s="178">
        <v>0</v>
      </c>
      <c r="T99" s="80">
        <f t="shared" si="29"/>
        <v>0</v>
      </c>
      <c r="U99" s="178">
        <v>0</v>
      </c>
      <c r="V99" s="80">
        <f t="shared" si="30"/>
        <v>0</v>
      </c>
      <c r="X99" s="192"/>
    </row>
    <row r="100" spans="1:24" ht="12.75" customHeight="1">
      <c r="A100" s="117" t="s">
        <v>444</v>
      </c>
      <c r="B100" s="35"/>
      <c r="C100" s="178">
        <v>0</v>
      </c>
      <c r="D100" s="80">
        <f t="shared" si="21"/>
        <v>0</v>
      </c>
      <c r="E100" s="178">
        <v>0</v>
      </c>
      <c r="F100" s="80">
        <f t="shared" si="22"/>
        <v>0</v>
      </c>
      <c r="G100" s="178">
        <v>0</v>
      </c>
      <c r="H100" s="80">
        <f t="shared" si="23"/>
        <v>0</v>
      </c>
      <c r="I100" s="178">
        <v>0</v>
      </c>
      <c r="J100" s="80">
        <f t="shared" si="24"/>
        <v>0</v>
      </c>
      <c r="K100" s="178">
        <v>0</v>
      </c>
      <c r="L100" s="80">
        <f t="shared" si="25"/>
        <v>0</v>
      </c>
      <c r="M100" s="178">
        <v>0</v>
      </c>
      <c r="N100" s="80">
        <f t="shared" si="26"/>
        <v>0</v>
      </c>
      <c r="O100" s="178">
        <v>0</v>
      </c>
      <c r="P100" s="80">
        <f t="shared" si="27"/>
        <v>0</v>
      </c>
      <c r="Q100" s="178">
        <v>0</v>
      </c>
      <c r="R100" s="80">
        <f t="shared" si="28"/>
        <v>0</v>
      </c>
      <c r="S100" s="178">
        <v>0</v>
      </c>
      <c r="T100" s="80">
        <f t="shared" si="29"/>
        <v>0</v>
      </c>
      <c r="U100" s="178">
        <v>0</v>
      </c>
      <c r="V100" s="80">
        <f t="shared" si="30"/>
        <v>0</v>
      </c>
      <c r="X100" s="192"/>
    </row>
    <row r="101" spans="1:24" ht="12.75" customHeight="1">
      <c r="A101" s="2" t="s">
        <v>445</v>
      </c>
      <c r="B101" s="35"/>
      <c r="C101" s="178"/>
      <c r="D101" s="80">
        <f t="shared" si="21"/>
        <v>0</v>
      </c>
      <c r="E101" s="178"/>
      <c r="F101" s="80">
        <f t="shared" si="22"/>
        <v>0</v>
      </c>
      <c r="G101" s="178"/>
      <c r="H101" s="80">
        <f t="shared" si="23"/>
        <v>0</v>
      </c>
      <c r="I101" s="178">
        <v>0</v>
      </c>
      <c r="J101" s="80">
        <f t="shared" si="24"/>
        <v>0</v>
      </c>
      <c r="K101" s="178">
        <v>0</v>
      </c>
      <c r="L101" s="80">
        <f t="shared" si="25"/>
        <v>0</v>
      </c>
      <c r="M101" s="178">
        <v>0</v>
      </c>
      <c r="N101" s="80">
        <f t="shared" si="26"/>
        <v>0</v>
      </c>
      <c r="O101" s="178">
        <v>0</v>
      </c>
      <c r="P101" s="80">
        <f t="shared" si="27"/>
        <v>0</v>
      </c>
      <c r="Q101" s="178">
        <v>0</v>
      </c>
      <c r="R101" s="80">
        <f t="shared" si="28"/>
        <v>0</v>
      </c>
      <c r="S101" s="178">
        <v>0</v>
      </c>
      <c r="T101" s="80">
        <f t="shared" si="29"/>
        <v>0</v>
      </c>
      <c r="U101" s="178">
        <v>0</v>
      </c>
      <c r="V101" s="80">
        <f t="shared" si="30"/>
        <v>0</v>
      </c>
      <c r="X101" s="192"/>
    </row>
    <row r="102" spans="1:24" ht="12.75" customHeight="1">
      <c r="A102" s="117" t="s">
        <v>446</v>
      </c>
      <c r="B102" s="35"/>
      <c r="C102" s="178">
        <v>1000</v>
      </c>
      <c r="D102" s="80">
        <f t="shared" si="21"/>
        <v>0.01</v>
      </c>
      <c r="E102" s="178">
        <v>1800</v>
      </c>
      <c r="F102" s="80">
        <f t="shared" si="22"/>
        <v>0.01</v>
      </c>
      <c r="G102" s="178">
        <v>1870.0000000000002</v>
      </c>
      <c r="H102" s="80">
        <f t="shared" si="23"/>
        <v>1.0000000000000002E-2</v>
      </c>
      <c r="I102" s="178">
        <v>1950.0000000000002</v>
      </c>
      <c r="J102" s="80">
        <f t="shared" si="24"/>
        <v>1.0000000000000002E-2</v>
      </c>
      <c r="K102" s="178">
        <v>2010</v>
      </c>
      <c r="L102" s="80">
        <f t="shared" si="25"/>
        <v>0.01</v>
      </c>
      <c r="M102" s="178">
        <v>2070</v>
      </c>
      <c r="N102" s="80">
        <f t="shared" si="26"/>
        <v>0.01</v>
      </c>
      <c r="O102" s="178">
        <v>2130</v>
      </c>
      <c r="P102" s="80">
        <f t="shared" si="27"/>
        <v>0.01</v>
      </c>
      <c r="Q102" s="178">
        <v>2190</v>
      </c>
      <c r="R102" s="80">
        <f t="shared" si="28"/>
        <v>0.01</v>
      </c>
      <c r="S102" s="178">
        <v>2260</v>
      </c>
      <c r="T102" s="80">
        <f t="shared" si="29"/>
        <v>0.01</v>
      </c>
      <c r="U102" s="178">
        <v>2320</v>
      </c>
      <c r="V102" s="80">
        <f t="shared" si="30"/>
        <v>0.01</v>
      </c>
      <c r="X102" s="192"/>
    </row>
    <row r="103" spans="1:24" ht="12.75" customHeight="1">
      <c r="A103" s="117" t="s">
        <v>446</v>
      </c>
      <c r="B103" s="35"/>
      <c r="C103" s="178">
        <v>0</v>
      </c>
      <c r="D103" s="80">
        <f t="shared" si="21"/>
        <v>0</v>
      </c>
      <c r="E103" s="178">
        <v>0</v>
      </c>
      <c r="F103" s="80">
        <f t="shared" si="22"/>
        <v>0</v>
      </c>
      <c r="G103" s="178">
        <v>0</v>
      </c>
      <c r="H103" s="80">
        <f t="shared" si="23"/>
        <v>0</v>
      </c>
      <c r="I103" s="178">
        <v>0</v>
      </c>
      <c r="J103" s="80">
        <f t="shared" si="24"/>
        <v>0</v>
      </c>
      <c r="K103" s="178">
        <v>0</v>
      </c>
      <c r="L103" s="80">
        <f t="shared" si="25"/>
        <v>0</v>
      </c>
      <c r="M103" s="178">
        <v>0</v>
      </c>
      <c r="N103" s="80">
        <f t="shared" si="26"/>
        <v>0</v>
      </c>
      <c r="O103" s="178">
        <v>0</v>
      </c>
      <c r="P103" s="80">
        <f t="shared" si="27"/>
        <v>0</v>
      </c>
      <c r="Q103" s="178">
        <v>0</v>
      </c>
      <c r="R103" s="80">
        <f t="shared" si="28"/>
        <v>0</v>
      </c>
      <c r="S103" s="178">
        <v>0</v>
      </c>
      <c r="T103" s="80">
        <f t="shared" si="29"/>
        <v>0</v>
      </c>
      <c r="U103" s="178">
        <v>0</v>
      </c>
      <c r="V103" s="80">
        <f t="shared" si="30"/>
        <v>0</v>
      </c>
      <c r="X103" s="192"/>
    </row>
    <row r="104" spans="1:24" ht="12.75" customHeight="1">
      <c r="A104" s="117" t="s">
        <v>446</v>
      </c>
      <c r="B104" s="1"/>
      <c r="C104" s="178">
        <v>0</v>
      </c>
      <c r="D104" s="80">
        <f t="shared" si="21"/>
        <v>0</v>
      </c>
      <c r="E104" s="178">
        <v>0</v>
      </c>
      <c r="F104" s="80">
        <f t="shared" si="22"/>
        <v>0</v>
      </c>
      <c r="G104" s="178">
        <v>0</v>
      </c>
      <c r="H104" s="80">
        <f t="shared" si="23"/>
        <v>0</v>
      </c>
      <c r="I104" s="178">
        <v>0</v>
      </c>
      <c r="J104" s="80">
        <f t="shared" si="24"/>
        <v>0</v>
      </c>
      <c r="K104" s="178">
        <v>0</v>
      </c>
      <c r="L104" s="80">
        <f t="shared" si="25"/>
        <v>0</v>
      </c>
      <c r="M104" s="178">
        <v>0</v>
      </c>
      <c r="N104" s="80">
        <f t="shared" si="26"/>
        <v>0</v>
      </c>
      <c r="O104" s="178">
        <v>0</v>
      </c>
      <c r="P104" s="80">
        <f t="shared" si="27"/>
        <v>0</v>
      </c>
      <c r="Q104" s="178">
        <v>0</v>
      </c>
      <c r="R104" s="80">
        <f t="shared" si="28"/>
        <v>0</v>
      </c>
      <c r="S104" s="178">
        <v>0</v>
      </c>
      <c r="T104" s="80">
        <f t="shared" si="29"/>
        <v>0</v>
      </c>
      <c r="U104" s="178">
        <v>0</v>
      </c>
      <c r="V104" s="80">
        <f t="shared" si="30"/>
        <v>0</v>
      </c>
      <c r="X104" s="192"/>
    </row>
    <row r="105" spans="1:24" ht="12.75" customHeight="1">
      <c r="A105" s="1" t="s">
        <v>447</v>
      </c>
      <c r="B105" s="53"/>
      <c r="C105" s="82">
        <f>SUM(C52:C104)</f>
        <v>12636.376184363047</v>
      </c>
      <c r="D105" s="83">
        <f t="shared" ref="D105" si="31">IFERROR(C105/C$28,0)</f>
        <v>0.12636376184363046</v>
      </c>
      <c r="E105" s="82">
        <f>SUM(E52:E104)</f>
        <v>20128.230790140329</v>
      </c>
      <c r="F105" s="83">
        <f t="shared" ref="F105" si="32">IFERROR(E105/E$28,0)</f>
        <v>0.1118235043896685</v>
      </c>
      <c r="G105" s="82">
        <f>SUM(G52:G104)</f>
        <v>19986.931389967733</v>
      </c>
      <c r="H105" s="83">
        <f t="shared" ref="H105" si="33">IFERROR(G105/G$28,0)</f>
        <v>0.10688198604260819</v>
      </c>
      <c r="I105" s="82">
        <f>SUM(I52:I104)</f>
        <v>20818.55407475225</v>
      </c>
      <c r="J105" s="83">
        <f t="shared" ref="J105" si="34">IFERROR(I105/I$28,0)</f>
        <v>0.10676181576796026</v>
      </c>
      <c r="K105" s="82">
        <f>SUM(K52:K104)</f>
        <v>21435.219830441874</v>
      </c>
      <c r="L105" s="83">
        <f t="shared" ref="L105" si="35">IFERROR(K105/K$28,0)</f>
        <v>0.10664288472856653</v>
      </c>
      <c r="M105" s="82">
        <f>SUM(M52:M104)</f>
        <v>22065.273557514647</v>
      </c>
      <c r="N105" s="83">
        <f t="shared" ref="N105" si="36">IFERROR(M105/M$28,0)</f>
        <v>0.1065955244324379</v>
      </c>
      <c r="O105" s="82">
        <f>SUM(O52:O104)</f>
        <v>22698.372373809903</v>
      </c>
      <c r="P105" s="83">
        <f t="shared" ref="P105" si="37">IFERROR(O105/O$28,0)</f>
        <v>0.10656512851553945</v>
      </c>
      <c r="Q105" s="82">
        <f>SUM(Q52:Q104)</f>
        <v>23335.991262644158</v>
      </c>
      <c r="R105" s="83">
        <f t="shared" ref="R105" si="38">IFERROR(Q105/Q$28,0)</f>
        <v>0.10655703772896875</v>
      </c>
      <c r="S105" s="82">
        <f>SUM(S52:S104)</f>
        <v>24068.083209971792</v>
      </c>
      <c r="T105" s="83">
        <f t="shared" ref="T105" si="39">IFERROR(S105/S$28,0)</f>
        <v>0.10649594340695483</v>
      </c>
      <c r="U105" s="82">
        <f>SUM(U52:U104)</f>
        <v>24710.806513790674</v>
      </c>
      <c r="V105" s="83">
        <f t="shared" si="30"/>
        <v>0.10651209704220119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448</v>
      </c>
      <c r="B107" s="53"/>
      <c r="C107" s="82">
        <f>C28-C33-C46-C105</f>
        <v>-40634.30818436305</v>
      </c>
      <c r="D107" s="83">
        <f>IFERROR(C107/C$28,0)</f>
        <v>-0.40634308184363049</v>
      </c>
      <c r="E107" s="82">
        <f>E28-E33-E46-E105</f>
        <v>2323.888909859681</v>
      </c>
      <c r="F107" s="83">
        <f>IFERROR(E107/E$28,0)</f>
        <v>1.2910493943664895E-2</v>
      </c>
      <c r="G107" s="82">
        <f>G28-G33-G46-G105</f>
        <v>28073.012499532288</v>
      </c>
      <c r="H107" s="83">
        <f>IFERROR(G107/G$28,0)</f>
        <v>0.15012306149482507</v>
      </c>
      <c r="I107" s="82">
        <f>I28-I33-I46-I105</f>
        <v>30109.868019211772</v>
      </c>
      <c r="J107" s="83">
        <f>IFERROR(I107/I$28,0)</f>
        <v>0.1544095795857014</v>
      </c>
      <c r="K107" s="82">
        <f>K28-K33-K46-K105</f>
        <v>31508.912815871237</v>
      </c>
      <c r="L107" s="83">
        <f>IFERROR(K107/K$28,0)</f>
        <v>0.15676076027796634</v>
      </c>
      <c r="M107" s="82">
        <f>M28-M33-M46-M105</f>
        <v>32845.962404956299</v>
      </c>
      <c r="N107" s="83">
        <f>IFERROR(M107/M$28,0)</f>
        <v>0.15867614688384685</v>
      </c>
      <c r="O107" s="82">
        <f>O28-O33-O46-O105</f>
        <v>34130.144487722835</v>
      </c>
      <c r="P107" s="83">
        <f>IFERROR(O107/O$28,0)</f>
        <v>0.16023542013015415</v>
      </c>
      <c r="Q107" s="82">
        <f>Q28-Q33-Q46-Q105</f>
        <v>35358.738520426901</v>
      </c>
      <c r="R107" s="83">
        <f>IFERROR(Q107/Q$28,0)</f>
        <v>0.1614554270339128</v>
      </c>
      <c r="S107" s="82">
        <f>S28-S33-S46-S105</f>
        <v>37100.514817676056</v>
      </c>
      <c r="T107" s="83">
        <f>IFERROR(S107/S$28,0)</f>
        <v>0.16416156998971707</v>
      </c>
      <c r="U107" s="82">
        <f>U28-U33-U46-U105</f>
        <v>38218.006464548373</v>
      </c>
      <c r="V107" s="83">
        <f>IFERROR(U107/U$28,0)</f>
        <v>0.1647327864851223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449</v>
      </c>
      <c r="B110" s="40"/>
      <c r="C110" s="86" t="str">
        <f>C50</f>
        <v>FY 2018-19</v>
      </c>
      <c r="D110" s="86" t="s">
        <v>366</v>
      </c>
      <c r="E110" s="86" t="str">
        <f>E50</f>
        <v>FY 2019-20</v>
      </c>
      <c r="F110" s="86" t="s">
        <v>366</v>
      </c>
      <c r="G110" s="86" t="str">
        <f>G50</f>
        <v>FY 2020-21</v>
      </c>
      <c r="H110" s="86" t="s">
        <v>366</v>
      </c>
      <c r="I110" s="86" t="str">
        <f>I50</f>
        <v>FY 2021-22</v>
      </c>
      <c r="J110" s="86" t="s">
        <v>366</v>
      </c>
      <c r="K110" s="86" t="str">
        <f>K50</f>
        <v>FY 2022-23</v>
      </c>
      <c r="L110" s="86" t="s">
        <v>366</v>
      </c>
      <c r="M110" s="86" t="str">
        <f>M50</f>
        <v>FY 2023-24</v>
      </c>
      <c r="N110" s="86" t="s">
        <v>366</v>
      </c>
      <c r="O110" s="86" t="str">
        <f>O50</f>
        <v>FY 2024-25</v>
      </c>
      <c r="P110" s="86" t="s">
        <v>366</v>
      </c>
      <c r="Q110" s="86" t="str">
        <f>Q50</f>
        <v>FY 2025-26</v>
      </c>
      <c r="R110" s="86" t="s">
        <v>366</v>
      </c>
      <c r="S110" s="86" t="str">
        <f>S50</f>
        <v>FY 2026-27</v>
      </c>
      <c r="T110" s="86" t="s">
        <v>366</v>
      </c>
      <c r="U110" s="86" t="str">
        <f>U50</f>
        <v>FY 2027-28</v>
      </c>
      <c r="V110" s="86" t="s">
        <v>366</v>
      </c>
    </row>
    <row r="111" spans="1:24" ht="12.75" customHeight="1">
      <c r="A111" s="2" t="s">
        <v>403</v>
      </c>
      <c r="B111" s="35"/>
      <c r="C111" s="79">
        <f>C59</f>
        <v>0</v>
      </c>
      <c r="D111" s="80">
        <f t="shared" ref="D111:D116" si="40">IFERROR(C111/C$28,0)</f>
        <v>0</v>
      </c>
      <c r="E111" s="79">
        <f>E59</f>
        <v>0</v>
      </c>
      <c r="F111" s="80">
        <f t="shared" ref="F111:F116" si="41">IFERROR(E111/E$28,0)</f>
        <v>0</v>
      </c>
      <c r="G111" s="79">
        <f>G59</f>
        <v>0</v>
      </c>
      <c r="H111" s="80">
        <f t="shared" ref="H111:H116" si="42">IFERROR(G111/G$28,0)</f>
        <v>0</v>
      </c>
      <c r="I111" s="79">
        <f>I59</f>
        <v>0</v>
      </c>
      <c r="J111" s="80">
        <f t="shared" ref="J111:J116" si="43">IFERROR(I111/I$28,0)</f>
        <v>0</v>
      </c>
      <c r="K111" s="79">
        <f>K59</f>
        <v>0</v>
      </c>
      <c r="L111" s="80">
        <f t="shared" ref="L111:L116" si="44">IFERROR(K111/K$28,0)</f>
        <v>0</v>
      </c>
      <c r="M111" s="79">
        <f>M59</f>
        <v>0</v>
      </c>
      <c r="N111" s="80">
        <f t="shared" ref="N111:N116" si="45">IFERROR(M111/M$28,0)</f>
        <v>0</v>
      </c>
      <c r="O111" s="79">
        <f>O59</f>
        <v>0</v>
      </c>
      <c r="P111" s="80">
        <f t="shared" ref="P111:P116" si="46">IFERROR(O111/O$28,0)</f>
        <v>0</v>
      </c>
      <c r="Q111" s="79">
        <f>Q59</f>
        <v>0</v>
      </c>
      <c r="R111" s="80">
        <f t="shared" ref="R111:R116" si="47">IFERROR(Q111/Q$28,0)</f>
        <v>0</v>
      </c>
      <c r="S111" s="79">
        <f>S59</f>
        <v>0</v>
      </c>
      <c r="T111" s="80">
        <f t="shared" ref="T111:T116" si="48">IFERROR(S111/S$28,0)</f>
        <v>0</v>
      </c>
      <c r="U111" s="79">
        <f>U59</f>
        <v>0</v>
      </c>
      <c r="V111" s="80">
        <f t="shared" ref="V111:V116" si="49">IFERROR(U111/U$28,0)</f>
        <v>0</v>
      </c>
    </row>
    <row r="112" spans="1:24" ht="12.75" customHeight="1">
      <c r="A112" s="2" t="s">
        <v>450</v>
      </c>
      <c r="B112" s="35"/>
      <c r="C112" s="79">
        <f>C62</f>
        <v>0</v>
      </c>
      <c r="D112" s="80">
        <f t="shared" si="40"/>
        <v>0</v>
      </c>
      <c r="E112" s="79">
        <f>E62</f>
        <v>0</v>
      </c>
      <c r="F112" s="80">
        <f t="shared" si="41"/>
        <v>0</v>
      </c>
      <c r="G112" s="79">
        <f>G62</f>
        <v>0</v>
      </c>
      <c r="H112" s="80">
        <f t="shared" si="42"/>
        <v>0</v>
      </c>
      <c r="I112" s="79">
        <f>I62</f>
        <v>0</v>
      </c>
      <c r="J112" s="80">
        <f t="shared" si="43"/>
        <v>0</v>
      </c>
      <c r="K112" s="79">
        <f>K62</f>
        <v>0</v>
      </c>
      <c r="L112" s="80">
        <f t="shared" si="44"/>
        <v>0</v>
      </c>
      <c r="M112" s="79">
        <f>M62</f>
        <v>0</v>
      </c>
      <c r="N112" s="80">
        <f t="shared" si="45"/>
        <v>0</v>
      </c>
      <c r="O112" s="79">
        <f>O62</f>
        <v>0</v>
      </c>
      <c r="P112" s="80">
        <f t="shared" si="46"/>
        <v>0</v>
      </c>
      <c r="Q112" s="79">
        <f>Q62</f>
        <v>0</v>
      </c>
      <c r="R112" s="80">
        <f t="shared" si="47"/>
        <v>0</v>
      </c>
      <c r="S112" s="79">
        <f>S62</f>
        <v>0</v>
      </c>
      <c r="T112" s="80">
        <f t="shared" si="48"/>
        <v>0</v>
      </c>
      <c r="U112" s="79">
        <f>U62</f>
        <v>0</v>
      </c>
      <c r="V112" s="80">
        <f t="shared" si="49"/>
        <v>0</v>
      </c>
    </row>
    <row r="113" spans="1:22" ht="12.75" customHeight="1">
      <c r="A113" s="117" t="s">
        <v>446</v>
      </c>
      <c r="B113" s="41"/>
      <c r="C113" s="111">
        <v>0</v>
      </c>
      <c r="D113" s="80">
        <f t="shared" si="40"/>
        <v>0</v>
      </c>
      <c r="E113" s="111">
        <v>0</v>
      </c>
      <c r="F113" s="80">
        <f t="shared" si="41"/>
        <v>0</v>
      </c>
      <c r="G113" s="111">
        <v>0</v>
      </c>
      <c r="H113" s="80">
        <f t="shared" si="42"/>
        <v>0</v>
      </c>
      <c r="I113" s="111">
        <v>0</v>
      </c>
      <c r="J113" s="80">
        <f t="shared" si="43"/>
        <v>0</v>
      </c>
      <c r="K113" s="111">
        <v>0</v>
      </c>
      <c r="L113" s="80">
        <f t="shared" si="44"/>
        <v>0</v>
      </c>
      <c r="M113" s="111">
        <v>0</v>
      </c>
      <c r="N113" s="80">
        <f t="shared" si="45"/>
        <v>0</v>
      </c>
      <c r="O113" s="111">
        <v>0</v>
      </c>
      <c r="P113" s="80">
        <f t="shared" si="46"/>
        <v>0</v>
      </c>
      <c r="Q113" s="111">
        <v>0</v>
      </c>
      <c r="R113" s="80">
        <f t="shared" si="47"/>
        <v>0</v>
      </c>
      <c r="S113" s="111">
        <v>0</v>
      </c>
      <c r="T113" s="80">
        <f t="shared" si="48"/>
        <v>0</v>
      </c>
      <c r="U113" s="111">
        <v>0</v>
      </c>
      <c r="V113" s="80">
        <f t="shared" si="49"/>
        <v>0</v>
      </c>
    </row>
    <row r="114" spans="1:22" ht="12.75" customHeight="1">
      <c r="A114" s="117" t="s">
        <v>446</v>
      </c>
      <c r="B114" s="41"/>
      <c r="C114" s="111">
        <v>0</v>
      </c>
      <c r="D114" s="80">
        <f t="shared" si="40"/>
        <v>0</v>
      </c>
      <c r="E114" s="111">
        <v>0</v>
      </c>
      <c r="F114" s="80">
        <f t="shared" si="41"/>
        <v>0</v>
      </c>
      <c r="G114" s="111">
        <v>0</v>
      </c>
      <c r="H114" s="80">
        <f t="shared" si="42"/>
        <v>0</v>
      </c>
      <c r="I114" s="111">
        <v>0</v>
      </c>
      <c r="J114" s="80">
        <f t="shared" si="43"/>
        <v>0</v>
      </c>
      <c r="K114" s="111">
        <v>0</v>
      </c>
      <c r="L114" s="80">
        <f t="shared" si="44"/>
        <v>0</v>
      </c>
      <c r="M114" s="111">
        <v>0</v>
      </c>
      <c r="N114" s="80">
        <f t="shared" si="45"/>
        <v>0</v>
      </c>
      <c r="O114" s="111">
        <v>0</v>
      </c>
      <c r="P114" s="80">
        <f t="shared" si="46"/>
        <v>0</v>
      </c>
      <c r="Q114" s="111">
        <v>0</v>
      </c>
      <c r="R114" s="80">
        <f t="shared" si="47"/>
        <v>0</v>
      </c>
      <c r="S114" s="111">
        <v>0</v>
      </c>
      <c r="T114" s="80">
        <f t="shared" si="48"/>
        <v>0</v>
      </c>
      <c r="U114" s="111">
        <v>0</v>
      </c>
      <c r="V114" s="80">
        <f t="shared" si="49"/>
        <v>0</v>
      </c>
    </row>
    <row r="115" spans="1:22" ht="12.75" customHeight="1">
      <c r="A115" s="117" t="s">
        <v>446</v>
      </c>
      <c r="B115" s="41"/>
      <c r="C115" s="112">
        <v>0</v>
      </c>
      <c r="D115" s="80">
        <f t="shared" si="40"/>
        <v>0</v>
      </c>
      <c r="E115" s="112">
        <v>0</v>
      </c>
      <c r="F115" s="80">
        <f t="shared" si="41"/>
        <v>0</v>
      </c>
      <c r="G115" s="112">
        <v>0</v>
      </c>
      <c r="H115" s="80">
        <f t="shared" si="42"/>
        <v>0</v>
      </c>
      <c r="I115" s="112">
        <v>0</v>
      </c>
      <c r="J115" s="80">
        <f t="shared" si="43"/>
        <v>0</v>
      </c>
      <c r="K115" s="112">
        <v>0</v>
      </c>
      <c r="L115" s="80">
        <f t="shared" si="44"/>
        <v>0</v>
      </c>
      <c r="M115" s="112">
        <v>0</v>
      </c>
      <c r="N115" s="80">
        <f t="shared" si="45"/>
        <v>0</v>
      </c>
      <c r="O115" s="112">
        <v>0</v>
      </c>
      <c r="P115" s="80">
        <f t="shared" si="46"/>
        <v>0</v>
      </c>
      <c r="Q115" s="112">
        <v>0</v>
      </c>
      <c r="R115" s="80">
        <f t="shared" si="47"/>
        <v>0</v>
      </c>
      <c r="S115" s="112">
        <v>0</v>
      </c>
      <c r="T115" s="80">
        <f t="shared" si="48"/>
        <v>0</v>
      </c>
      <c r="U115" s="112">
        <v>0</v>
      </c>
      <c r="V115" s="80">
        <f t="shared" si="49"/>
        <v>0</v>
      </c>
    </row>
    <row r="116" spans="1:22" ht="12.75" customHeight="1">
      <c r="A116" s="40" t="s">
        <v>451</v>
      </c>
      <c r="B116" s="42"/>
      <c r="C116" s="85">
        <f>SUM(C111:C115)</f>
        <v>0</v>
      </c>
      <c r="D116" s="83">
        <f t="shared" si="40"/>
        <v>0</v>
      </c>
      <c r="E116" s="85">
        <f>SUM(E111:E115)</f>
        <v>0</v>
      </c>
      <c r="F116" s="83">
        <f t="shared" si="41"/>
        <v>0</v>
      </c>
      <c r="G116" s="85">
        <f>SUM(G111:G115)</f>
        <v>0</v>
      </c>
      <c r="H116" s="83">
        <f t="shared" si="42"/>
        <v>0</v>
      </c>
      <c r="I116" s="85">
        <f>SUM(I111:I115)</f>
        <v>0</v>
      </c>
      <c r="J116" s="83">
        <f t="shared" si="43"/>
        <v>0</v>
      </c>
      <c r="K116" s="85">
        <f>SUM(K111:K115)</f>
        <v>0</v>
      </c>
      <c r="L116" s="83">
        <f t="shared" si="44"/>
        <v>0</v>
      </c>
      <c r="M116" s="85">
        <f>SUM(M111:M115)</f>
        <v>0</v>
      </c>
      <c r="N116" s="83">
        <f t="shared" si="45"/>
        <v>0</v>
      </c>
      <c r="O116" s="85">
        <f>SUM(O111:O115)</f>
        <v>0</v>
      </c>
      <c r="P116" s="83">
        <f t="shared" si="46"/>
        <v>0</v>
      </c>
      <c r="Q116" s="85">
        <f>SUM(Q111:Q115)</f>
        <v>0</v>
      </c>
      <c r="R116" s="83">
        <f t="shared" si="47"/>
        <v>0</v>
      </c>
      <c r="S116" s="85">
        <f>SUM(S111:S115)</f>
        <v>0</v>
      </c>
      <c r="T116" s="83">
        <f t="shared" si="48"/>
        <v>0</v>
      </c>
      <c r="U116" s="85">
        <f>SUM(U111:U115)</f>
        <v>0</v>
      </c>
      <c r="V116" s="83">
        <f t="shared" si="49"/>
        <v>0</v>
      </c>
    </row>
    <row r="118" spans="1:22" ht="12.75" customHeight="1">
      <c r="A118" s="43" t="s">
        <v>452</v>
      </c>
      <c r="B118" s="43"/>
    </row>
    <row r="119" spans="1:22" ht="12.75" customHeight="1">
      <c r="A119" s="47" t="s">
        <v>508</v>
      </c>
      <c r="B119" s="47"/>
    </row>
    <row r="120" spans="1:22" ht="12.75" customHeight="1">
      <c r="A120" s="2" t="s">
        <v>509</v>
      </c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7" tint="0.39997558519241921"/>
  </sheetPr>
  <dimension ref="A1:X119"/>
  <sheetViews>
    <sheetView topLeftCell="A9" zoomScale="70" zoomScaleNormal="70" workbookViewId="0" xr3:uid="{FA9D0CF8-F9BB-5117-B023-E36B10EBCA76}">
      <selection activeCell="W59" sqref="W59"/>
    </sheetView>
  </sheetViews>
  <sheetFormatPr defaultColWidth="9.140625" defaultRowHeight="12.75" customHeight="1"/>
  <cols>
    <col min="1" max="1" width="9.5703125" style="2" customWidth="1"/>
    <col min="2" max="2" width="41.85546875" style="2" customWidth="1"/>
    <col min="3" max="3" width="12.7109375" style="2" customWidth="1"/>
    <col min="4" max="4" width="8.7109375" style="2" customWidth="1"/>
    <col min="5" max="5" width="12.7109375" style="2" customWidth="1"/>
    <col min="6" max="6" width="8.7109375" style="2" customWidth="1"/>
    <col min="7" max="7" width="17.28515625" style="2" customWidth="1"/>
    <col min="8" max="8" width="8.7109375" style="2" customWidth="1"/>
    <col min="9" max="9" width="13.28515625" style="2" bestFit="1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355</v>
      </c>
      <c r="G2" s="33" t="s">
        <v>75</v>
      </c>
      <c r="H2" s="34"/>
      <c r="I2" s="34"/>
      <c r="V2" s="32"/>
    </row>
    <row r="3" spans="1:22" ht="12.75" customHeight="1">
      <c r="A3" s="1" t="s">
        <v>357</v>
      </c>
      <c r="D3" s="118" t="s">
        <v>358</v>
      </c>
      <c r="G3" s="115" t="str">
        <f>+G2</f>
        <v>Subway (Wolfe Center)</v>
      </c>
      <c r="H3" s="116"/>
      <c r="I3" s="116"/>
      <c r="V3" s="32"/>
    </row>
    <row r="4" spans="1:22" ht="12.75" customHeight="1">
      <c r="A4" s="1" t="s">
        <v>359</v>
      </c>
      <c r="B4" s="109" t="s">
        <v>221</v>
      </c>
      <c r="D4" s="118" t="s">
        <v>360</v>
      </c>
      <c r="G4" s="115" t="s">
        <v>65</v>
      </c>
      <c r="H4" s="116"/>
      <c r="I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361</v>
      </c>
      <c r="B7" s="1"/>
    </row>
    <row r="8" spans="1:22" ht="12.75" customHeight="1">
      <c r="A8" s="2" t="s">
        <v>362</v>
      </c>
      <c r="C8" s="109">
        <v>250</v>
      </c>
      <c r="E8" s="109">
        <f>+C8</f>
        <v>250</v>
      </c>
      <c r="G8" s="109">
        <f>+E8</f>
        <v>250</v>
      </c>
      <c r="I8" s="109">
        <f>+G8</f>
        <v>250</v>
      </c>
      <c r="K8" s="109">
        <f>+I8</f>
        <v>250</v>
      </c>
      <c r="M8" s="109">
        <f>+K8</f>
        <v>250</v>
      </c>
      <c r="O8" s="109">
        <f>+M8</f>
        <v>250</v>
      </c>
      <c r="Q8" s="109">
        <f>+O8</f>
        <v>250</v>
      </c>
      <c r="S8" s="109">
        <f>+Q8</f>
        <v>250</v>
      </c>
      <c r="U8" s="109">
        <f>+S8</f>
        <v>250</v>
      </c>
    </row>
    <row r="10" spans="1:22" ht="12.75" customHeight="1">
      <c r="A10" s="2" t="s">
        <v>462</v>
      </c>
      <c r="C10" s="201">
        <f>+C14/C8/C12</f>
        <v>170</v>
      </c>
      <c r="D10" s="202"/>
      <c r="E10" s="201">
        <f>+E14/E8/E12</f>
        <v>242.12271973466002</v>
      </c>
      <c r="F10" s="202"/>
      <c r="G10" s="201">
        <f>+G14/G8/G12</f>
        <v>250.82508250825083</v>
      </c>
      <c r="H10" s="202"/>
      <c r="I10" s="201">
        <f>+I14/I8/I12</f>
        <v>259.44170771756978</v>
      </c>
      <c r="J10" s="202"/>
      <c r="K10" s="201">
        <f>+K14/K8/K12</f>
        <v>266.01307189542484</v>
      </c>
      <c r="L10" s="202"/>
      <c r="M10" s="201">
        <f>+M14/M8/M12</f>
        <v>272.52032520325201</v>
      </c>
      <c r="N10" s="202"/>
      <c r="O10" s="201">
        <f t="shared" ref="O10" si="0">+O14/O8/O12</f>
        <v>279.61165048543688</v>
      </c>
      <c r="P10" s="202"/>
      <c r="Q10" s="201">
        <f t="shared" ref="Q10" si="1">+Q14/Q8/Q12</f>
        <v>286.63446054750403</v>
      </c>
      <c r="R10" s="202"/>
      <c r="S10" s="201">
        <f>+S14/S8/S12</f>
        <v>293.58974358974359</v>
      </c>
      <c r="T10" s="202"/>
      <c r="U10" s="201">
        <f>+U14/U8/U12</f>
        <v>301.11642743221694</v>
      </c>
    </row>
    <row r="12" spans="1:22" ht="12.75" customHeight="1">
      <c r="A12" s="2" t="s">
        <v>463</v>
      </c>
      <c r="C12" s="110">
        <v>6</v>
      </c>
      <c r="E12" s="110">
        <v>6.03</v>
      </c>
      <c r="G12" s="110">
        <v>6.06</v>
      </c>
      <c r="I12" s="110">
        <v>6.09</v>
      </c>
      <c r="K12" s="110">
        <v>6.12</v>
      </c>
      <c r="M12" s="110">
        <v>6.15</v>
      </c>
      <c r="O12" s="110">
        <v>6.18</v>
      </c>
      <c r="Q12" s="110">
        <v>6.21</v>
      </c>
      <c r="S12" s="110">
        <v>6.24</v>
      </c>
      <c r="U12" s="110">
        <v>6.27</v>
      </c>
    </row>
    <row r="14" spans="1:22" ht="12.75" customHeight="1">
      <c r="A14" s="2" t="s">
        <v>464</v>
      </c>
      <c r="C14" s="198">
        <v>255000</v>
      </c>
      <c r="D14" s="12"/>
      <c r="E14" s="198">
        <v>365000</v>
      </c>
      <c r="F14" s="12"/>
      <c r="G14" s="198">
        <v>380000</v>
      </c>
      <c r="H14" s="12"/>
      <c r="I14" s="198">
        <v>395000</v>
      </c>
      <c r="J14" s="12"/>
      <c r="K14" s="198">
        <v>407000</v>
      </c>
      <c r="L14" s="12"/>
      <c r="M14" s="198">
        <v>419000</v>
      </c>
      <c r="N14" s="12"/>
      <c r="O14" s="198">
        <v>432000</v>
      </c>
      <c r="P14" s="12"/>
      <c r="Q14" s="198">
        <v>445000</v>
      </c>
      <c r="R14" s="12"/>
      <c r="S14" s="198">
        <v>458000</v>
      </c>
      <c r="T14" s="12"/>
      <c r="U14" s="198">
        <v>472000</v>
      </c>
    </row>
    <row r="15" spans="1:22" ht="12.75" customHeight="1">
      <c r="A15" s="39">
        <v>0.05</v>
      </c>
    </row>
    <row r="16" spans="1:22" ht="12.75" customHeight="1">
      <c r="B16" s="35"/>
      <c r="C16" s="86" t="str">
        <f>C6</f>
        <v>FY 2018-19</v>
      </c>
      <c r="D16" s="86" t="s">
        <v>366</v>
      </c>
      <c r="E16" s="86" t="str">
        <f>E6</f>
        <v>FY 2019-20</v>
      </c>
      <c r="F16" s="86" t="s">
        <v>366</v>
      </c>
      <c r="G16" s="86" t="str">
        <f>G6</f>
        <v>FY 2020-21</v>
      </c>
      <c r="H16" s="86" t="s">
        <v>366</v>
      </c>
      <c r="I16" s="86" t="str">
        <f>I6</f>
        <v>FY 2021-22</v>
      </c>
      <c r="J16" s="86" t="s">
        <v>366</v>
      </c>
      <c r="K16" s="86" t="str">
        <f>K6</f>
        <v>FY 2022-23</v>
      </c>
      <c r="L16" s="86" t="s">
        <v>366</v>
      </c>
      <c r="M16" s="86" t="str">
        <f>M6</f>
        <v>FY 2023-24</v>
      </c>
      <c r="N16" s="86" t="s">
        <v>366</v>
      </c>
      <c r="O16" s="86" t="str">
        <f>O6</f>
        <v>FY 2024-25</v>
      </c>
      <c r="P16" s="86" t="s">
        <v>366</v>
      </c>
      <c r="Q16" s="86" t="str">
        <f>Q6</f>
        <v>FY 2025-26</v>
      </c>
      <c r="R16" s="86" t="s">
        <v>366</v>
      </c>
      <c r="S16" s="86" t="str">
        <f>S6</f>
        <v>FY 2026-27</v>
      </c>
      <c r="T16" s="86" t="s">
        <v>366</v>
      </c>
      <c r="U16" s="86" t="str">
        <f>U6</f>
        <v>FY 2027-28</v>
      </c>
      <c r="V16" s="86" t="s">
        <v>366</v>
      </c>
    </row>
    <row r="17" spans="1:24" ht="12.75" customHeight="1">
      <c r="A17" s="1" t="s">
        <v>367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368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369</v>
      </c>
      <c r="B19" s="35"/>
      <c r="C19" s="200">
        <f>+C14-C20-C21</f>
        <v>210681</v>
      </c>
      <c r="D19" s="80">
        <f>IFERROR(C19/C$28,0)</f>
        <v>0.82620000000000005</v>
      </c>
      <c r="E19" s="200">
        <f>+E14-E20-E21</f>
        <v>299300</v>
      </c>
      <c r="F19" s="80">
        <f>IFERROR(E19/E$28,0)</f>
        <v>0.82</v>
      </c>
      <c r="G19" s="200">
        <f>+G14-G20-G21</f>
        <v>312832</v>
      </c>
      <c r="H19" s="80">
        <f>IFERROR(G19/G$28,0)</f>
        <v>0.82324210526315789</v>
      </c>
      <c r="I19" s="200">
        <f>+I14-I20-I21</f>
        <v>326340.64</v>
      </c>
      <c r="J19" s="80">
        <f>IFERROR(I19/I$28,0)</f>
        <v>0.82617883544303805</v>
      </c>
      <c r="K19" s="200">
        <f>+K14-K20-K21</f>
        <v>336885.45279999997</v>
      </c>
      <c r="L19" s="80">
        <f>IFERROR(K19/K$28,0)</f>
        <v>0.8277283852579852</v>
      </c>
      <c r="M19" s="200">
        <f>+M14-M20-M21</f>
        <v>347405.96185600001</v>
      </c>
      <c r="N19" s="80">
        <f>IFERROR(M19/M$28,0)</f>
        <v>0.82913117388066826</v>
      </c>
      <c r="O19" s="200">
        <f>+O14-O20-O21</f>
        <v>358881.68109312002</v>
      </c>
      <c r="P19" s="80">
        <f>IFERROR(O19/O$28,0)</f>
        <v>0.83074463216000005</v>
      </c>
      <c r="Q19" s="200">
        <f>+Q14-Q20-Q21</f>
        <v>370332.1147149824</v>
      </c>
      <c r="R19" s="80">
        <f>IFERROR(Q19/Q$28,0)</f>
        <v>0.83220699935951103</v>
      </c>
      <c r="S19" s="200">
        <f>+S14-S20-S21</f>
        <v>381756.75700928201</v>
      </c>
      <c r="T19" s="80">
        <f>IFERROR(S19/S$28,0)</f>
        <v>0.83353003713817031</v>
      </c>
      <c r="U19" s="200">
        <f>+U14-U20-U21</f>
        <v>394135.09214946767</v>
      </c>
      <c r="V19" s="80">
        <f>IFERROR(U19/U$28,0)</f>
        <v>0.83503197489294001</v>
      </c>
    </row>
    <row r="20" spans="1:24" ht="12.75" customHeight="1">
      <c r="A20" s="2" t="s">
        <v>370</v>
      </c>
      <c r="B20" s="35"/>
      <c r="C20" s="111">
        <f>+C14*12.38%</f>
        <v>31569.000000000004</v>
      </c>
      <c r="D20" s="80">
        <f>IFERROR(C20/C$28,0)</f>
        <v>0.12380000000000002</v>
      </c>
      <c r="E20" s="111">
        <f>+E14*16%</f>
        <v>58400</v>
      </c>
      <c r="F20" s="80">
        <f>IFERROR(E20/E$28,0)</f>
        <v>0.16</v>
      </c>
      <c r="G20" s="111">
        <f t="shared" ref="G20:U20" si="2">E20*1.02</f>
        <v>59568</v>
      </c>
      <c r="H20" s="80">
        <f>IFERROR(G20/G$28,0)</f>
        <v>0.1567578947368421</v>
      </c>
      <c r="I20" s="111">
        <f t="shared" si="2"/>
        <v>60759.360000000001</v>
      </c>
      <c r="J20" s="80">
        <f>IFERROR(I20/I$28,0)</f>
        <v>0.15382116455696201</v>
      </c>
      <c r="K20" s="111">
        <f t="shared" si="2"/>
        <v>61974.547200000001</v>
      </c>
      <c r="L20" s="80">
        <f>IFERROR(K20/K$28,0)</f>
        <v>0.15227161474201475</v>
      </c>
      <c r="M20" s="111">
        <f t="shared" si="2"/>
        <v>63214.038144000006</v>
      </c>
      <c r="N20" s="80">
        <f>IFERROR(M20/M$28,0)</f>
        <v>0.15086882611933175</v>
      </c>
      <c r="O20" s="111">
        <f t="shared" si="2"/>
        <v>64478.318906880006</v>
      </c>
      <c r="P20" s="80">
        <f>IFERROR(O20/O$28,0)</f>
        <v>0.14925536784000001</v>
      </c>
      <c r="Q20" s="111">
        <f t="shared" si="2"/>
        <v>65767.885285017604</v>
      </c>
      <c r="R20" s="80">
        <f>IFERROR(Q20/Q$28,0)</f>
        <v>0.147793000640489</v>
      </c>
      <c r="S20" s="111">
        <f t="shared" si="2"/>
        <v>67083.242990717961</v>
      </c>
      <c r="T20" s="80">
        <f>IFERROR(S20/S$28,0)</f>
        <v>0.14646996286182962</v>
      </c>
      <c r="U20" s="111">
        <f t="shared" si="2"/>
        <v>68424.907850532327</v>
      </c>
      <c r="V20" s="80">
        <f>IFERROR(U20/U$28,0)</f>
        <v>0.14496802510706003</v>
      </c>
    </row>
    <row r="21" spans="1:24" ht="12.75" customHeight="1">
      <c r="A21" s="186" t="s">
        <v>371</v>
      </c>
      <c r="B21" s="195"/>
      <c r="C21" s="111">
        <f>+C14*0.05</f>
        <v>12750</v>
      </c>
      <c r="D21" s="80">
        <f>IFERROR(C21/C$28,0)</f>
        <v>0.05</v>
      </c>
      <c r="E21" s="111">
        <f>+E14*0.02</f>
        <v>7300</v>
      </c>
      <c r="F21" s="80">
        <f>IFERROR(E21/E$28,0)</f>
        <v>0.02</v>
      </c>
      <c r="G21" s="111">
        <f>+G14*0.02</f>
        <v>7600</v>
      </c>
      <c r="H21" s="80">
        <f>IFERROR(G21/G$28,0)</f>
        <v>0.02</v>
      </c>
      <c r="I21" s="111">
        <f>+I14*0.02</f>
        <v>7900</v>
      </c>
      <c r="J21" s="80">
        <f>IFERROR(I21/I$28,0)</f>
        <v>0.02</v>
      </c>
      <c r="K21" s="111">
        <f>+K14*0.02</f>
        <v>8140</v>
      </c>
      <c r="L21" s="80">
        <f>IFERROR(K21/K$28,0)</f>
        <v>0.02</v>
      </c>
      <c r="M21" s="111">
        <f>+M14*0.02</f>
        <v>8380</v>
      </c>
      <c r="N21" s="80">
        <f>IFERROR(M21/M$28,0)</f>
        <v>0.02</v>
      </c>
      <c r="O21" s="111">
        <f>+O14*0.02</f>
        <v>8640</v>
      </c>
      <c r="P21" s="80">
        <f>IFERROR(O21/O$28,0)</f>
        <v>0.02</v>
      </c>
      <c r="Q21" s="111">
        <f>+Q14*0.02</f>
        <v>8900</v>
      </c>
      <c r="R21" s="80">
        <f>IFERROR(Q21/Q$28,0)</f>
        <v>0.02</v>
      </c>
      <c r="S21" s="111">
        <f>+S14*0.02</f>
        <v>9160</v>
      </c>
      <c r="T21" s="80">
        <f>IFERROR(S21/S$28,0)</f>
        <v>0.02</v>
      </c>
      <c r="U21" s="111">
        <f>+U14*0.02</f>
        <v>9440</v>
      </c>
      <c r="V21" s="80">
        <f>IFERROR(U21/U$28,0)</f>
        <v>0.02</v>
      </c>
    </row>
    <row r="22" spans="1:24" ht="12.75" customHeight="1">
      <c r="A22" s="2" t="s">
        <v>372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373</v>
      </c>
      <c r="B23" s="123"/>
      <c r="C23" s="79"/>
      <c r="D23" s="80">
        <f t="shared" ref="D23:D28" si="3">IFERROR(C23/C$28,0)</f>
        <v>0</v>
      </c>
      <c r="E23" s="79"/>
      <c r="F23" s="80">
        <f t="shared" ref="F23:F28" si="4">IFERROR(E23/E$28,0)</f>
        <v>0</v>
      </c>
      <c r="G23" s="79"/>
      <c r="H23" s="80">
        <f t="shared" ref="H23:H28" si="5">IFERROR(G23/G$28,0)</f>
        <v>0</v>
      </c>
      <c r="I23" s="79"/>
      <c r="J23" s="80">
        <f t="shared" ref="J23:J28" si="6">IFERROR(I23/I$28,0)</f>
        <v>0</v>
      </c>
      <c r="K23" s="79"/>
      <c r="L23" s="80">
        <f t="shared" ref="L23:L28" si="7">IFERROR(K23/K$28,0)</f>
        <v>0</v>
      </c>
      <c r="M23" s="79"/>
      <c r="N23" s="80">
        <f t="shared" ref="N23:N28" si="8">IFERROR(M23/M$28,0)</f>
        <v>0</v>
      </c>
      <c r="O23" s="79"/>
      <c r="P23" s="80">
        <f t="shared" ref="P23:P28" si="9">IFERROR(O23/O$28,0)</f>
        <v>0</v>
      </c>
      <c r="Q23" s="79"/>
      <c r="R23" s="80">
        <f t="shared" ref="R23:R28" si="10">IFERROR(Q23/Q$28,0)</f>
        <v>0</v>
      </c>
      <c r="S23" s="79"/>
      <c r="T23" s="80">
        <f t="shared" ref="T23:T28" si="11">IFERROR(S23/S$28,0)</f>
        <v>0</v>
      </c>
      <c r="U23" s="79"/>
      <c r="V23" s="80">
        <f t="shared" ref="V23:V28" si="12">IFERROR(U23/U$28,0)</f>
        <v>0</v>
      </c>
    </row>
    <row r="24" spans="1:24" ht="12.75" customHeight="1">
      <c r="A24" s="122" t="s">
        <v>374</v>
      </c>
      <c r="B24" s="123"/>
      <c r="C24" s="79"/>
      <c r="D24" s="80">
        <f t="shared" si="3"/>
        <v>0</v>
      </c>
      <c r="E24" s="79"/>
      <c r="F24" s="80">
        <f t="shared" si="4"/>
        <v>0</v>
      </c>
      <c r="G24" s="79"/>
      <c r="H24" s="80">
        <f t="shared" si="5"/>
        <v>0</v>
      </c>
      <c r="I24" s="79"/>
      <c r="J24" s="80">
        <f t="shared" si="6"/>
        <v>0</v>
      </c>
      <c r="K24" s="79"/>
      <c r="L24" s="80">
        <f t="shared" si="7"/>
        <v>0</v>
      </c>
      <c r="M24" s="79"/>
      <c r="N24" s="80">
        <f t="shared" si="8"/>
        <v>0</v>
      </c>
      <c r="O24" s="79"/>
      <c r="P24" s="80">
        <f t="shared" si="9"/>
        <v>0</v>
      </c>
      <c r="Q24" s="79"/>
      <c r="R24" s="80">
        <f t="shared" si="10"/>
        <v>0</v>
      </c>
      <c r="S24" s="79"/>
      <c r="T24" s="80">
        <f t="shared" si="11"/>
        <v>0</v>
      </c>
      <c r="U24" s="79"/>
      <c r="V24" s="80">
        <f t="shared" si="12"/>
        <v>0</v>
      </c>
      <c r="X24" s="79"/>
    </row>
    <row r="25" spans="1:24" ht="12.75" customHeight="1">
      <c r="A25" s="2" t="s">
        <v>375</v>
      </c>
      <c r="B25" s="35"/>
      <c r="C25" s="111"/>
      <c r="D25" s="80">
        <f t="shared" si="3"/>
        <v>0</v>
      </c>
      <c r="E25" s="111"/>
      <c r="F25" s="80">
        <f t="shared" si="4"/>
        <v>0</v>
      </c>
      <c r="G25" s="111"/>
      <c r="H25" s="80">
        <f t="shared" si="5"/>
        <v>0</v>
      </c>
      <c r="I25" s="111"/>
      <c r="J25" s="80">
        <f t="shared" si="6"/>
        <v>0</v>
      </c>
      <c r="K25" s="111"/>
      <c r="L25" s="80">
        <f t="shared" si="7"/>
        <v>0</v>
      </c>
      <c r="M25" s="111"/>
      <c r="N25" s="80">
        <f t="shared" si="8"/>
        <v>0</v>
      </c>
      <c r="O25" s="111"/>
      <c r="P25" s="80">
        <f t="shared" si="9"/>
        <v>0</v>
      </c>
      <c r="Q25" s="111"/>
      <c r="R25" s="80">
        <f t="shared" si="10"/>
        <v>0</v>
      </c>
      <c r="S25" s="111"/>
      <c r="T25" s="80">
        <f t="shared" si="11"/>
        <v>0</v>
      </c>
      <c r="U25" s="111"/>
      <c r="V25" s="80">
        <f t="shared" si="12"/>
        <v>0</v>
      </c>
      <c r="X25" s="79"/>
    </row>
    <row r="26" spans="1:24" ht="12.75" customHeight="1">
      <c r="A26" s="122" t="s">
        <v>376</v>
      </c>
      <c r="B26" s="35"/>
      <c r="C26" s="79"/>
      <c r="D26" s="80">
        <f t="shared" si="3"/>
        <v>0</v>
      </c>
      <c r="E26" s="79"/>
      <c r="F26" s="80">
        <f t="shared" si="4"/>
        <v>0</v>
      </c>
      <c r="G26" s="79"/>
      <c r="H26" s="80">
        <f t="shared" si="5"/>
        <v>0</v>
      </c>
      <c r="I26" s="79"/>
      <c r="J26" s="80">
        <f t="shared" si="6"/>
        <v>0</v>
      </c>
      <c r="K26" s="79"/>
      <c r="L26" s="80">
        <f t="shared" si="7"/>
        <v>0</v>
      </c>
      <c r="M26" s="79"/>
      <c r="N26" s="80">
        <f t="shared" si="8"/>
        <v>0</v>
      </c>
      <c r="O26" s="79"/>
      <c r="P26" s="80">
        <f t="shared" si="9"/>
        <v>0</v>
      </c>
      <c r="Q26" s="79"/>
      <c r="R26" s="80">
        <f t="shared" si="10"/>
        <v>0</v>
      </c>
      <c r="S26" s="79"/>
      <c r="T26" s="80">
        <f t="shared" si="11"/>
        <v>0</v>
      </c>
      <c r="U26" s="79"/>
      <c r="V26" s="80">
        <f t="shared" si="12"/>
        <v>0</v>
      </c>
    </row>
    <row r="27" spans="1:24" ht="12.75" customHeight="1">
      <c r="A27" s="2" t="s">
        <v>377</v>
      </c>
      <c r="B27" s="35"/>
      <c r="C27" s="112"/>
      <c r="D27" s="80">
        <f t="shared" si="3"/>
        <v>0</v>
      </c>
      <c r="E27" s="112"/>
      <c r="F27" s="80">
        <f t="shared" si="4"/>
        <v>0</v>
      </c>
      <c r="G27" s="112"/>
      <c r="H27" s="80">
        <f t="shared" si="5"/>
        <v>0</v>
      </c>
      <c r="I27" s="112"/>
      <c r="J27" s="80">
        <f t="shared" si="6"/>
        <v>0</v>
      </c>
      <c r="K27" s="112"/>
      <c r="L27" s="80">
        <f t="shared" si="7"/>
        <v>0</v>
      </c>
      <c r="M27" s="112"/>
      <c r="N27" s="80">
        <f t="shared" si="8"/>
        <v>0</v>
      </c>
      <c r="O27" s="112"/>
      <c r="P27" s="80">
        <f t="shared" si="9"/>
        <v>0</v>
      </c>
      <c r="Q27" s="112"/>
      <c r="R27" s="80">
        <f t="shared" si="10"/>
        <v>0</v>
      </c>
      <c r="S27" s="112"/>
      <c r="T27" s="80">
        <f t="shared" si="11"/>
        <v>0</v>
      </c>
      <c r="U27" s="112"/>
      <c r="V27" s="80">
        <f t="shared" si="12"/>
        <v>0</v>
      </c>
    </row>
    <row r="28" spans="1:24" ht="12.75" customHeight="1">
      <c r="A28" s="1" t="s">
        <v>378</v>
      </c>
      <c r="B28" s="53"/>
      <c r="C28" s="82">
        <f>SUM(C19:C27)</f>
        <v>255000</v>
      </c>
      <c r="D28" s="83">
        <f t="shared" si="3"/>
        <v>1</v>
      </c>
      <c r="E28" s="82">
        <f>SUM(E19:E27)</f>
        <v>365000</v>
      </c>
      <c r="F28" s="83">
        <f t="shared" si="4"/>
        <v>1</v>
      </c>
      <c r="G28" s="82">
        <f>SUM(G19:G27)</f>
        <v>380000</v>
      </c>
      <c r="H28" s="83">
        <f t="shared" si="5"/>
        <v>1</v>
      </c>
      <c r="I28" s="82">
        <f>SUM(I19:I27)</f>
        <v>395000</v>
      </c>
      <c r="J28" s="83">
        <f t="shared" si="6"/>
        <v>1</v>
      </c>
      <c r="K28" s="82">
        <f>SUM(K19:K27)</f>
        <v>407000</v>
      </c>
      <c r="L28" s="83">
        <f t="shared" si="7"/>
        <v>1</v>
      </c>
      <c r="M28" s="82">
        <f>SUM(M19:M27)</f>
        <v>419000</v>
      </c>
      <c r="N28" s="83">
        <f t="shared" si="8"/>
        <v>1</v>
      </c>
      <c r="O28" s="82">
        <f>SUM(O19:O27)</f>
        <v>432000</v>
      </c>
      <c r="P28" s="83">
        <f t="shared" si="9"/>
        <v>1</v>
      </c>
      <c r="Q28" s="82">
        <f>SUM(Q19:Q27)</f>
        <v>445000</v>
      </c>
      <c r="R28" s="83">
        <f t="shared" si="10"/>
        <v>1</v>
      </c>
      <c r="S28" s="82">
        <f>SUM(S19:S27)</f>
        <v>458000</v>
      </c>
      <c r="T28" s="83">
        <f t="shared" si="11"/>
        <v>1</v>
      </c>
      <c r="U28" s="82">
        <f>SUM(U19:U27)</f>
        <v>472000</v>
      </c>
      <c r="V28" s="83">
        <f t="shared" si="12"/>
        <v>1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379</v>
      </c>
      <c r="B30" s="53"/>
      <c r="C30" s="197">
        <v>0.30599999999999999</v>
      </c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380</v>
      </c>
      <c r="B31" s="35"/>
      <c r="C31" s="178">
        <f>$C$30*C14</f>
        <v>78030</v>
      </c>
      <c r="D31" s="80">
        <f>IFERROR(C31/C$28,0)</f>
        <v>0.30599999999999999</v>
      </c>
      <c r="E31" s="178">
        <f>$C$30*E14</f>
        <v>111690</v>
      </c>
      <c r="F31" s="80">
        <f>IFERROR(E31/E$28,0)</f>
        <v>0.30599999999999999</v>
      </c>
      <c r="G31" s="178">
        <f>$C$30*G14</f>
        <v>116280</v>
      </c>
      <c r="H31" s="80">
        <f>IFERROR(G31/G$28,0)</f>
        <v>0.30599999999999999</v>
      </c>
      <c r="I31" s="178">
        <f>$C$30*I14</f>
        <v>120870</v>
      </c>
      <c r="J31" s="80">
        <f>IFERROR(I31/I$28,0)</f>
        <v>0.30599999999999999</v>
      </c>
      <c r="K31" s="178">
        <f>$C$30*K14</f>
        <v>124542</v>
      </c>
      <c r="L31" s="80">
        <f>IFERROR(K31/K$28,0)</f>
        <v>0.30599999999999999</v>
      </c>
      <c r="M31" s="178">
        <f>$C$30*M14</f>
        <v>128214</v>
      </c>
      <c r="N31" s="80">
        <f>IFERROR(M31/M$28,0)</f>
        <v>0.30599999999999999</v>
      </c>
      <c r="O31" s="178">
        <f>$C$30*O14</f>
        <v>132192</v>
      </c>
      <c r="P31" s="80">
        <f>IFERROR(O31/O$28,0)</f>
        <v>0.30599999999999999</v>
      </c>
      <c r="Q31" s="178">
        <f>$C$30*Q14</f>
        <v>136170</v>
      </c>
      <c r="R31" s="80">
        <f>IFERROR(Q31/Q$28,0)</f>
        <v>0.30599999999999999</v>
      </c>
      <c r="S31" s="178">
        <f>$C$30*S14</f>
        <v>140148</v>
      </c>
      <c r="T31" s="80">
        <f>IFERROR(S31/S$28,0)</f>
        <v>0.30599999999999999</v>
      </c>
      <c r="U31" s="178">
        <f>$C$30*U14</f>
        <v>144432</v>
      </c>
      <c r="V31" s="80">
        <f>IFERROR(U31/U$28,0)</f>
        <v>0.30599999999999999</v>
      </c>
    </row>
    <row r="32" spans="1:24" ht="12.75" customHeight="1">
      <c r="A32" s="8" t="s">
        <v>381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382</v>
      </c>
      <c r="B33" s="53"/>
      <c r="C33" s="82">
        <f>SUM(C31:C32)</f>
        <v>78030</v>
      </c>
      <c r="D33" s="83">
        <f>IFERROR(C33/C$28,0)</f>
        <v>0.30599999999999999</v>
      </c>
      <c r="E33" s="82">
        <f>SUM(E31:E32)</f>
        <v>111690</v>
      </c>
      <c r="F33" s="83">
        <f>IFERROR(E33/E$28,0)</f>
        <v>0.30599999999999999</v>
      </c>
      <c r="G33" s="82">
        <f>SUM(G31:G32)</f>
        <v>116280</v>
      </c>
      <c r="H33" s="83">
        <f>IFERROR(G33/G$28,0)</f>
        <v>0.30599999999999999</v>
      </c>
      <c r="I33" s="82">
        <f>SUM(I31:I32)</f>
        <v>120870</v>
      </c>
      <c r="J33" s="83">
        <f>IFERROR(I33/I$28,0)</f>
        <v>0.30599999999999999</v>
      </c>
      <c r="K33" s="82">
        <f>SUM(K31:K32)</f>
        <v>124542</v>
      </c>
      <c r="L33" s="83">
        <f>IFERROR(K33/K$28,0)</f>
        <v>0.30599999999999999</v>
      </c>
      <c r="M33" s="82">
        <f>SUM(M31:M32)</f>
        <v>128214</v>
      </c>
      <c r="N33" s="83">
        <f>IFERROR(M33/M$28,0)</f>
        <v>0.30599999999999999</v>
      </c>
      <c r="O33" s="82">
        <f>SUM(O31:O32)</f>
        <v>132192</v>
      </c>
      <c r="P33" s="83">
        <f>IFERROR(O33/O$28,0)</f>
        <v>0.30599999999999999</v>
      </c>
      <c r="Q33" s="82">
        <f>SUM(Q31:Q32)</f>
        <v>136170</v>
      </c>
      <c r="R33" s="83">
        <f>IFERROR(Q33/Q$28,0)</f>
        <v>0.30599999999999999</v>
      </c>
      <c r="S33" s="82">
        <f>SUM(S31:S32)</f>
        <v>140148</v>
      </c>
      <c r="T33" s="83">
        <f>IFERROR(S33/S$28,0)</f>
        <v>0.30599999999999999</v>
      </c>
      <c r="U33" s="82">
        <f>SUM(U31:U32)</f>
        <v>144432</v>
      </c>
      <c r="V33" s="83">
        <f>IFERROR(U33/U$28,0)</f>
        <v>0.30599999999999999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383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384</v>
      </c>
      <c r="B36" s="35"/>
      <c r="C36" s="178"/>
      <c r="D36" s="80">
        <f t="shared" ref="D36:D46" si="13">IFERROR(C36/C$28,0)</f>
        <v>0</v>
      </c>
      <c r="E36" s="178"/>
      <c r="F36" s="80">
        <f t="shared" ref="F36:F46" si="14">IFERROR(E36/E$28,0)</f>
        <v>0</v>
      </c>
      <c r="G36" s="178"/>
      <c r="H36" s="80">
        <f t="shared" ref="H36:H46" si="15">IFERROR(G36/G$28,0)</f>
        <v>0</v>
      </c>
      <c r="I36" s="178"/>
      <c r="J36" s="80">
        <f t="shared" ref="J36:J46" si="16">IFERROR(I36/I$28,0)</f>
        <v>0</v>
      </c>
      <c r="K36" s="178"/>
      <c r="L36" s="80">
        <f t="shared" ref="L36:L46" si="17">IFERROR(K36/K$28,0)</f>
        <v>0</v>
      </c>
      <c r="M36" s="178"/>
      <c r="N36" s="80">
        <f t="shared" ref="N36:N46" si="18">IFERROR(M36/M$28,0)</f>
        <v>0</v>
      </c>
      <c r="O36" s="178"/>
      <c r="P36" s="80">
        <f t="shared" ref="P36:P46" si="19">IFERROR(O36/O$28,0)</f>
        <v>0</v>
      </c>
      <c r="Q36" s="178"/>
      <c r="R36" s="80">
        <f t="shared" ref="R36:R46" si="20">IFERROR(Q36/Q$28,0)</f>
        <v>0</v>
      </c>
      <c r="S36" s="178"/>
      <c r="T36" s="80">
        <f t="shared" ref="T36:T46" si="21">IFERROR(S36/S$28,0)</f>
        <v>0</v>
      </c>
      <c r="U36" s="178"/>
      <c r="V36" s="80">
        <f t="shared" ref="V36:V46" si="22">IFERROR(U36/U$28,0)</f>
        <v>0</v>
      </c>
    </row>
    <row r="37" spans="1:22" ht="12.75" customHeight="1">
      <c r="A37" s="2" t="s">
        <v>385</v>
      </c>
      <c r="B37" s="35"/>
      <c r="C37" s="178">
        <v>99516</v>
      </c>
      <c r="D37" s="80">
        <f t="shared" si="13"/>
        <v>0.39025882352941177</v>
      </c>
      <c r="E37" s="178">
        <f>+C37*1.112</f>
        <v>110661.79200000002</v>
      </c>
      <c r="F37" s="80">
        <f t="shared" si="14"/>
        <v>0.30318299178082198</v>
      </c>
      <c r="G37" s="178">
        <f>+E37*1.035</f>
        <v>114534.95472000001</v>
      </c>
      <c r="H37" s="80">
        <f t="shared" si="15"/>
        <v>0.30140777557894738</v>
      </c>
      <c r="I37" s="178">
        <f>+G37*1.032</f>
        <v>118200.07327104002</v>
      </c>
      <c r="J37" s="80">
        <f t="shared" si="16"/>
        <v>0.29924069182541779</v>
      </c>
      <c r="K37" s="178">
        <f>+I37*1.025</f>
        <v>121155.07510281602</v>
      </c>
      <c r="L37" s="80">
        <f t="shared" si="17"/>
        <v>0.29767831720593618</v>
      </c>
      <c r="M37" s="178">
        <f>+K37*1.025</f>
        <v>124183.95198038641</v>
      </c>
      <c r="N37" s="80">
        <f t="shared" si="18"/>
        <v>0.29638174696989594</v>
      </c>
      <c r="O37" s="178">
        <f>+M37*1.025</f>
        <v>127288.55077989606</v>
      </c>
      <c r="P37" s="80">
        <f t="shared" si="19"/>
        <v>0.29464942310161124</v>
      </c>
      <c r="Q37" s="178">
        <f>+O37*1.025</f>
        <v>130470.76454939345</v>
      </c>
      <c r="R37" s="80">
        <f t="shared" si="20"/>
        <v>0.29319272932447965</v>
      </c>
      <c r="S37" s="178">
        <f>+Q37*1.025</f>
        <v>133732.53366312827</v>
      </c>
      <c r="T37" s="80">
        <f t="shared" si="21"/>
        <v>0.29199243157888266</v>
      </c>
      <c r="U37" s="178">
        <f>+S37*1.025</f>
        <v>137075.84700470648</v>
      </c>
      <c r="V37" s="80">
        <f t="shared" si="22"/>
        <v>0.29041493009471714</v>
      </c>
    </row>
    <row r="38" spans="1:22" ht="12.75" customHeight="1">
      <c r="A38" s="2" t="s">
        <v>386</v>
      </c>
      <c r="B38" s="35"/>
      <c r="C38" s="178"/>
      <c r="D38" s="80">
        <f t="shared" si="13"/>
        <v>0</v>
      </c>
      <c r="E38" s="178">
        <f t="shared" ref="E38:E39" si="23">+C38*1.112</f>
        <v>0</v>
      </c>
      <c r="F38" s="80">
        <f t="shared" si="14"/>
        <v>0</v>
      </c>
      <c r="G38" s="178">
        <f>+E38*1.035</f>
        <v>0</v>
      </c>
      <c r="H38" s="80">
        <f t="shared" si="15"/>
        <v>0</v>
      </c>
      <c r="I38" s="178">
        <f>+G38*1.032</f>
        <v>0</v>
      </c>
      <c r="J38" s="80">
        <f t="shared" si="16"/>
        <v>0</v>
      </c>
      <c r="K38" s="178">
        <f>+I38*1.025</f>
        <v>0</v>
      </c>
      <c r="L38" s="80">
        <f t="shared" si="17"/>
        <v>0</v>
      </c>
      <c r="M38" s="178">
        <f>+K38*1.025</f>
        <v>0</v>
      </c>
      <c r="N38" s="80">
        <f t="shared" si="18"/>
        <v>0</v>
      </c>
      <c r="O38" s="178">
        <f>+M38*1.025</f>
        <v>0</v>
      </c>
      <c r="P38" s="80">
        <f t="shared" si="19"/>
        <v>0</v>
      </c>
      <c r="Q38" s="178">
        <f>+O38*1.025</f>
        <v>0</v>
      </c>
      <c r="R38" s="80">
        <f t="shared" si="20"/>
        <v>0</v>
      </c>
      <c r="S38" s="178">
        <f>+Q38*1.025</f>
        <v>0</v>
      </c>
      <c r="T38" s="80">
        <f t="shared" si="21"/>
        <v>0</v>
      </c>
      <c r="U38" s="178">
        <f>+S38*1.025</f>
        <v>0</v>
      </c>
      <c r="V38" s="80">
        <f t="shared" si="22"/>
        <v>0</v>
      </c>
    </row>
    <row r="39" spans="1:22" ht="12.75" customHeight="1">
      <c r="A39" s="2" t="s">
        <v>387</v>
      </c>
      <c r="B39" s="35"/>
      <c r="C39" s="178"/>
      <c r="D39" s="80">
        <f t="shared" si="13"/>
        <v>0</v>
      </c>
      <c r="E39" s="178">
        <f t="shared" si="23"/>
        <v>0</v>
      </c>
      <c r="F39" s="80">
        <f t="shared" si="14"/>
        <v>0</v>
      </c>
      <c r="G39" s="178">
        <f>+E39*1.035</f>
        <v>0</v>
      </c>
      <c r="H39" s="80">
        <f t="shared" si="15"/>
        <v>0</v>
      </c>
      <c r="I39" s="178">
        <f>+G39*1.032</f>
        <v>0</v>
      </c>
      <c r="J39" s="80">
        <f t="shared" si="16"/>
        <v>0</v>
      </c>
      <c r="K39" s="178">
        <f>+I39*1.025</f>
        <v>0</v>
      </c>
      <c r="L39" s="80">
        <f t="shared" si="17"/>
        <v>0</v>
      </c>
      <c r="M39" s="178">
        <f>+K39*1.025</f>
        <v>0</v>
      </c>
      <c r="N39" s="80">
        <f t="shared" si="18"/>
        <v>0</v>
      </c>
      <c r="O39" s="178">
        <f>+M39*1.025</f>
        <v>0</v>
      </c>
      <c r="P39" s="80">
        <f t="shared" si="19"/>
        <v>0</v>
      </c>
      <c r="Q39" s="178">
        <f>+O39*1.025</f>
        <v>0</v>
      </c>
      <c r="R39" s="80">
        <f t="shared" si="20"/>
        <v>0</v>
      </c>
      <c r="S39" s="178">
        <f>+Q39*1.025</f>
        <v>0</v>
      </c>
      <c r="T39" s="80">
        <f t="shared" si="21"/>
        <v>0</v>
      </c>
      <c r="U39" s="178">
        <f>+S39*1.025</f>
        <v>0</v>
      </c>
      <c r="V39" s="80">
        <f t="shared" si="22"/>
        <v>0</v>
      </c>
    </row>
    <row r="40" spans="1:22" ht="12.75" customHeight="1">
      <c r="A40" s="2" t="s">
        <v>388</v>
      </c>
      <c r="B40" s="35"/>
      <c r="C40" s="178">
        <f>C36*0.124</f>
        <v>0</v>
      </c>
      <c r="D40" s="80">
        <f t="shared" si="13"/>
        <v>0</v>
      </c>
      <c r="E40" s="113">
        <f>E36*0.124</f>
        <v>0</v>
      </c>
      <c r="F40" s="80">
        <f t="shared" si="14"/>
        <v>0</v>
      </c>
      <c r="G40" s="113">
        <f>G36*0.124</f>
        <v>0</v>
      </c>
      <c r="H40" s="80">
        <f t="shared" si="15"/>
        <v>0</v>
      </c>
      <c r="I40" s="113">
        <f>I36*0.124</f>
        <v>0</v>
      </c>
      <c r="J40" s="80">
        <f t="shared" si="16"/>
        <v>0</v>
      </c>
      <c r="K40" s="113">
        <f>K36*0.124</f>
        <v>0</v>
      </c>
      <c r="L40" s="80">
        <f t="shared" si="17"/>
        <v>0</v>
      </c>
      <c r="M40" s="113">
        <f>M36*0.124</f>
        <v>0</v>
      </c>
      <c r="N40" s="80">
        <f t="shared" si="18"/>
        <v>0</v>
      </c>
      <c r="O40" s="178">
        <f>O36*0.124</f>
        <v>0</v>
      </c>
      <c r="P40" s="80">
        <f t="shared" si="19"/>
        <v>0</v>
      </c>
      <c r="Q40" s="178">
        <f>Q36*0.124</f>
        <v>0</v>
      </c>
      <c r="R40" s="80">
        <f t="shared" si="20"/>
        <v>0</v>
      </c>
      <c r="S40" s="113">
        <f>S36*0.124</f>
        <v>0</v>
      </c>
      <c r="T40" s="80">
        <f t="shared" si="21"/>
        <v>0</v>
      </c>
      <c r="U40" s="113">
        <f>U36*0.124</f>
        <v>0</v>
      </c>
      <c r="V40" s="80">
        <f t="shared" si="22"/>
        <v>0</v>
      </c>
    </row>
    <row r="41" spans="1:22" ht="12.75" customHeight="1">
      <c r="A41" s="2" t="s">
        <v>389</v>
      </c>
      <c r="B41" s="35"/>
      <c r="C41" s="178">
        <f>C37*0.124</f>
        <v>12339.984</v>
      </c>
      <c r="D41" s="80">
        <f t="shared" si="13"/>
        <v>4.8392094117647062E-2</v>
      </c>
      <c r="E41" s="178">
        <f>E37*0.124</f>
        <v>13722.062208000001</v>
      </c>
      <c r="F41" s="80">
        <f t="shared" si="14"/>
        <v>3.7594690980821924E-2</v>
      </c>
      <c r="G41" s="178">
        <f>G37*0.124</f>
        <v>14202.334385280001</v>
      </c>
      <c r="H41" s="80">
        <f t="shared" si="15"/>
        <v>3.7374564171789477E-2</v>
      </c>
      <c r="I41" s="178">
        <f>I37*0.124</f>
        <v>14656.809085608962</v>
      </c>
      <c r="J41" s="80">
        <f t="shared" si="16"/>
        <v>3.7105845786351802E-2</v>
      </c>
      <c r="K41" s="178">
        <f>K37*0.124</f>
        <v>15023.229312749187</v>
      </c>
      <c r="L41" s="80">
        <f t="shared" si="17"/>
        <v>3.6912111333536085E-2</v>
      </c>
      <c r="M41" s="178">
        <f>M37*0.124</f>
        <v>15398.810045567914</v>
      </c>
      <c r="N41" s="80">
        <f t="shared" si="18"/>
        <v>3.6751336624267099E-2</v>
      </c>
      <c r="O41" s="178">
        <f>O37*0.124</f>
        <v>15783.780296707111</v>
      </c>
      <c r="P41" s="80">
        <f t="shared" si="19"/>
        <v>3.6536528464599795E-2</v>
      </c>
      <c r="Q41" s="178">
        <f>Q37*0.124</f>
        <v>16178.374804124789</v>
      </c>
      <c r="R41" s="80">
        <f t="shared" si="20"/>
        <v>3.6355898436235483E-2</v>
      </c>
      <c r="S41" s="178">
        <f>S37*0.124</f>
        <v>16582.834174227904</v>
      </c>
      <c r="T41" s="80">
        <f t="shared" si="21"/>
        <v>3.6207061515781451E-2</v>
      </c>
      <c r="U41" s="178">
        <f>U37*0.124</f>
        <v>16997.405028583602</v>
      </c>
      <c r="V41" s="80">
        <f t="shared" si="22"/>
        <v>3.6011451331744916E-2</v>
      </c>
    </row>
    <row r="42" spans="1:22" ht="12.75" customHeight="1">
      <c r="A42" s="2" t="s">
        <v>390</v>
      </c>
      <c r="B42" s="35"/>
      <c r="C42" s="178"/>
      <c r="D42" s="80">
        <f t="shared" si="13"/>
        <v>0</v>
      </c>
      <c r="E42" s="178"/>
      <c r="F42" s="80">
        <f t="shared" si="14"/>
        <v>0</v>
      </c>
      <c r="G42" s="178"/>
      <c r="H42" s="80">
        <f t="shared" si="15"/>
        <v>0</v>
      </c>
      <c r="I42" s="178"/>
      <c r="J42" s="80">
        <f t="shared" si="16"/>
        <v>0</v>
      </c>
      <c r="K42" s="178"/>
      <c r="L42" s="80">
        <f t="shared" si="17"/>
        <v>0</v>
      </c>
      <c r="M42" s="178"/>
      <c r="N42" s="80">
        <f t="shared" si="18"/>
        <v>0</v>
      </c>
      <c r="O42" s="178"/>
      <c r="P42" s="80">
        <f t="shared" si="19"/>
        <v>0</v>
      </c>
      <c r="Q42" s="178"/>
      <c r="R42" s="80">
        <f t="shared" si="20"/>
        <v>0</v>
      </c>
      <c r="S42" s="178"/>
      <c r="T42" s="80">
        <f t="shared" si="21"/>
        <v>0</v>
      </c>
      <c r="U42" s="178"/>
      <c r="V42" s="80">
        <f t="shared" si="22"/>
        <v>0</v>
      </c>
    </row>
    <row r="43" spans="1:22" ht="12.75" customHeight="1">
      <c r="A43" s="2" t="s">
        <v>391</v>
      </c>
      <c r="B43" s="35"/>
      <c r="C43" s="178"/>
      <c r="D43" s="80">
        <f t="shared" si="13"/>
        <v>0</v>
      </c>
      <c r="E43" s="178"/>
      <c r="F43" s="80">
        <f t="shared" si="14"/>
        <v>0</v>
      </c>
      <c r="G43" s="178"/>
      <c r="H43" s="80">
        <f t="shared" si="15"/>
        <v>0</v>
      </c>
      <c r="I43" s="178"/>
      <c r="J43" s="80">
        <f t="shared" si="16"/>
        <v>0</v>
      </c>
      <c r="K43" s="178"/>
      <c r="L43" s="80">
        <f t="shared" si="17"/>
        <v>0</v>
      </c>
      <c r="M43" s="178"/>
      <c r="N43" s="80">
        <f t="shared" si="18"/>
        <v>0</v>
      </c>
      <c r="O43" s="178"/>
      <c r="P43" s="80">
        <f t="shared" si="19"/>
        <v>0</v>
      </c>
      <c r="Q43" s="178"/>
      <c r="R43" s="80">
        <f t="shared" si="20"/>
        <v>0</v>
      </c>
      <c r="S43" s="178"/>
      <c r="T43" s="80">
        <f t="shared" si="21"/>
        <v>0</v>
      </c>
      <c r="U43" s="178"/>
      <c r="V43" s="80">
        <f t="shared" si="22"/>
        <v>0</v>
      </c>
    </row>
    <row r="44" spans="1:22" ht="12.75" customHeight="1">
      <c r="A44" s="2" t="s">
        <v>392</v>
      </c>
      <c r="B44" s="35"/>
      <c r="C44" s="178"/>
      <c r="D44" s="80">
        <f t="shared" si="13"/>
        <v>0</v>
      </c>
      <c r="E44" s="178"/>
      <c r="F44" s="80">
        <f t="shared" si="14"/>
        <v>0</v>
      </c>
      <c r="G44" s="178"/>
      <c r="H44" s="80">
        <f t="shared" si="15"/>
        <v>0</v>
      </c>
      <c r="I44" s="178"/>
      <c r="J44" s="80">
        <f t="shared" si="16"/>
        <v>0</v>
      </c>
      <c r="K44" s="178"/>
      <c r="L44" s="80">
        <f t="shared" si="17"/>
        <v>0</v>
      </c>
      <c r="M44" s="178"/>
      <c r="N44" s="80">
        <f t="shared" si="18"/>
        <v>0</v>
      </c>
      <c r="O44" s="178"/>
      <c r="P44" s="80">
        <f t="shared" si="19"/>
        <v>0</v>
      </c>
      <c r="Q44" s="178"/>
      <c r="R44" s="80">
        <f t="shared" si="20"/>
        <v>0</v>
      </c>
      <c r="S44" s="178"/>
      <c r="T44" s="80">
        <f t="shared" si="21"/>
        <v>0</v>
      </c>
      <c r="U44" s="178"/>
      <c r="V44" s="80">
        <f t="shared" si="22"/>
        <v>0</v>
      </c>
    </row>
    <row r="45" spans="1:22" ht="12.75" customHeight="1">
      <c r="A45" s="2" t="s">
        <v>393</v>
      </c>
      <c r="B45" s="35"/>
      <c r="C45" s="181">
        <f>SUM(C36:C39)*0.094</f>
        <v>9354.5040000000008</v>
      </c>
      <c r="D45" s="80">
        <f t="shared" si="13"/>
        <v>3.6684329411764707E-2</v>
      </c>
      <c r="E45" s="181">
        <f>SUM(E36:E39)*0.094</f>
        <v>10402.208448000001</v>
      </c>
      <c r="F45" s="80">
        <f t="shared" si="14"/>
        <v>2.8499201227397263E-2</v>
      </c>
      <c r="G45" s="181">
        <f>SUM(G36:G39)*0.094</f>
        <v>10766.28574368</v>
      </c>
      <c r="H45" s="80">
        <f t="shared" si="15"/>
        <v>2.8332330904421055E-2</v>
      </c>
      <c r="I45" s="181">
        <f>SUM(I36:I39)*0.094</f>
        <v>11110.806887477762</v>
      </c>
      <c r="J45" s="80">
        <f t="shared" si="16"/>
        <v>2.812862503158927E-2</v>
      </c>
      <c r="K45" s="181">
        <f>SUM(K36:K39)*0.094</f>
        <v>11388.577059664705</v>
      </c>
      <c r="L45" s="80">
        <f t="shared" si="17"/>
        <v>2.7981761817357998E-2</v>
      </c>
      <c r="M45" s="181">
        <f>SUM(M36:M39)*0.094</f>
        <v>11673.291486156322</v>
      </c>
      <c r="N45" s="80">
        <f t="shared" si="18"/>
        <v>2.785988421517022E-2</v>
      </c>
      <c r="O45" s="181">
        <f>SUM(O36:O39)*0.094</f>
        <v>11965.12377331023</v>
      </c>
      <c r="P45" s="80">
        <f t="shared" si="19"/>
        <v>2.7697045771551458E-2</v>
      </c>
      <c r="Q45" s="181">
        <f>SUM(Q36:Q39)*0.094</f>
        <v>12264.251867642985</v>
      </c>
      <c r="R45" s="80">
        <f t="shared" si="20"/>
        <v>2.7560116556501087E-2</v>
      </c>
      <c r="S45" s="181">
        <f>SUM(S36:S39)*0.094</f>
        <v>12570.858164334057</v>
      </c>
      <c r="T45" s="80">
        <f t="shared" si="21"/>
        <v>2.7447288568414972E-2</v>
      </c>
      <c r="U45" s="181">
        <f>SUM(U36:U39)*0.094</f>
        <v>12885.129618442408</v>
      </c>
      <c r="V45" s="80">
        <f t="shared" si="22"/>
        <v>2.7299003428903408E-2</v>
      </c>
    </row>
    <row r="46" spans="1:22" ht="12.75" customHeight="1">
      <c r="A46" s="1" t="s">
        <v>394</v>
      </c>
      <c r="B46" s="53"/>
      <c r="C46" s="82">
        <f>SUM(C36:C45)</f>
        <v>121210.488</v>
      </c>
      <c r="D46" s="83">
        <f t="shared" si="13"/>
        <v>0.47533524705882352</v>
      </c>
      <c r="E46" s="82">
        <f>SUM(E36:E45)</f>
        <v>134786.06265600002</v>
      </c>
      <c r="F46" s="83">
        <f t="shared" si="14"/>
        <v>0.36927688398904118</v>
      </c>
      <c r="G46" s="82">
        <f>SUM(G36:G45)</f>
        <v>139503.57484896001</v>
      </c>
      <c r="H46" s="83">
        <f t="shared" si="15"/>
        <v>0.3671146706551579</v>
      </c>
      <c r="I46" s="82">
        <f>SUM(I36:I45)</f>
        <v>143967.68924412673</v>
      </c>
      <c r="J46" s="83">
        <f t="shared" si="16"/>
        <v>0.36447516264335877</v>
      </c>
      <c r="K46" s="82">
        <f>SUM(K36:K45)</f>
        <v>147566.88147522992</v>
      </c>
      <c r="L46" s="83">
        <f t="shared" si="17"/>
        <v>0.36257219035683025</v>
      </c>
      <c r="M46" s="82">
        <f>SUM(M36:M45)</f>
        <v>151256.05351211064</v>
      </c>
      <c r="N46" s="83">
        <f t="shared" si="18"/>
        <v>0.36099296780933327</v>
      </c>
      <c r="O46" s="82">
        <f>SUM(O36:O45)</f>
        <v>155037.4548499134</v>
      </c>
      <c r="P46" s="83">
        <f t="shared" si="19"/>
        <v>0.35888299733776247</v>
      </c>
      <c r="Q46" s="82">
        <f>SUM(Q36:Q45)</f>
        <v>158913.39122116123</v>
      </c>
      <c r="R46" s="83">
        <f t="shared" si="20"/>
        <v>0.35710874431721623</v>
      </c>
      <c r="S46" s="82">
        <f>SUM(S36:S45)</f>
        <v>162886.22600169023</v>
      </c>
      <c r="T46" s="83">
        <f t="shared" si="21"/>
        <v>0.35564678166307911</v>
      </c>
      <c r="U46" s="82">
        <f>SUM(U36:U45)</f>
        <v>166958.38165173249</v>
      </c>
      <c r="V46" s="83">
        <f t="shared" si="22"/>
        <v>0.35372538485536542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366</v>
      </c>
      <c r="E50" s="86" t="str">
        <f>E6</f>
        <v>FY 2019-20</v>
      </c>
      <c r="F50" s="86" t="s">
        <v>366</v>
      </c>
      <c r="G50" s="86" t="str">
        <f>G6</f>
        <v>FY 2020-21</v>
      </c>
      <c r="H50" s="86" t="s">
        <v>366</v>
      </c>
      <c r="I50" s="86" t="str">
        <f>I6</f>
        <v>FY 2021-22</v>
      </c>
      <c r="J50" s="86" t="s">
        <v>366</v>
      </c>
      <c r="K50" s="86" t="str">
        <f>K6</f>
        <v>FY 2022-23</v>
      </c>
      <c r="L50" s="86" t="s">
        <v>366</v>
      </c>
      <c r="M50" s="86" t="str">
        <f>M6</f>
        <v>FY 2023-24</v>
      </c>
      <c r="N50" s="86" t="s">
        <v>366</v>
      </c>
      <c r="O50" s="86" t="str">
        <f>O6</f>
        <v>FY 2024-25</v>
      </c>
      <c r="P50" s="86" t="s">
        <v>366</v>
      </c>
      <c r="Q50" s="86" t="str">
        <f>Q6</f>
        <v>FY 2025-26</v>
      </c>
      <c r="R50" s="86" t="s">
        <v>366</v>
      </c>
      <c r="S50" s="86" t="str">
        <f>S6</f>
        <v>FY 2026-27</v>
      </c>
      <c r="T50" s="86" t="s">
        <v>366</v>
      </c>
      <c r="U50" s="86" t="str">
        <f>U6</f>
        <v>FY 2027-28</v>
      </c>
      <c r="V50" s="86" t="s">
        <v>366</v>
      </c>
    </row>
    <row r="51" spans="1:24" ht="12.75" customHeight="1">
      <c r="A51" s="1" t="s">
        <v>395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396</v>
      </c>
      <c r="B52" s="35"/>
      <c r="C52" s="178">
        <v>0</v>
      </c>
      <c r="D52" s="80">
        <f t="shared" ref="D52:D104" si="24">IFERROR(C52/C$28,0)</f>
        <v>0</v>
      </c>
      <c r="E52" s="178">
        <v>0</v>
      </c>
      <c r="F52" s="80">
        <f t="shared" ref="F52:F104" si="25">IFERROR(E52/E$28,0)</f>
        <v>0</v>
      </c>
      <c r="G52" s="178">
        <v>0</v>
      </c>
      <c r="H52" s="80">
        <f t="shared" ref="H52:H104" si="26">IFERROR(G52/G$28,0)</f>
        <v>0</v>
      </c>
      <c r="I52" s="178">
        <v>0</v>
      </c>
      <c r="J52" s="80">
        <f t="shared" ref="J52:J104" si="27">IFERROR(I52/I$28,0)</f>
        <v>0</v>
      </c>
      <c r="K52" s="178">
        <v>0</v>
      </c>
      <c r="L52" s="80">
        <f t="shared" ref="L52:L104" si="28">IFERROR(K52/K$28,0)</f>
        <v>0</v>
      </c>
      <c r="M52" s="178">
        <v>0</v>
      </c>
      <c r="N52" s="80">
        <f t="shared" ref="N52:N104" si="29">IFERROR(M52/M$28,0)</f>
        <v>0</v>
      </c>
      <c r="O52" s="178">
        <v>0</v>
      </c>
      <c r="P52" s="80">
        <f t="shared" ref="P52:P104" si="30">IFERROR(O52/O$28,0)</f>
        <v>0</v>
      </c>
      <c r="Q52" s="178">
        <v>0</v>
      </c>
      <c r="R52" s="80">
        <f t="shared" ref="R52:R104" si="31">IFERROR(Q52/Q$28,0)</f>
        <v>0</v>
      </c>
      <c r="S52" s="178">
        <v>0</v>
      </c>
      <c r="T52" s="80">
        <f t="shared" ref="T52:T104" si="32">IFERROR(S52/S$28,0)</f>
        <v>0</v>
      </c>
      <c r="U52" s="178">
        <v>0</v>
      </c>
      <c r="V52" s="80">
        <f t="shared" ref="V52:V105" si="33">IFERROR(U52/U$28,0)</f>
        <v>0</v>
      </c>
      <c r="X52" s="192"/>
    </row>
    <row r="53" spans="1:24" ht="12.75" customHeight="1">
      <c r="A53" s="2" t="s">
        <v>397</v>
      </c>
      <c r="B53" s="35"/>
      <c r="C53" s="178">
        <v>0</v>
      </c>
      <c r="D53" s="80">
        <f t="shared" si="24"/>
        <v>0</v>
      </c>
      <c r="E53" s="178">
        <v>0</v>
      </c>
      <c r="F53" s="80">
        <f t="shared" si="25"/>
        <v>0</v>
      </c>
      <c r="G53" s="178">
        <v>0</v>
      </c>
      <c r="H53" s="80">
        <f t="shared" si="26"/>
        <v>0</v>
      </c>
      <c r="I53" s="178">
        <v>0</v>
      </c>
      <c r="J53" s="80">
        <f t="shared" si="27"/>
        <v>0</v>
      </c>
      <c r="K53" s="178">
        <v>0</v>
      </c>
      <c r="L53" s="80">
        <f t="shared" si="28"/>
        <v>0</v>
      </c>
      <c r="M53" s="178">
        <v>0</v>
      </c>
      <c r="N53" s="80">
        <f t="shared" si="29"/>
        <v>0</v>
      </c>
      <c r="O53" s="178">
        <v>0</v>
      </c>
      <c r="P53" s="80">
        <f t="shared" si="30"/>
        <v>0</v>
      </c>
      <c r="Q53" s="178">
        <v>0</v>
      </c>
      <c r="R53" s="80">
        <f t="shared" si="31"/>
        <v>0</v>
      </c>
      <c r="S53" s="178">
        <v>0</v>
      </c>
      <c r="T53" s="80">
        <f t="shared" si="32"/>
        <v>0</v>
      </c>
      <c r="U53" s="178">
        <v>0</v>
      </c>
      <c r="V53" s="80">
        <f t="shared" si="33"/>
        <v>0</v>
      </c>
      <c r="X53" s="192"/>
    </row>
    <row r="54" spans="1:24" ht="12.75" customHeight="1">
      <c r="A54" s="2" t="s">
        <v>398</v>
      </c>
      <c r="B54" s="35"/>
      <c r="C54" s="178">
        <v>178.5</v>
      </c>
      <c r="D54" s="80">
        <f t="shared" si="24"/>
        <v>6.9999999999999999E-4</v>
      </c>
      <c r="E54" s="178">
        <v>255.5</v>
      </c>
      <c r="F54" s="80">
        <f t="shared" si="25"/>
        <v>6.9999999999999999E-4</v>
      </c>
      <c r="G54" s="178">
        <v>266</v>
      </c>
      <c r="H54" s="80">
        <f t="shared" si="26"/>
        <v>6.9999999999999999E-4</v>
      </c>
      <c r="I54" s="178">
        <v>276.5</v>
      </c>
      <c r="J54" s="80">
        <f t="shared" si="27"/>
        <v>6.9999999999999999E-4</v>
      </c>
      <c r="K54" s="178">
        <v>284.89999999999998</v>
      </c>
      <c r="L54" s="80">
        <f t="shared" si="28"/>
        <v>6.9999999999999999E-4</v>
      </c>
      <c r="M54" s="178">
        <v>293.3</v>
      </c>
      <c r="N54" s="80">
        <f t="shared" si="29"/>
        <v>6.9999999999999999E-4</v>
      </c>
      <c r="O54" s="178">
        <v>302.39999999999998</v>
      </c>
      <c r="P54" s="80">
        <f t="shared" si="30"/>
        <v>6.9999999999999999E-4</v>
      </c>
      <c r="Q54" s="178">
        <v>311.5</v>
      </c>
      <c r="R54" s="80">
        <f t="shared" si="31"/>
        <v>6.9999999999999999E-4</v>
      </c>
      <c r="S54" s="178">
        <v>320.59999999999997</v>
      </c>
      <c r="T54" s="80">
        <f t="shared" si="32"/>
        <v>6.9999999999999988E-4</v>
      </c>
      <c r="U54" s="178">
        <v>330.40000000000003</v>
      </c>
      <c r="V54" s="80">
        <f t="shared" si="33"/>
        <v>7.000000000000001E-4</v>
      </c>
      <c r="X54" s="192"/>
    </row>
    <row r="55" spans="1:24" ht="12.75" customHeight="1">
      <c r="A55" s="2" t="s">
        <v>399</v>
      </c>
      <c r="B55" s="35"/>
      <c r="C55" s="178">
        <v>25500</v>
      </c>
      <c r="D55" s="80">
        <f t="shared" si="24"/>
        <v>0.1</v>
      </c>
      <c r="E55" s="178">
        <v>36500</v>
      </c>
      <c r="F55" s="80">
        <f t="shared" si="25"/>
        <v>0.1</v>
      </c>
      <c r="G55" s="178">
        <v>38000</v>
      </c>
      <c r="H55" s="80">
        <f t="shared" si="26"/>
        <v>0.1</v>
      </c>
      <c r="I55" s="178">
        <v>39500</v>
      </c>
      <c r="J55" s="80">
        <f t="shared" si="27"/>
        <v>0.1</v>
      </c>
      <c r="K55" s="178">
        <v>40700</v>
      </c>
      <c r="L55" s="80">
        <f t="shared" si="28"/>
        <v>0.1</v>
      </c>
      <c r="M55" s="178">
        <v>41900</v>
      </c>
      <c r="N55" s="80">
        <f t="shared" si="29"/>
        <v>0.1</v>
      </c>
      <c r="O55" s="178">
        <v>43200</v>
      </c>
      <c r="P55" s="80">
        <f t="shared" si="30"/>
        <v>0.1</v>
      </c>
      <c r="Q55" s="178">
        <v>44500</v>
      </c>
      <c r="R55" s="80">
        <f t="shared" si="31"/>
        <v>0.1</v>
      </c>
      <c r="S55" s="178">
        <v>45800</v>
      </c>
      <c r="T55" s="80">
        <f t="shared" si="32"/>
        <v>0.1</v>
      </c>
      <c r="U55" s="178">
        <v>47200</v>
      </c>
      <c r="V55" s="80">
        <f t="shared" si="33"/>
        <v>0.1</v>
      </c>
      <c r="X55" s="192"/>
    </row>
    <row r="56" spans="1:24" ht="12.75" customHeight="1">
      <c r="A56" s="2" t="s">
        <v>400</v>
      </c>
      <c r="B56" s="35"/>
      <c r="C56" s="178">
        <v>130.05000000000001</v>
      </c>
      <c r="D56" s="80">
        <f t="shared" si="24"/>
        <v>5.1000000000000004E-4</v>
      </c>
      <c r="E56" s="178">
        <v>186.15</v>
      </c>
      <c r="F56" s="80">
        <f t="shared" si="25"/>
        <v>5.1000000000000004E-4</v>
      </c>
      <c r="G56" s="178">
        <v>193.8</v>
      </c>
      <c r="H56" s="80">
        <f t="shared" si="26"/>
        <v>5.1000000000000004E-4</v>
      </c>
      <c r="I56" s="178">
        <v>201.45000000000002</v>
      </c>
      <c r="J56" s="80">
        <f t="shared" si="27"/>
        <v>5.1000000000000004E-4</v>
      </c>
      <c r="K56" s="178">
        <v>207.57</v>
      </c>
      <c r="L56" s="80">
        <f t="shared" si="28"/>
        <v>5.1000000000000004E-4</v>
      </c>
      <c r="M56" s="178">
        <v>213.69000000000003</v>
      </c>
      <c r="N56" s="80">
        <f t="shared" si="29"/>
        <v>5.1000000000000004E-4</v>
      </c>
      <c r="O56" s="178">
        <v>220.32000000000002</v>
      </c>
      <c r="P56" s="80">
        <f t="shared" si="30"/>
        <v>5.1000000000000004E-4</v>
      </c>
      <c r="Q56" s="178">
        <v>226.95000000000002</v>
      </c>
      <c r="R56" s="80">
        <f t="shared" si="31"/>
        <v>5.1000000000000004E-4</v>
      </c>
      <c r="S56" s="178">
        <v>233.58</v>
      </c>
      <c r="T56" s="80">
        <f t="shared" si="32"/>
        <v>5.1000000000000004E-4</v>
      </c>
      <c r="U56" s="178">
        <v>240.72</v>
      </c>
      <c r="V56" s="80">
        <f t="shared" si="33"/>
        <v>5.1000000000000004E-4</v>
      </c>
      <c r="X56" s="192"/>
    </row>
    <row r="57" spans="1:24" ht="12.75" customHeight="1">
      <c r="A57" s="2" t="s">
        <v>401</v>
      </c>
      <c r="B57" s="35"/>
      <c r="C57" s="178">
        <v>0</v>
      </c>
      <c r="D57" s="80">
        <f t="shared" si="24"/>
        <v>0</v>
      </c>
      <c r="E57" s="178">
        <v>0</v>
      </c>
      <c r="F57" s="80">
        <f t="shared" si="25"/>
        <v>0</v>
      </c>
      <c r="G57" s="178">
        <v>0</v>
      </c>
      <c r="H57" s="80">
        <f t="shared" si="26"/>
        <v>0</v>
      </c>
      <c r="I57" s="178">
        <v>0</v>
      </c>
      <c r="J57" s="80">
        <f t="shared" si="27"/>
        <v>0</v>
      </c>
      <c r="K57" s="178">
        <v>0</v>
      </c>
      <c r="L57" s="80">
        <f t="shared" si="28"/>
        <v>0</v>
      </c>
      <c r="M57" s="178">
        <v>0</v>
      </c>
      <c r="N57" s="80">
        <f t="shared" si="29"/>
        <v>0</v>
      </c>
      <c r="O57" s="178">
        <v>0</v>
      </c>
      <c r="P57" s="80">
        <f t="shared" si="30"/>
        <v>0</v>
      </c>
      <c r="Q57" s="178">
        <v>0</v>
      </c>
      <c r="R57" s="80">
        <f t="shared" si="31"/>
        <v>0</v>
      </c>
      <c r="S57" s="178">
        <v>0</v>
      </c>
      <c r="T57" s="80">
        <f t="shared" si="32"/>
        <v>0</v>
      </c>
      <c r="U57" s="178">
        <v>0</v>
      </c>
      <c r="V57" s="80">
        <f t="shared" si="33"/>
        <v>0</v>
      </c>
      <c r="X57" s="192"/>
    </row>
    <row r="58" spans="1:24" ht="12.75" customHeight="1">
      <c r="A58" s="2" t="s">
        <v>402</v>
      </c>
      <c r="B58" s="35"/>
      <c r="C58" s="178">
        <v>0</v>
      </c>
      <c r="D58" s="80">
        <f t="shared" si="24"/>
        <v>0</v>
      </c>
      <c r="E58" s="178">
        <v>0</v>
      </c>
      <c r="F58" s="80">
        <f t="shared" si="25"/>
        <v>0</v>
      </c>
      <c r="G58" s="178">
        <v>0</v>
      </c>
      <c r="H58" s="80">
        <f t="shared" si="26"/>
        <v>0</v>
      </c>
      <c r="I58" s="178">
        <v>0</v>
      </c>
      <c r="J58" s="80">
        <f t="shared" si="27"/>
        <v>0</v>
      </c>
      <c r="K58" s="178">
        <v>0</v>
      </c>
      <c r="L58" s="80">
        <f t="shared" si="28"/>
        <v>0</v>
      </c>
      <c r="M58" s="178">
        <v>0</v>
      </c>
      <c r="N58" s="80">
        <f t="shared" si="29"/>
        <v>0</v>
      </c>
      <c r="O58" s="178">
        <v>0</v>
      </c>
      <c r="P58" s="80">
        <f t="shared" si="30"/>
        <v>0</v>
      </c>
      <c r="Q58" s="178">
        <v>0</v>
      </c>
      <c r="R58" s="80">
        <f t="shared" si="31"/>
        <v>0</v>
      </c>
      <c r="S58" s="178">
        <v>0</v>
      </c>
      <c r="T58" s="80">
        <f t="shared" si="32"/>
        <v>0</v>
      </c>
      <c r="U58" s="178">
        <v>0</v>
      </c>
      <c r="V58" s="80">
        <f t="shared" si="33"/>
        <v>0</v>
      </c>
      <c r="X58" s="192"/>
    </row>
    <row r="59" spans="1:24" ht="12.75" customHeight="1">
      <c r="A59" s="2" t="s">
        <v>403</v>
      </c>
      <c r="B59" s="35"/>
      <c r="C59" s="178"/>
      <c r="D59" s="80">
        <f t="shared" si="24"/>
        <v>0</v>
      </c>
      <c r="E59" s="178"/>
      <c r="F59" s="80">
        <f t="shared" si="25"/>
        <v>0</v>
      </c>
      <c r="G59" s="178"/>
      <c r="H59" s="80">
        <f t="shared" si="26"/>
        <v>0</v>
      </c>
      <c r="I59" s="178"/>
      <c r="J59" s="80">
        <f t="shared" si="27"/>
        <v>0</v>
      </c>
      <c r="K59" s="178"/>
      <c r="L59" s="80">
        <f t="shared" si="28"/>
        <v>0</v>
      </c>
      <c r="M59" s="178"/>
      <c r="N59" s="80">
        <f t="shared" si="29"/>
        <v>0</v>
      </c>
      <c r="O59" s="178"/>
      <c r="P59" s="80">
        <f t="shared" si="30"/>
        <v>0</v>
      </c>
      <c r="Q59" s="178"/>
      <c r="R59" s="80">
        <f t="shared" si="31"/>
        <v>0</v>
      </c>
      <c r="S59" s="178"/>
      <c r="T59" s="80">
        <f t="shared" si="32"/>
        <v>0</v>
      </c>
      <c r="U59" s="178"/>
      <c r="V59" s="80">
        <f t="shared" si="33"/>
        <v>0</v>
      </c>
      <c r="X59" s="192"/>
    </row>
    <row r="60" spans="1:24" ht="12.75" customHeight="1">
      <c r="A60" s="2" t="s">
        <v>404</v>
      </c>
      <c r="B60" s="35"/>
      <c r="C60" s="178">
        <v>0</v>
      </c>
      <c r="D60" s="80">
        <f t="shared" si="24"/>
        <v>0</v>
      </c>
      <c r="E60" s="178">
        <v>0</v>
      </c>
      <c r="F60" s="80">
        <f t="shared" si="25"/>
        <v>0</v>
      </c>
      <c r="G60" s="178">
        <v>0</v>
      </c>
      <c r="H60" s="80">
        <f t="shared" si="26"/>
        <v>0</v>
      </c>
      <c r="I60" s="178">
        <v>0</v>
      </c>
      <c r="J60" s="80">
        <f t="shared" si="27"/>
        <v>0</v>
      </c>
      <c r="K60" s="178">
        <v>0</v>
      </c>
      <c r="L60" s="80">
        <f t="shared" si="28"/>
        <v>0</v>
      </c>
      <c r="M60" s="178">
        <v>0</v>
      </c>
      <c r="N60" s="80">
        <f t="shared" si="29"/>
        <v>0</v>
      </c>
      <c r="O60" s="178">
        <v>0</v>
      </c>
      <c r="P60" s="80">
        <f t="shared" si="30"/>
        <v>0</v>
      </c>
      <c r="Q60" s="178">
        <v>0</v>
      </c>
      <c r="R60" s="80">
        <f t="shared" si="31"/>
        <v>0</v>
      </c>
      <c r="S60" s="178">
        <v>0</v>
      </c>
      <c r="T60" s="80">
        <f t="shared" si="32"/>
        <v>0</v>
      </c>
      <c r="U60" s="178">
        <v>0</v>
      </c>
      <c r="V60" s="80">
        <f t="shared" si="33"/>
        <v>0</v>
      </c>
      <c r="X60" s="192"/>
    </row>
    <row r="61" spans="1:24" ht="12.75" customHeight="1">
      <c r="A61" s="2" t="s">
        <v>405</v>
      </c>
      <c r="B61" s="35"/>
      <c r="C61" s="178">
        <v>0</v>
      </c>
      <c r="D61" s="80">
        <f t="shared" si="24"/>
        <v>0</v>
      </c>
      <c r="E61" s="178">
        <v>0</v>
      </c>
      <c r="F61" s="80">
        <f t="shared" si="25"/>
        <v>0</v>
      </c>
      <c r="G61" s="178">
        <v>0</v>
      </c>
      <c r="H61" s="80">
        <f t="shared" si="26"/>
        <v>0</v>
      </c>
      <c r="I61" s="178">
        <v>0</v>
      </c>
      <c r="J61" s="80">
        <f t="shared" si="27"/>
        <v>0</v>
      </c>
      <c r="K61" s="178">
        <v>0</v>
      </c>
      <c r="L61" s="80">
        <f t="shared" si="28"/>
        <v>0</v>
      </c>
      <c r="M61" s="178">
        <v>0</v>
      </c>
      <c r="N61" s="80">
        <f t="shared" si="29"/>
        <v>0</v>
      </c>
      <c r="O61" s="178">
        <v>0</v>
      </c>
      <c r="P61" s="80">
        <f t="shared" si="30"/>
        <v>0</v>
      </c>
      <c r="Q61" s="178">
        <v>0</v>
      </c>
      <c r="R61" s="80">
        <f t="shared" si="31"/>
        <v>0</v>
      </c>
      <c r="S61" s="178">
        <v>0</v>
      </c>
      <c r="T61" s="80">
        <f t="shared" si="32"/>
        <v>0</v>
      </c>
      <c r="U61" s="178">
        <v>0</v>
      </c>
      <c r="V61" s="80">
        <f t="shared" si="33"/>
        <v>0</v>
      </c>
      <c r="X61" s="192"/>
    </row>
    <row r="62" spans="1:24" ht="12.75" customHeight="1">
      <c r="A62" s="2" t="s">
        <v>406</v>
      </c>
      <c r="B62" s="35"/>
      <c r="C62" s="178">
        <v>0</v>
      </c>
      <c r="D62" s="80">
        <f t="shared" si="24"/>
        <v>0</v>
      </c>
      <c r="E62" s="178">
        <v>0</v>
      </c>
      <c r="F62" s="80">
        <f t="shared" si="25"/>
        <v>0</v>
      </c>
      <c r="G62" s="178">
        <v>0</v>
      </c>
      <c r="H62" s="80">
        <f t="shared" si="26"/>
        <v>0</v>
      </c>
      <c r="I62" s="178">
        <v>0</v>
      </c>
      <c r="J62" s="80">
        <f t="shared" si="27"/>
        <v>0</v>
      </c>
      <c r="K62" s="178">
        <v>0</v>
      </c>
      <c r="L62" s="80">
        <f t="shared" si="28"/>
        <v>0</v>
      </c>
      <c r="M62" s="178">
        <v>0</v>
      </c>
      <c r="N62" s="80">
        <f t="shared" si="29"/>
        <v>0</v>
      </c>
      <c r="O62" s="178">
        <v>0</v>
      </c>
      <c r="P62" s="80">
        <f t="shared" si="30"/>
        <v>0</v>
      </c>
      <c r="Q62" s="178">
        <v>0</v>
      </c>
      <c r="R62" s="80">
        <f t="shared" si="31"/>
        <v>0</v>
      </c>
      <c r="S62" s="178">
        <v>0</v>
      </c>
      <c r="T62" s="80">
        <f t="shared" si="32"/>
        <v>0</v>
      </c>
      <c r="U62" s="178">
        <v>0</v>
      </c>
      <c r="V62" s="80">
        <f t="shared" si="33"/>
        <v>0</v>
      </c>
      <c r="X62" s="192"/>
    </row>
    <row r="63" spans="1:24" ht="12.75" customHeight="1">
      <c r="A63" s="2" t="s">
        <v>407</v>
      </c>
      <c r="B63" s="35"/>
      <c r="C63" s="178">
        <v>3102.2483601257732</v>
      </c>
      <c r="D63" s="80">
        <f t="shared" si="24"/>
        <v>1.2165679843630484E-2</v>
      </c>
      <c r="E63" s="178">
        <v>4506.031225423445</v>
      </c>
      <c r="F63" s="80">
        <f t="shared" si="25"/>
        <v>1.2345291028557383E-2</v>
      </c>
      <c r="G63" s="178">
        <v>4641.5541791510041</v>
      </c>
      <c r="H63" s="80">
        <f t="shared" si="26"/>
        <v>1.2214616260923695E-2</v>
      </c>
      <c r="I63" s="178">
        <v>4837.1623528073942</v>
      </c>
      <c r="J63" s="80">
        <f t="shared" si="27"/>
        <v>1.2245980640018719E-2</v>
      </c>
      <c r="K63" s="178">
        <v>4968.7532633708306</v>
      </c>
      <c r="L63" s="80">
        <f t="shared" si="28"/>
        <v>1.2208238976341107E-2</v>
      </c>
      <c r="M63" s="178">
        <v>5123.8759370859643</v>
      </c>
      <c r="N63" s="80">
        <f t="shared" si="29"/>
        <v>1.2228820852233806E-2</v>
      </c>
      <c r="O63" s="178">
        <v>5293.7417746751407</v>
      </c>
      <c r="P63" s="80">
        <f t="shared" si="30"/>
        <v>1.2254031885822084E-2</v>
      </c>
      <c r="Q63" s="178">
        <v>5469.0588206744087</v>
      </c>
      <c r="R63" s="80">
        <f t="shared" si="31"/>
        <v>1.2290019821740245E-2</v>
      </c>
      <c r="S63" s="178">
        <v>5644.9090034644905</v>
      </c>
      <c r="T63" s="80">
        <f t="shared" si="32"/>
        <v>1.2325128828525088E-2</v>
      </c>
      <c r="U63" s="178">
        <v>5835.1687994878548</v>
      </c>
      <c r="V63" s="80">
        <f t="shared" si="33"/>
        <v>1.236264576162681E-2</v>
      </c>
      <c r="X63" s="192"/>
    </row>
    <row r="64" spans="1:24" ht="12.75" customHeight="1">
      <c r="A64" s="2" t="s">
        <v>408</v>
      </c>
      <c r="B64" s="35"/>
      <c r="C64" s="178">
        <v>1224</v>
      </c>
      <c r="D64" s="80">
        <f t="shared" si="24"/>
        <v>4.7999999999999996E-3</v>
      </c>
      <c r="E64" s="178">
        <v>1751.9999999999998</v>
      </c>
      <c r="F64" s="80">
        <f t="shared" si="25"/>
        <v>4.7999999999999996E-3</v>
      </c>
      <c r="G64" s="178">
        <v>1824</v>
      </c>
      <c r="H64" s="80">
        <f t="shared" si="26"/>
        <v>4.7999999999999996E-3</v>
      </c>
      <c r="I64" s="178">
        <v>1895.9999999999998</v>
      </c>
      <c r="J64" s="80">
        <f t="shared" si="27"/>
        <v>4.7999999999999996E-3</v>
      </c>
      <c r="K64" s="178">
        <v>1953.6</v>
      </c>
      <c r="L64" s="80">
        <f t="shared" si="28"/>
        <v>4.7999999999999996E-3</v>
      </c>
      <c r="M64" s="178">
        <v>2011.1999999999998</v>
      </c>
      <c r="N64" s="80">
        <f t="shared" si="29"/>
        <v>4.7999999999999996E-3</v>
      </c>
      <c r="O64" s="178">
        <v>2073.6</v>
      </c>
      <c r="P64" s="80">
        <f t="shared" si="30"/>
        <v>4.7999999999999996E-3</v>
      </c>
      <c r="Q64" s="178">
        <v>2135.9999999999995</v>
      </c>
      <c r="R64" s="80">
        <f t="shared" si="31"/>
        <v>4.7999999999999987E-3</v>
      </c>
      <c r="S64" s="178">
        <v>2198.3999999999996</v>
      </c>
      <c r="T64" s="80">
        <f t="shared" si="32"/>
        <v>4.7999999999999996E-3</v>
      </c>
      <c r="U64" s="178">
        <v>2265.6</v>
      </c>
      <c r="V64" s="80">
        <f t="shared" si="33"/>
        <v>4.7999999999999996E-3</v>
      </c>
      <c r="X64" s="192"/>
    </row>
    <row r="65" spans="1:24" ht="12.75" customHeight="1">
      <c r="A65" s="2" t="s">
        <v>409</v>
      </c>
      <c r="B65" s="35"/>
      <c r="C65" s="178">
        <v>127.50000000000001</v>
      </c>
      <c r="D65" s="80">
        <f t="shared" si="24"/>
        <v>5.0000000000000001E-4</v>
      </c>
      <c r="E65" s="178">
        <v>182.5</v>
      </c>
      <c r="F65" s="80">
        <f t="shared" si="25"/>
        <v>5.0000000000000001E-4</v>
      </c>
      <c r="G65" s="178">
        <v>190.00000000000003</v>
      </c>
      <c r="H65" s="80">
        <f t="shared" si="26"/>
        <v>5.0000000000000012E-4</v>
      </c>
      <c r="I65" s="178">
        <v>197.5</v>
      </c>
      <c r="J65" s="80">
        <f t="shared" si="27"/>
        <v>5.0000000000000001E-4</v>
      </c>
      <c r="K65" s="178">
        <v>203.5</v>
      </c>
      <c r="L65" s="80">
        <f t="shared" si="28"/>
        <v>5.0000000000000001E-4</v>
      </c>
      <c r="M65" s="178">
        <v>209.5</v>
      </c>
      <c r="N65" s="80">
        <f t="shared" si="29"/>
        <v>5.0000000000000001E-4</v>
      </c>
      <c r="O65" s="178">
        <v>216</v>
      </c>
      <c r="P65" s="80">
        <f t="shared" si="30"/>
        <v>5.0000000000000001E-4</v>
      </c>
      <c r="Q65" s="178">
        <v>222.5</v>
      </c>
      <c r="R65" s="80">
        <f t="shared" si="31"/>
        <v>5.0000000000000001E-4</v>
      </c>
      <c r="S65" s="178">
        <v>229</v>
      </c>
      <c r="T65" s="80">
        <f t="shared" si="32"/>
        <v>5.0000000000000001E-4</v>
      </c>
      <c r="U65" s="178">
        <v>236</v>
      </c>
      <c r="V65" s="80">
        <f t="shared" si="33"/>
        <v>5.0000000000000001E-4</v>
      </c>
      <c r="X65" s="192"/>
    </row>
    <row r="66" spans="1:24" ht="12.75" customHeight="1">
      <c r="A66" s="2" t="s">
        <v>410</v>
      </c>
      <c r="B66" s="35"/>
      <c r="C66" s="178">
        <v>714</v>
      </c>
      <c r="D66" s="80">
        <f t="shared" si="24"/>
        <v>2.8E-3</v>
      </c>
      <c r="E66" s="178">
        <v>1022</v>
      </c>
      <c r="F66" s="80">
        <f t="shared" si="25"/>
        <v>2.8E-3</v>
      </c>
      <c r="G66" s="178">
        <v>1064</v>
      </c>
      <c r="H66" s="80">
        <f t="shared" si="26"/>
        <v>2.8E-3</v>
      </c>
      <c r="I66" s="178">
        <v>1106</v>
      </c>
      <c r="J66" s="80">
        <f t="shared" si="27"/>
        <v>2.8E-3</v>
      </c>
      <c r="K66" s="178">
        <v>1139.5999999999999</v>
      </c>
      <c r="L66" s="80">
        <f t="shared" si="28"/>
        <v>2.8E-3</v>
      </c>
      <c r="M66" s="178">
        <v>1173.2</v>
      </c>
      <c r="N66" s="80">
        <f t="shared" si="29"/>
        <v>2.8E-3</v>
      </c>
      <c r="O66" s="178">
        <v>1209.5999999999999</v>
      </c>
      <c r="P66" s="80">
        <f t="shared" si="30"/>
        <v>2.8E-3</v>
      </c>
      <c r="Q66" s="178">
        <v>1246</v>
      </c>
      <c r="R66" s="80">
        <f t="shared" si="31"/>
        <v>2.8E-3</v>
      </c>
      <c r="S66" s="178">
        <v>1282.3999999999999</v>
      </c>
      <c r="T66" s="80">
        <f t="shared" si="32"/>
        <v>2.7999999999999995E-3</v>
      </c>
      <c r="U66" s="178">
        <v>1321.6000000000001</v>
      </c>
      <c r="V66" s="80">
        <f t="shared" si="33"/>
        <v>2.8000000000000004E-3</v>
      </c>
      <c r="X66" s="192"/>
    </row>
    <row r="67" spans="1:24" ht="12.75" customHeight="1">
      <c r="A67" s="2" t="s">
        <v>411</v>
      </c>
      <c r="B67" s="35"/>
      <c r="C67" s="178">
        <v>3825</v>
      </c>
      <c r="D67" s="80">
        <f t="shared" si="24"/>
        <v>1.4999999999999999E-2</v>
      </c>
      <c r="E67" s="178">
        <v>5475</v>
      </c>
      <c r="F67" s="80">
        <f t="shared" si="25"/>
        <v>1.4999999999999999E-2</v>
      </c>
      <c r="G67" s="178">
        <v>5700</v>
      </c>
      <c r="H67" s="80">
        <f t="shared" si="26"/>
        <v>1.4999999999999999E-2</v>
      </c>
      <c r="I67" s="178">
        <v>5925</v>
      </c>
      <c r="J67" s="80">
        <f t="shared" si="27"/>
        <v>1.4999999999999999E-2</v>
      </c>
      <c r="K67" s="178">
        <v>6104.9999999999991</v>
      </c>
      <c r="L67" s="80">
        <f t="shared" si="28"/>
        <v>1.4999999999999998E-2</v>
      </c>
      <c r="M67" s="178">
        <v>6285</v>
      </c>
      <c r="N67" s="80">
        <f t="shared" si="29"/>
        <v>1.4999999999999999E-2</v>
      </c>
      <c r="O67" s="178">
        <v>6479.9999999999991</v>
      </c>
      <c r="P67" s="80">
        <f t="shared" si="30"/>
        <v>1.4999999999999998E-2</v>
      </c>
      <c r="Q67" s="178">
        <v>6674.9999999999991</v>
      </c>
      <c r="R67" s="80">
        <f t="shared" si="31"/>
        <v>1.4999999999999998E-2</v>
      </c>
      <c r="S67" s="178">
        <v>6870</v>
      </c>
      <c r="T67" s="80">
        <f t="shared" si="32"/>
        <v>1.4999999999999999E-2</v>
      </c>
      <c r="U67" s="178">
        <v>7080</v>
      </c>
      <c r="V67" s="80">
        <f t="shared" si="33"/>
        <v>1.4999999999999999E-2</v>
      </c>
      <c r="X67" s="192"/>
    </row>
    <row r="68" spans="1:24" ht="12.75" customHeight="1">
      <c r="A68" s="2" t="s">
        <v>412</v>
      </c>
      <c r="B68" s="35"/>
      <c r="C68" s="178">
        <v>433.5</v>
      </c>
      <c r="D68" s="80">
        <f t="shared" si="24"/>
        <v>1.6999999999999999E-3</v>
      </c>
      <c r="E68" s="178">
        <v>620.5</v>
      </c>
      <c r="F68" s="80">
        <f t="shared" si="25"/>
        <v>1.6999999999999999E-3</v>
      </c>
      <c r="G68" s="178">
        <v>646</v>
      </c>
      <c r="H68" s="80">
        <f t="shared" si="26"/>
        <v>1.6999999999999999E-3</v>
      </c>
      <c r="I68" s="178">
        <v>671.49999999999989</v>
      </c>
      <c r="J68" s="80">
        <f t="shared" si="27"/>
        <v>1.6999999999999997E-3</v>
      </c>
      <c r="K68" s="178">
        <v>691.9</v>
      </c>
      <c r="L68" s="80">
        <f t="shared" si="28"/>
        <v>1.6999999999999999E-3</v>
      </c>
      <c r="M68" s="178">
        <v>712.3</v>
      </c>
      <c r="N68" s="80">
        <f t="shared" si="29"/>
        <v>1.6999999999999999E-3</v>
      </c>
      <c r="O68" s="178">
        <v>734.4</v>
      </c>
      <c r="P68" s="80">
        <f t="shared" si="30"/>
        <v>1.6999999999999999E-3</v>
      </c>
      <c r="Q68" s="178">
        <v>756.5</v>
      </c>
      <c r="R68" s="80">
        <f t="shared" si="31"/>
        <v>1.6999999999999999E-3</v>
      </c>
      <c r="S68" s="178">
        <v>778.59999999999991</v>
      </c>
      <c r="T68" s="80">
        <f t="shared" si="32"/>
        <v>1.6999999999999999E-3</v>
      </c>
      <c r="U68" s="178">
        <v>802.4</v>
      </c>
      <c r="V68" s="80">
        <f t="shared" si="33"/>
        <v>1.6999999999999999E-3</v>
      </c>
      <c r="X68" s="192"/>
    </row>
    <row r="69" spans="1:24" ht="12.75" customHeight="1">
      <c r="A69" s="2" t="s">
        <v>413</v>
      </c>
      <c r="B69" s="35"/>
      <c r="C69" s="178">
        <v>0</v>
      </c>
      <c r="D69" s="80">
        <f t="shared" si="24"/>
        <v>0</v>
      </c>
      <c r="E69" s="178">
        <v>0</v>
      </c>
      <c r="F69" s="80">
        <f t="shared" si="25"/>
        <v>0</v>
      </c>
      <c r="G69" s="178">
        <v>0</v>
      </c>
      <c r="H69" s="80">
        <f t="shared" si="26"/>
        <v>0</v>
      </c>
      <c r="I69" s="178">
        <v>0</v>
      </c>
      <c r="J69" s="80">
        <f t="shared" si="27"/>
        <v>0</v>
      </c>
      <c r="K69" s="178">
        <v>0</v>
      </c>
      <c r="L69" s="80">
        <f t="shared" si="28"/>
        <v>0</v>
      </c>
      <c r="M69" s="178">
        <v>0</v>
      </c>
      <c r="N69" s="80">
        <f t="shared" si="29"/>
        <v>0</v>
      </c>
      <c r="O69" s="178">
        <v>0</v>
      </c>
      <c r="P69" s="80">
        <f t="shared" si="30"/>
        <v>0</v>
      </c>
      <c r="Q69" s="178">
        <v>0</v>
      </c>
      <c r="R69" s="80">
        <f t="shared" si="31"/>
        <v>0</v>
      </c>
      <c r="S69" s="178">
        <v>0</v>
      </c>
      <c r="T69" s="80">
        <f t="shared" si="32"/>
        <v>0</v>
      </c>
      <c r="U69" s="178">
        <v>0</v>
      </c>
      <c r="V69" s="80">
        <f t="shared" si="33"/>
        <v>0</v>
      </c>
      <c r="X69" s="192"/>
    </row>
    <row r="70" spans="1:24" ht="12.75" customHeight="1">
      <c r="A70" s="2" t="s">
        <v>414</v>
      </c>
      <c r="B70" s="35"/>
      <c r="C70" s="178">
        <v>25.500000000000004</v>
      </c>
      <c r="D70" s="80">
        <f t="shared" si="24"/>
        <v>1.0000000000000002E-4</v>
      </c>
      <c r="E70" s="178">
        <v>36.500000000000007</v>
      </c>
      <c r="F70" s="80">
        <f t="shared" si="25"/>
        <v>1.0000000000000002E-4</v>
      </c>
      <c r="G70" s="178">
        <v>38.000000000000007</v>
      </c>
      <c r="H70" s="80">
        <f t="shared" si="26"/>
        <v>1.0000000000000002E-4</v>
      </c>
      <c r="I70" s="178">
        <v>39.5</v>
      </c>
      <c r="J70" s="80">
        <f t="shared" si="27"/>
        <v>1E-4</v>
      </c>
      <c r="K70" s="178">
        <v>40.699999999999996</v>
      </c>
      <c r="L70" s="80">
        <f t="shared" si="28"/>
        <v>9.9999999999999991E-5</v>
      </c>
      <c r="M70" s="178">
        <v>41.9</v>
      </c>
      <c r="N70" s="80">
        <f t="shared" si="29"/>
        <v>9.9999999999999991E-5</v>
      </c>
      <c r="O70" s="178">
        <v>43.199999999999996</v>
      </c>
      <c r="P70" s="80">
        <f t="shared" si="30"/>
        <v>9.9999999999999991E-5</v>
      </c>
      <c r="Q70" s="178">
        <v>44.5</v>
      </c>
      <c r="R70" s="80">
        <f t="shared" si="31"/>
        <v>1E-4</v>
      </c>
      <c r="S70" s="178">
        <v>45.800000000000004</v>
      </c>
      <c r="T70" s="80">
        <f t="shared" si="32"/>
        <v>1E-4</v>
      </c>
      <c r="U70" s="178">
        <v>47.2</v>
      </c>
      <c r="V70" s="80">
        <f t="shared" si="33"/>
        <v>1E-4</v>
      </c>
      <c r="X70" s="192"/>
    </row>
    <row r="71" spans="1:24" ht="12.75" customHeight="1">
      <c r="A71" s="2" t="s">
        <v>415</v>
      </c>
      <c r="B71" s="35"/>
      <c r="C71" s="178">
        <v>0</v>
      </c>
      <c r="D71" s="80">
        <f t="shared" si="24"/>
        <v>0</v>
      </c>
      <c r="E71" s="178">
        <v>0</v>
      </c>
      <c r="F71" s="80">
        <f t="shared" si="25"/>
        <v>0</v>
      </c>
      <c r="G71" s="178">
        <v>0</v>
      </c>
      <c r="H71" s="80">
        <f t="shared" si="26"/>
        <v>0</v>
      </c>
      <c r="I71" s="178">
        <v>0</v>
      </c>
      <c r="J71" s="80">
        <f t="shared" si="27"/>
        <v>0</v>
      </c>
      <c r="K71" s="178">
        <v>0</v>
      </c>
      <c r="L71" s="80">
        <f t="shared" si="28"/>
        <v>0</v>
      </c>
      <c r="M71" s="178">
        <v>0</v>
      </c>
      <c r="N71" s="80">
        <f t="shared" si="29"/>
        <v>0</v>
      </c>
      <c r="O71" s="178">
        <v>0</v>
      </c>
      <c r="P71" s="80">
        <f t="shared" si="30"/>
        <v>0</v>
      </c>
      <c r="Q71" s="178">
        <v>0</v>
      </c>
      <c r="R71" s="80">
        <f t="shared" si="31"/>
        <v>0</v>
      </c>
      <c r="S71" s="178">
        <v>0</v>
      </c>
      <c r="T71" s="80">
        <f t="shared" si="32"/>
        <v>0</v>
      </c>
      <c r="U71" s="178">
        <v>0</v>
      </c>
      <c r="V71" s="80">
        <f t="shared" si="33"/>
        <v>0</v>
      </c>
      <c r="X71" s="192"/>
    </row>
    <row r="72" spans="1:24" ht="12.75" customHeight="1">
      <c r="A72" s="2" t="s">
        <v>416</v>
      </c>
      <c r="B72" s="35"/>
      <c r="C72" s="178">
        <v>0</v>
      </c>
      <c r="D72" s="80">
        <f t="shared" si="24"/>
        <v>0</v>
      </c>
      <c r="E72" s="178">
        <v>0</v>
      </c>
      <c r="F72" s="80">
        <f t="shared" si="25"/>
        <v>0</v>
      </c>
      <c r="G72" s="178">
        <v>0</v>
      </c>
      <c r="H72" s="80">
        <f t="shared" si="26"/>
        <v>0</v>
      </c>
      <c r="I72" s="178">
        <v>0</v>
      </c>
      <c r="J72" s="80">
        <f t="shared" si="27"/>
        <v>0</v>
      </c>
      <c r="K72" s="178">
        <v>0</v>
      </c>
      <c r="L72" s="80">
        <f t="shared" si="28"/>
        <v>0</v>
      </c>
      <c r="M72" s="178">
        <v>0</v>
      </c>
      <c r="N72" s="80">
        <f t="shared" si="29"/>
        <v>0</v>
      </c>
      <c r="O72" s="178">
        <v>0</v>
      </c>
      <c r="P72" s="80">
        <f t="shared" si="30"/>
        <v>0</v>
      </c>
      <c r="Q72" s="178">
        <v>0</v>
      </c>
      <c r="R72" s="80">
        <f t="shared" si="31"/>
        <v>0</v>
      </c>
      <c r="S72" s="178">
        <v>0</v>
      </c>
      <c r="T72" s="80">
        <f t="shared" si="32"/>
        <v>0</v>
      </c>
      <c r="U72" s="178">
        <v>0</v>
      </c>
      <c r="V72" s="80">
        <f t="shared" si="33"/>
        <v>0</v>
      </c>
      <c r="X72" s="192"/>
    </row>
    <row r="73" spans="1:24" ht="12.75" customHeight="1">
      <c r="A73" s="2" t="s">
        <v>417</v>
      </c>
      <c r="B73" s="35"/>
      <c r="C73" s="178">
        <v>0</v>
      </c>
      <c r="D73" s="80">
        <f t="shared" si="24"/>
        <v>0</v>
      </c>
      <c r="E73" s="178">
        <v>0</v>
      </c>
      <c r="F73" s="80">
        <f t="shared" si="25"/>
        <v>0</v>
      </c>
      <c r="G73" s="178">
        <v>0</v>
      </c>
      <c r="H73" s="80">
        <f t="shared" si="26"/>
        <v>0</v>
      </c>
      <c r="I73" s="178">
        <v>0</v>
      </c>
      <c r="J73" s="80">
        <f t="shared" si="27"/>
        <v>0</v>
      </c>
      <c r="K73" s="178">
        <v>0</v>
      </c>
      <c r="L73" s="80">
        <f t="shared" si="28"/>
        <v>0</v>
      </c>
      <c r="M73" s="178">
        <v>0</v>
      </c>
      <c r="N73" s="80">
        <f t="shared" si="29"/>
        <v>0</v>
      </c>
      <c r="O73" s="178">
        <v>0</v>
      </c>
      <c r="P73" s="80">
        <f t="shared" si="30"/>
        <v>0</v>
      </c>
      <c r="Q73" s="178">
        <v>0</v>
      </c>
      <c r="R73" s="80">
        <f t="shared" si="31"/>
        <v>0</v>
      </c>
      <c r="S73" s="178">
        <v>0</v>
      </c>
      <c r="T73" s="80">
        <f t="shared" si="32"/>
        <v>0</v>
      </c>
      <c r="U73" s="178">
        <v>0</v>
      </c>
      <c r="V73" s="80">
        <f t="shared" si="33"/>
        <v>0</v>
      </c>
      <c r="X73" s="192"/>
    </row>
    <row r="74" spans="1:24" ht="12.75" customHeight="1">
      <c r="A74" s="2" t="s">
        <v>418</v>
      </c>
      <c r="B74" s="35"/>
      <c r="C74" s="178">
        <v>0</v>
      </c>
      <c r="D74" s="80">
        <f t="shared" si="24"/>
        <v>0</v>
      </c>
      <c r="E74" s="178">
        <v>0</v>
      </c>
      <c r="F74" s="80">
        <f t="shared" si="25"/>
        <v>0</v>
      </c>
      <c r="G74" s="178">
        <v>0</v>
      </c>
      <c r="H74" s="80">
        <f t="shared" si="26"/>
        <v>0</v>
      </c>
      <c r="I74" s="178">
        <v>0</v>
      </c>
      <c r="J74" s="80">
        <f t="shared" si="27"/>
        <v>0</v>
      </c>
      <c r="K74" s="178">
        <v>0</v>
      </c>
      <c r="L74" s="80">
        <f t="shared" si="28"/>
        <v>0</v>
      </c>
      <c r="M74" s="178">
        <v>0</v>
      </c>
      <c r="N74" s="80">
        <f t="shared" si="29"/>
        <v>0</v>
      </c>
      <c r="O74" s="178">
        <v>0</v>
      </c>
      <c r="P74" s="80">
        <f t="shared" si="30"/>
        <v>0</v>
      </c>
      <c r="Q74" s="178">
        <v>0</v>
      </c>
      <c r="R74" s="80">
        <f t="shared" si="31"/>
        <v>0</v>
      </c>
      <c r="S74" s="178">
        <v>0</v>
      </c>
      <c r="T74" s="80">
        <f t="shared" si="32"/>
        <v>0</v>
      </c>
      <c r="U74" s="178">
        <v>0</v>
      </c>
      <c r="V74" s="80">
        <f t="shared" si="33"/>
        <v>0</v>
      </c>
      <c r="X74" s="192"/>
    </row>
    <row r="75" spans="1:24" ht="12.75" customHeight="1">
      <c r="A75" s="2" t="s">
        <v>419</v>
      </c>
      <c r="B75" s="35"/>
      <c r="C75" s="178">
        <v>1147.5</v>
      </c>
      <c r="D75" s="80">
        <f t="shared" si="24"/>
        <v>4.4999999999999997E-3</v>
      </c>
      <c r="E75" s="178">
        <v>1642.5</v>
      </c>
      <c r="F75" s="80">
        <f t="shared" si="25"/>
        <v>4.4999999999999997E-3</v>
      </c>
      <c r="G75" s="178">
        <v>1710</v>
      </c>
      <c r="H75" s="80">
        <f t="shared" si="26"/>
        <v>4.4999999999999997E-3</v>
      </c>
      <c r="I75" s="178">
        <v>1777.5</v>
      </c>
      <c r="J75" s="80">
        <f t="shared" si="27"/>
        <v>4.4999999999999997E-3</v>
      </c>
      <c r="K75" s="178">
        <v>1831.4999999999998</v>
      </c>
      <c r="L75" s="80">
        <f t="shared" si="28"/>
        <v>4.4999999999999997E-3</v>
      </c>
      <c r="M75" s="178">
        <v>1885.5</v>
      </c>
      <c r="N75" s="80">
        <f t="shared" si="29"/>
        <v>4.4999999999999997E-3</v>
      </c>
      <c r="O75" s="178">
        <v>1943.9999999999998</v>
      </c>
      <c r="P75" s="80">
        <f t="shared" si="30"/>
        <v>4.4999999999999997E-3</v>
      </c>
      <c r="Q75" s="178">
        <v>2002.5</v>
      </c>
      <c r="R75" s="80">
        <f t="shared" si="31"/>
        <v>4.4999999999999997E-3</v>
      </c>
      <c r="S75" s="178">
        <v>2061</v>
      </c>
      <c r="T75" s="80">
        <f t="shared" si="32"/>
        <v>4.4999999999999997E-3</v>
      </c>
      <c r="U75" s="178">
        <v>2124</v>
      </c>
      <c r="V75" s="80">
        <f t="shared" si="33"/>
        <v>4.4999999999999997E-3</v>
      </c>
      <c r="X75" s="192"/>
    </row>
    <row r="76" spans="1:24" ht="12.75" customHeight="1">
      <c r="A76" s="2" t="s">
        <v>420</v>
      </c>
      <c r="B76" s="35"/>
      <c r="C76" s="178">
        <v>102.00000000000001</v>
      </c>
      <c r="D76" s="80">
        <f t="shared" si="24"/>
        <v>4.0000000000000007E-4</v>
      </c>
      <c r="E76" s="178">
        <v>146.00000000000003</v>
      </c>
      <c r="F76" s="80">
        <f t="shared" si="25"/>
        <v>4.0000000000000007E-4</v>
      </c>
      <c r="G76" s="178">
        <v>152.00000000000003</v>
      </c>
      <c r="H76" s="80">
        <f t="shared" si="26"/>
        <v>4.0000000000000007E-4</v>
      </c>
      <c r="I76" s="178">
        <v>158</v>
      </c>
      <c r="J76" s="80">
        <f t="shared" si="27"/>
        <v>4.0000000000000002E-4</v>
      </c>
      <c r="K76" s="178">
        <v>162.79999999999998</v>
      </c>
      <c r="L76" s="80">
        <f t="shared" si="28"/>
        <v>3.9999999999999996E-4</v>
      </c>
      <c r="M76" s="178">
        <v>167.6</v>
      </c>
      <c r="N76" s="80">
        <f t="shared" si="29"/>
        <v>3.9999999999999996E-4</v>
      </c>
      <c r="O76" s="178">
        <v>172.79999999999998</v>
      </c>
      <c r="P76" s="80">
        <f t="shared" si="30"/>
        <v>3.9999999999999996E-4</v>
      </c>
      <c r="Q76" s="178">
        <v>178</v>
      </c>
      <c r="R76" s="80">
        <f t="shared" si="31"/>
        <v>4.0000000000000002E-4</v>
      </c>
      <c r="S76" s="178">
        <v>183.20000000000002</v>
      </c>
      <c r="T76" s="80">
        <f t="shared" si="32"/>
        <v>4.0000000000000002E-4</v>
      </c>
      <c r="U76" s="178">
        <v>188.8</v>
      </c>
      <c r="V76" s="80">
        <f t="shared" si="33"/>
        <v>4.0000000000000002E-4</v>
      </c>
      <c r="X76" s="192"/>
    </row>
    <row r="77" spans="1:24" ht="12.75" customHeight="1">
      <c r="A77" s="2" t="s">
        <v>421</v>
      </c>
      <c r="B77" s="35"/>
      <c r="C77" s="178">
        <v>331.5</v>
      </c>
      <c r="D77" s="80">
        <f t="shared" si="24"/>
        <v>1.2999999999999999E-3</v>
      </c>
      <c r="E77" s="178">
        <v>474.5</v>
      </c>
      <c r="F77" s="80">
        <f t="shared" si="25"/>
        <v>1.2999999999999999E-3</v>
      </c>
      <c r="G77" s="178">
        <v>494</v>
      </c>
      <c r="H77" s="80">
        <f t="shared" si="26"/>
        <v>1.2999999999999999E-3</v>
      </c>
      <c r="I77" s="178">
        <v>513.5</v>
      </c>
      <c r="J77" s="80">
        <f t="shared" si="27"/>
        <v>1.2999999999999999E-3</v>
      </c>
      <c r="K77" s="178">
        <v>529.09999999999991</v>
      </c>
      <c r="L77" s="80">
        <f t="shared" si="28"/>
        <v>1.2999999999999997E-3</v>
      </c>
      <c r="M77" s="178">
        <v>544.70000000000005</v>
      </c>
      <c r="N77" s="80">
        <f t="shared" si="29"/>
        <v>1.3000000000000002E-3</v>
      </c>
      <c r="O77" s="178">
        <v>561.59999999999991</v>
      </c>
      <c r="P77" s="80">
        <f t="shared" si="30"/>
        <v>1.2999999999999997E-3</v>
      </c>
      <c r="Q77" s="178">
        <v>578.49999999999989</v>
      </c>
      <c r="R77" s="80">
        <f t="shared" si="31"/>
        <v>1.2999999999999997E-3</v>
      </c>
      <c r="S77" s="178">
        <v>595.4</v>
      </c>
      <c r="T77" s="80">
        <f t="shared" si="32"/>
        <v>1.2999999999999999E-3</v>
      </c>
      <c r="U77" s="178">
        <v>613.6</v>
      </c>
      <c r="V77" s="80">
        <f t="shared" si="33"/>
        <v>1.2999999999999999E-3</v>
      </c>
      <c r="X77" s="192"/>
    </row>
    <row r="78" spans="1:24" ht="12.75" customHeight="1">
      <c r="A78" s="2" t="s">
        <v>422</v>
      </c>
      <c r="B78" s="35"/>
      <c r="C78" s="178">
        <v>5610</v>
      </c>
      <c r="D78" s="80">
        <f t="shared" si="24"/>
        <v>2.1999999999999999E-2</v>
      </c>
      <c r="E78" s="178">
        <v>8029.9999999999991</v>
      </c>
      <c r="F78" s="80">
        <f t="shared" si="25"/>
        <v>2.1999999999999999E-2</v>
      </c>
      <c r="G78" s="178">
        <v>8360</v>
      </c>
      <c r="H78" s="80">
        <f t="shared" si="26"/>
        <v>2.1999999999999999E-2</v>
      </c>
      <c r="I78" s="178">
        <v>8690</v>
      </c>
      <c r="J78" s="80">
        <f t="shared" si="27"/>
        <v>2.1999999999999999E-2</v>
      </c>
      <c r="K78" s="178">
        <v>8954</v>
      </c>
      <c r="L78" s="80">
        <f t="shared" si="28"/>
        <v>2.1999999999999999E-2</v>
      </c>
      <c r="M78" s="178">
        <v>9218</v>
      </c>
      <c r="N78" s="80">
        <f t="shared" si="29"/>
        <v>2.1999999999999999E-2</v>
      </c>
      <c r="O78" s="178">
        <v>9503.9999999999982</v>
      </c>
      <c r="P78" s="80">
        <f t="shared" si="30"/>
        <v>2.1999999999999995E-2</v>
      </c>
      <c r="Q78" s="178">
        <v>9789.9999999999982</v>
      </c>
      <c r="R78" s="80">
        <f t="shared" si="31"/>
        <v>2.1999999999999995E-2</v>
      </c>
      <c r="S78" s="178">
        <v>10076</v>
      </c>
      <c r="T78" s="80">
        <f t="shared" si="32"/>
        <v>2.1999999999999999E-2</v>
      </c>
      <c r="U78" s="178">
        <v>10384</v>
      </c>
      <c r="V78" s="80">
        <f t="shared" si="33"/>
        <v>2.1999999999999999E-2</v>
      </c>
      <c r="X78" s="192"/>
    </row>
    <row r="79" spans="1:24" ht="12.75" customHeight="1">
      <c r="A79" s="2" t="s">
        <v>423</v>
      </c>
      <c r="B79" s="35"/>
      <c r="C79" s="178">
        <v>0</v>
      </c>
      <c r="D79" s="80">
        <f t="shared" si="24"/>
        <v>0</v>
      </c>
      <c r="E79" s="178">
        <v>0</v>
      </c>
      <c r="F79" s="80">
        <f t="shared" si="25"/>
        <v>0</v>
      </c>
      <c r="G79" s="178">
        <v>0</v>
      </c>
      <c r="H79" s="80">
        <f t="shared" si="26"/>
        <v>0</v>
      </c>
      <c r="I79" s="178">
        <v>0</v>
      </c>
      <c r="J79" s="80">
        <f t="shared" si="27"/>
        <v>0</v>
      </c>
      <c r="K79" s="178">
        <v>0</v>
      </c>
      <c r="L79" s="80">
        <f t="shared" si="28"/>
        <v>0</v>
      </c>
      <c r="M79" s="178">
        <v>0</v>
      </c>
      <c r="N79" s="80">
        <f t="shared" si="29"/>
        <v>0</v>
      </c>
      <c r="O79" s="178">
        <v>0</v>
      </c>
      <c r="P79" s="80">
        <f t="shared" si="30"/>
        <v>0</v>
      </c>
      <c r="Q79" s="178">
        <v>0</v>
      </c>
      <c r="R79" s="80">
        <f t="shared" si="31"/>
        <v>0</v>
      </c>
      <c r="S79" s="178">
        <v>0</v>
      </c>
      <c r="T79" s="80">
        <f t="shared" si="32"/>
        <v>0</v>
      </c>
      <c r="U79" s="178">
        <v>0</v>
      </c>
      <c r="V79" s="80">
        <f t="shared" si="33"/>
        <v>0</v>
      </c>
      <c r="X79" s="192"/>
    </row>
    <row r="80" spans="1:24" ht="12.75" customHeight="1">
      <c r="A80" s="2" t="s">
        <v>424</v>
      </c>
      <c r="B80" s="35"/>
      <c r="C80" s="178">
        <v>0</v>
      </c>
      <c r="D80" s="80">
        <f t="shared" si="24"/>
        <v>0</v>
      </c>
      <c r="E80" s="178">
        <v>0</v>
      </c>
      <c r="F80" s="80">
        <f t="shared" si="25"/>
        <v>0</v>
      </c>
      <c r="G80" s="178">
        <v>0</v>
      </c>
      <c r="H80" s="80">
        <f t="shared" si="26"/>
        <v>0</v>
      </c>
      <c r="I80" s="178">
        <v>0</v>
      </c>
      <c r="J80" s="80">
        <f t="shared" si="27"/>
        <v>0</v>
      </c>
      <c r="K80" s="178">
        <v>0</v>
      </c>
      <c r="L80" s="80">
        <f t="shared" si="28"/>
        <v>0</v>
      </c>
      <c r="M80" s="178">
        <v>0</v>
      </c>
      <c r="N80" s="80">
        <f t="shared" si="29"/>
        <v>0</v>
      </c>
      <c r="O80" s="178">
        <v>0</v>
      </c>
      <c r="P80" s="80">
        <f t="shared" si="30"/>
        <v>0</v>
      </c>
      <c r="Q80" s="178">
        <v>0</v>
      </c>
      <c r="R80" s="80">
        <f t="shared" si="31"/>
        <v>0</v>
      </c>
      <c r="S80" s="178">
        <v>0</v>
      </c>
      <c r="T80" s="80">
        <f t="shared" si="32"/>
        <v>0</v>
      </c>
      <c r="U80" s="178">
        <v>0</v>
      </c>
      <c r="V80" s="80">
        <f t="shared" si="33"/>
        <v>0</v>
      </c>
      <c r="X80" s="192"/>
    </row>
    <row r="81" spans="1:24" ht="12.75" customHeight="1">
      <c r="A81" s="2" t="s">
        <v>425</v>
      </c>
      <c r="B81" s="35"/>
      <c r="C81" s="178">
        <v>0</v>
      </c>
      <c r="D81" s="80">
        <f t="shared" si="24"/>
        <v>0</v>
      </c>
      <c r="E81" s="178">
        <v>0</v>
      </c>
      <c r="F81" s="80">
        <f t="shared" si="25"/>
        <v>0</v>
      </c>
      <c r="G81" s="178">
        <v>0</v>
      </c>
      <c r="H81" s="80">
        <f t="shared" si="26"/>
        <v>0</v>
      </c>
      <c r="I81" s="178">
        <v>0</v>
      </c>
      <c r="J81" s="80">
        <f t="shared" si="27"/>
        <v>0</v>
      </c>
      <c r="K81" s="178">
        <v>0</v>
      </c>
      <c r="L81" s="80">
        <f t="shared" si="28"/>
        <v>0</v>
      </c>
      <c r="M81" s="178">
        <v>0</v>
      </c>
      <c r="N81" s="80">
        <f t="shared" si="29"/>
        <v>0</v>
      </c>
      <c r="O81" s="178">
        <v>0</v>
      </c>
      <c r="P81" s="80">
        <f t="shared" si="30"/>
        <v>0</v>
      </c>
      <c r="Q81" s="178">
        <v>0</v>
      </c>
      <c r="R81" s="80">
        <f t="shared" si="31"/>
        <v>0</v>
      </c>
      <c r="S81" s="178">
        <v>0</v>
      </c>
      <c r="T81" s="80">
        <f t="shared" si="32"/>
        <v>0</v>
      </c>
      <c r="U81" s="178">
        <v>0</v>
      </c>
      <c r="V81" s="80">
        <f t="shared" si="33"/>
        <v>0</v>
      </c>
      <c r="X81" s="192"/>
    </row>
    <row r="82" spans="1:24" ht="12.75" customHeight="1">
      <c r="A82" s="2" t="s">
        <v>426</v>
      </c>
      <c r="B82" s="35"/>
      <c r="C82" s="178">
        <v>0</v>
      </c>
      <c r="D82" s="80">
        <f t="shared" si="24"/>
        <v>0</v>
      </c>
      <c r="E82" s="178">
        <v>0</v>
      </c>
      <c r="F82" s="80">
        <f t="shared" si="25"/>
        <v>0</v>
      </c>
      <c r="G82" s="178">
        <v>0</v>
      </c>
      <c r="H82" s="80">
        <f t="shared" si="26"/>
        <v>0</v>
      </c>
      <c r="I82" s="178">
        <v>0</v>
      </c>
      <c r="J82" s="80">
        <f t="shared" si="27"/>
        <v>0</v>
      </c>
      <c r="K82" s="178">
        <v>0</v>
      </c>
      <c r="L82" s="80">
        <f t="shared" si="28"/>
        <v>0</v>
      </c>
      <c r="M82" s="178">
        <v>0</v>
      </c>
      <c r="N82" s="80">
        <f t="shared" si="29"/>
        <v>0</v>
      </c>
      <c r="O82" s="178">
        <v>0</v>
      </c>
      <c r="P82" s="80">
        <f t="shared" si="30"/>
        <v>0</v>
      </c>
      <c r="Q82" s="178">
        <v>0</v>
      </c>
      <c r="R82" s="80">
        <f t="shared" si="31"/>
        <v>0</v>
      </c>
      <c r="S82" s="178">
        <v>0</v>
      </c>
      <c r="T82" s="80">
        <f t="shared" si="32"/>
        <v>0</v>
      </c>
      <c r="U82" s="178">
        <v>0</v>
      </c>
      <c r="V82" s="80">
        <f t="shared" si="33"/>
        <v>0</v>
      </c>
      <c r="X82" s="192"/>
    </row>
    <row r="83" spans="1:24" ht="12.75" customHeight="1">
      <c r="A83" s="2" t="s">
        <v>427</v>
      </c>
      <c r="B83" s="35"/>
      <c r="C83" s="178">
        <v>0</v>
      </c>
      <c r="D83" s="80">
        <f t="shared" si="24"/>
        <v>0</v>
      </c>
      <c r="E83" s="178">
        <v>0</v>
      </c>
      <c r="F83" s="80">
        <f t="shared" si="25"/>
        <v>0</v>
      </c>
      <c r="G83" s="178">
        <v>0</v>
      </c>
      <c r="H83" s="80">
        <f t="shared" si="26"/>
        <v>0</v>
      </c>
      <c r="I83" s="178">
        <v>0</v>
      </c>
      <c r="J83" s="80">
        <f t="shared" si="27"/>
        <v>0</v>
      </c>
      <c r="K83" s="178">
        <v>0</v>
      </c>
      <c r="L83" s="80">
        <f t="shared" si="28"/>
        <v>0</v>
      </c>
      <c r="M83" s="178">
        <v>0</v>
      </c>
      <c r="N83" s="80">
        <f t="shared" si="29"/>
        <v>0</v>
      </c>
      <c r="O83" s="178">
        <v>0</v>
      </c>
      <c r="P83" s="80">
        <f t="shared" si="30"/>
        <v>0</v>
      </c>
      <c r="Q83" s="178">
        <v>0</v>
      </c>
      <c r="R83" s="80">
        <f t="shared" si="31"/>
        <v>0</v>
      </c>
      <c r="S83" s="178">
        <v>0</v>
      </c>
      <c r="T83" s="80">
        <f t="shared" si="32"/>
        <v>0</v>
      </c>
      <c r="U83" s="178">
        <v>0</v>
      </c>
      <c r="V83" s="80">
        <f t="shared" si="33"/>
        <v>0</v>
      </c>
      <c r="X83" s="192"/>
    </row>
    <row r="84" spans="1:24" ht="12.75" customHeight="1">
      <c r="A84" s="2" t="s">
        <v>428</v>
      </c>
      <c r="B84" s="35"/>
      <c r="C84" s="178">
        <v>0</v>
      </c>
      <c r="D84" s="80">
        <f t="shared" si="24"/>
        <v>0</v>
      </c>
      <c r="E84" s="178">
        <v>0</v>
      </c>
      <c r="F84" s="80">
        <f t="shared" si="25"/>
        <v>0</v>
      </c>
      <c r="G84" s="178">
        <v>0</v>
      </c>
      <c r="H84" s="80">
        <f t="shared" si="26"/>
        <v>0</v>
      </c>
      <c r="I84" s="178">
        <v>0</v>
      </c>
      <c r="J84" s="80">
        <f t="shared" si="27"/>
        <v>0</v>
      </c>
      <c r="K84" s="178">
        <v>0</v>
      </c>
      <c r="L84" s="80">
        <f t="shared" si="28"/>
        <v>0</v>
      </c>
      <c r="M84" s="178">
        <v>0</v>
      </c>
      <c r="N84" s="80">
        <f t="shared" si="29"/>
        <v>0</v>
      </c>
      <c r="O84" s="178">
        <v>0</v>
      </c>
      <c r="P84" s="80">
        <f t="shared" si="30"/>
        <v>0</v>
      </c>
      <c r="Q84" s="178">
        <v>0</v>
      </c>
      <c r="R84" s="80">
        <f t="shared" si="31"/>
        <v>0</v>
      </c>
      <c r="S84" s="178">
        <v>0</v>
      </c>
      <c r="T84" s="80">
        <f t="shared" si="32"/>
        <v>0</v>
      </c>
      <c r="U84" s="178">
        <v>0</v>
      </c>
      <c r="V84" s="80">
        <f t="shared" si="33"/>
        <v>0</v>
      </c>
      <c r="X84" s="192"/>
    </row>
    <row r="85" spans="1:24" ht="12.75" customHeight="1">
      <c r="A85" s="2" t="s">
        <v>429</v>
      </c>
      <c r="B85" s="35"/>
      <c r="C85" s="178">
        <v>0</v>
      </c>
      <c r="D85" s="80">
        <f t="shared" si="24"/>
        <v>0</v>
      </c>
      <c r="E85" s="178">
        <v>0</v>
      </c>
      <c r="F85" s="80">
        <f t="shared" si="25"/>
        <v>0</v>
      </c>
      <c r="G85" s="178">
        <v>0</v>
      </c>
      <c r="H85" s="80">
        <f t="shared" si="26"/>
        <v>0</v>
      </c>
      <c r="I85" s="178">
        <v>0</v>
      </c>
      <c r="J85" s="80">
        <f t="shared" si="27"/>
        <v>0</v>
      </c>
      <c r="K85" s="178">
        <v>0</v>
      </c>
      <c r="L85" s="80">
        <f t="shared" si="28"/>
        <v>0</v>
      </c>
      <c r="M85" s="178">
        <v>0</v>
      </c>
      <c r="N85" s="80">
        <f t="shared" si="29"/>
        <v>0</v>
      </c>
      <c r="O85" s="178">
        <v>0</v>
      </c>
      <c r="P85" s="80">
        <f t="shared" si="30"/>
        <v>0</v>
      </c>
      <c r="Q85" s="178">
        <v>0</v>
      </c>
      <c r="R85" s="80">
        <f t="shared" si="31"/>
        <v>0</v>
      </c>
      <c r="S85" s="178">
        <v>0</v>
      </c>
      <c r="T85" s="80">
        <f t="shared" si="32"/>
        <v>0</v>
      </c>
      <c r="U85" s="178">
        <v>0</v>
      </c>
      <c r="V85" s="80">
        <f t="shared" si="33"/>
        <v>0</v>
      </c>
      <c r="X85" s="192"/>
    </row>
    <row r="86" spans="1:24" ht="12.75" customHeight="1">
      <c r="A86" s="2" t="s">
        <v>430</v>
      </c>
      <c r="B86" s="35"/>
      <c r="C86" s="178">
        <v>1020.0000000000001</v>
      </c>
      <c r="D86" s="80">
        <f t="shared" si="24"/>
        <v>4.0000000000000001E-3</v>
      </c>
      <c r="E86" s="178">
        <v>1460</v>
      </c>
      <c r="F86" s="80">
        <f t="shared" si="25"/>
        <v>4.0000000000000001E-3</v>
      </c>
      <c r="G86" s="178">
        <v>1520.0000000000002</v>
      </c>
      <c r="H86" s="80">
        <f t="shared" si="26"/>
        <v>4.000000000000001E-3</v>
      </c>
      <c r="I86" s="178">
        <v>1580</v>
      </c>
      <c r="J86" s="80">
        <f t="shared" si="27"/>
        <v>4.0000000000000001E-3</v>
      </c>
      <c r="K86" s="178">
        <v>1628</v>
      </c>
      <c r="L86" s="80">
        <f t="shared" si="28"/>
        <v>4.0000000000000001E-3</v>
      </c>
      <c r="M86" s="178">
        <v>1676</v>
      </c>
      <c r="N86" s="80">
        <f t="shared" si="29"/>
        <v>4.0000000000000001E-3</v>
      </c>
      <c r="O86" s="178">
        <v>1728</v>
      </c>
      <c r="P86" s="80">
        <f t="shared" si="30"/>
        <v>4.0000000000000001E-3</v>
      </c>
      <c r="Q86" s="178">
        <v>1780</v>
      </c>
      <c r="R86" s="80">
        <f t="shared" si="31"/>
        <v>4.0000000000000001E-3</v>
      </c>
      <c r="S86" s="178">
        <v>1832</v>
      </c>
      <c r="T86" s="80">
        <f t="shared" si="32"/>
        <v>4.0000000000000001E-3</v>
      </c>
      <c r="U86" s="178">
        <v>1888</v>
      </c>
      <c r="V86" s="80">
        <f t="shared" si="33"/>
        <v>4.0000000000000001E-3</v>
      </c>
      <c r="X86" s="192"/>
    </row>
    <row r="87" spans="1:24" ht="12.75" customHeight="1">
      <c r="A87" s="2" t="s">
        <v>431</v>
      </c>
      <c r="B87" s="35"/>
      <c r="C87" s="178">
        <v>0</v>
      </c>
      <c r="D87" s="80">
        <f t="shared" si="24"/>
        <v>0</v>
      </c>
      <c r="E87" s="178">
        <v>0</v>
      </c>
      <c r="F87" s="80">
        <f t="shared" si="25"/>
        <v>0</v>
      </c>
      <c r="G87" s="178">
        <v>0</v>
      </c>
      <c r="H87" s="80">
        <f t="shared" si="26"/>
        <v>0</v>
      </c>
      <c r="I87" s="178">
        <v>0</v>
      </c>
      <c r="J87" s="80">
        <f t="shared" si="27"/>
        <v>0</v>
      </c>
      <c r="K87" s="178">
        <v>0</v>
      </c>
      <c r="L87" s="80">
        <f t="shared" si="28"/>
        <v>0</v>
      </c>
      <c r="M87" s="178">
        <v>0</v>
      </c>
      <c r="N87" s="80">
        <f t="shared" si="29"/>
        <v>0</v>
      </c>
      <c r="O87" s="178">
        <v>0</v>
      </c>
      <c r="P87" s="80">
        <f t="shared" si="30"/>
        <v>0</v>
      </c>
      <c r="Q87" s="178">
        <v>0</v>
      </c>
      <c r="R87" s="80">
        <f t="shared" si="31"/>
        <v>0</v>
      </c>
      <c r="S87" s="178">
        <v>0</v>
      </c>
      <c r="T87" s="80">
        <f t="shared" si="32"/>
        <v>0</v>
      </c>
      <c r="U87" s="178">
        <v>0</v>
      </c>
      <c r="V87" s="80">
        <f t="shared" si="33"/>
        <v>0</v>
      </c>
      <c r="X87" s="192"/>
    </row>
    <row r="88" spans="1:24" ht="12.75" customHeight="1">
      <c r="A88" s="2" t="s">
        <v>432</v>
      </c>
      <c r="B88" s="35"/>
      <c r="C88" s="178">
        <v>1300.5000000000002</v>
      </c>
      <c r="D88" s="80">
        <f t="shared" si="24"/>
        <v>5.1000000000000012E-3</v>
      </c>
      <c r="E88" s="178">
        <v>1861.5</v>
      </c>
      <c r="F88" s="80">
        <f t="shared" si="25"/>
        <v>5.1000000000000004E-3</v>
      </c>
      <c r="G88" s="178">
        <v>1938.0000000000005</v>
      </c>
      <c r="H88" s="80">
        <f t="shared" si="26"/>
        <v>5.1000000000000012E-3</v>
      </c>
      <c r="I88" s="178">
        <v>2014.5000000000002</v>
      </c>
      <c r="J88" s="80">
        <f t="shared" si="27"/>
        <v>5.1000000000000004E-3</v>
      </c>
      <c r="K88" s="178">
        <v>2075.7000000000003</v>
      </c>
      <c r="L88" s="80">
        <f t="shared" si="28"/>
        <v>5.1000000000000004E-3</v>
      </c>
      <c r="M88" s="178">
        <v>2136.9</v>
      </c>
      <c r="N88" s="80">
        <f t="shared" si="29"/>
        <v>5.1000000000000004E-3</v>
      </c>
      <c r="O88" s="178">
        <v>2203.1999999999998</v>
      </c>
      <c r="P88" s="80">
        <f t="shared" si="30"/>
        <v>5.0999999999999995E-3</v>
      </c>
      <c r="Q88" s="178">
        <v>2269.5</v>
      </c>
      <c r="R88" s="80">
        <f t="shared" si="31"/>
        <v>5.1000000000000004E-3</v>
      </c>
      <c r="S88" s="178">
        <v>2335.8000000000002</v>
      </c>
      <c r="T88" s="80">
        <f t="shared" si="32"/>
        <v>5.1000000000000004E-3</v>
      </c>
      <c r="U88" s="178">
        <v>2407.2000000000003</v>
      </c>
      <c r="V88" s="80">
        <f t="shared" si="33"/>
        <v>5.1000000000000004E-3</v>
      </c>
      <c r="X88" s="192"/>
    </row>
    <row r="89" spans="1:24" ht="12.75" customHeight="1">
      <c r="A89" s="2" t="s">
        <v>433</v>
      </c>
      <c r="B89" s="35"/>
      <c r="C89" s="178">
        <v>0</v>
      </c>
      <c r="D89" s="80">
        <f t="shared" si="24"/>
        <v>0</v>
      </c>
      <c r="E89" s="178">
        <v>0</v>
      </c>
      <c r="F89" s="80">
        <f t="shared" si="25"/>
        <v>0</v>
      </c>
      <c r="G89" s="178">
        <v>0</v>
      </c>
      <c r="H89" s="80">
        <f t="shared" si="26"/>
        <v>0</v>
      </c>
      <c r="I89" s="178">
        <v>0</v>
      </c>
      <c r="J89" s="80">
        <f t="shared" si="27"/>
        <v>0</v>
      </c>
      <c r="K89" s="178">
        <v>0</v>
      </c>
      <c r="L89" s="80">
        <f t="shared" si="28"/>
        <v>0</v>
      </c>
      <c r="M89" s="178">
        <v>0</v>
      </c>
      <c r="N89" s="80">
        <f t="shared" si="29"/>
        <v>0</v>
      </c>
      <c r="O89" s="178">
        <v>0</v>
      </c>
      <c r="P89" s="80">
        <f t="shared" si="30"/>
        <v>0</v>
      </c>
      <c r="Q89" s="178">
        <v>0</v>
      </c>
      <c r="R89" s="80">
        <f t="shared" si="31"/>
        <v>0</v>
      </c>
      <c r="S89" s="178">
        <v>0</v>
      </c>
      <c r="T89" s="80">
        <f t="shared" si="32"/>
        <v>0</v>
      </c>
      <c r="U89" s="178">
        <v>0</v>
      </c>
      <c r="V89" s="80">
        <f t="shared" si="33"/>
        <v>0</v>
      </c>
      <c r="X89" s="192"/>
    </row>
    <row r="90" spans="1:24" ht="12.75" customHeight="1">
      <c r="A90" s="2" t="s">
        <v>434</v>
      </c>
      <c r="B90" s="35"/>
      <c r="C90" s="178">
        <v>51.000000000000007</v>
      </c>
      <c r="D90" s="80">
        <f t="shared" si="24"/>
        <v>2.0000000000000004E-4</v>
      </c>
      <c r="E90" s="178">
        <v>73.000000000000014</v>
      </c>
      <c r="F90" s="80">
        <f t="shared" si="25"/>
        <v>2.0000000000000004E-4</v>
      </c>
      <c r="G90" s="178">
        <v>76.000000000000014</v>
      </c>
      <c r="H90" s="80">
        <f t="shared" si="26"/>
        <v>2.0000000000000004E-4</v>
      </c>
      <c r="I90" s="178">
        <v>79</v>
      </c>
      <c r="J90" s="80">
        <f t="shared" si="27"/>
        <v>2.0000000000000001E-4</v>
      </c>
      <c r="K90" s="178">
        <v>81.399999999999991</v>
      </c>
      <c r="L90" s="80">
        <f t="shared" si="28"/>
        <v>1.9999999999999998E-4</v>
      </c>
      <c r="M90" s="178">
        <v>83.8</v>
      </c>
      <c r="N90" s="80">
        <f t="shared" si="29"/>
        <v>1.9999999999999998E-4</v>
      </c>
      <c r="O90" s="178">
        <v>86.399999999999991</v>
      </c>
      <c r="P90" s="80">
        <f t="shared" si="30"/>
        <v>1.9999999999999998E-4</v>
      </c>
      <c r="Q90" s="178">
        <v>89</v>
      </c>
      <c r="R90" s="80">
        <f t="shared" si="31"/>
        <v>2.0000000000000001E-4</v>
      </c>
      <c r="S90" s="178">
        <v>91.600000000000009</v>
      </c>
      <c r="T90" s="80">
        <f t="shared" si="32"/>
        <v>2.0000000000000001E-4</v>
      </c>
      <c r="U90" s="178">
        <v>94.4</v>
      </c>
      <c r="V90" s="80">
        <f t="shared" si="33"/>
        <v>2.0000000000000001E-4</v>
      </c>
      <c r="X90" s="192"/>
    </row>
    <row r="91" spans="1:24" ht="12.75" customHeight="1">
      <c r="A91" s="2" t="s">
        <v>435</v>
      </c>
      <c r="C91" s="178">
        <v>0</v>
      </c>
      <c r="D91" s="80">
        <f t="shared" si="24"/>
        <v>0</v>
      </c>
      <c r="E91" s="178">
        <v>0</v>
      </c>
      <c r="F91" s="80">
        <f t="shared" si="25"/>
        <v>0</v>
      </c>
      <c r="G91" s="178">
        <v>0</v>
      </c>
      <c r="H91" s="80">
        <f t="shared" si="26"/>
        <v>0</v>
      </c>
      <c r="I91" s="178">
        <v>0</v>
      </c>
      <c r="J91" s="80">
        <f t="shared" si="27"/>
        <v>0</v>
      </c>
      <c r="K91" s="178">
        <v>0</v>
      </c>
      <c r="L91" s="80">
        <f t="shared" si="28"/>
        <v>0</v>
      </c>
      <c r="M91" s="178">
        <v>0</v>
      </c>
      <c r="N91" s="80">
        <f t="shared" si="29"/>
        <v>0</v>
      </c>
      <c r="O91" s="178">
        <v>0</v>
      </c>
      <c r="P91" s="80">
        <f t="shared" si="30"/>
        <v>0</v>
      </c>
      <c r="Q91" s="178">
        <v>0</v>
      </c>
      <c r="R91" s="80">
        <f t="shared" si="31"/>
        <v>0</v>
      </c>
      <c r="S91" s="178">
        <v>0</v>
      </c>
      <c r="T91" s="80">
        <f t="shared" si="32"/>
        <v>0</v>
      </c>
      <c r="U91" s="178">
        <v>0</v>
      </c>
      <c r="V91" s="80">
        <f t="shared" si="33"/>
        <v>0</v>
      </c>
      <c r="X91" s="192"/>
    </row>
    <row r="92" spans="1:24" ht="12.75" customHeight="1">
      <c r="A92" s="2" t="s">
        <v>436</v>
      </c>
      <c r="B92" s="35"/>
      <c r="C92" s="178">
        <v>1326</v>
      </c>
      <c r="D92" s="80">
        <f t="shared" si="24"/>
        <v>5.1999999999999998E-3</v>
      </c>
      <c r="E92" s="178">
        <v>1898</v>
      </c>
      <c r="F92" s="80">
        <f t="shared" si="25"/>
        <v>5.1999999999999998E-3</v>
      </c>
      <c r="G92" s="178">
        <v>1976</v>
      </c>
      <c r="H92" s="80">
        <f t="shared" si="26"/>
        <v>5.1999999999999998E-3</v>
      </c>
      <c r="I92" s="178">
        <v>2054</v>
      </c>
      <c r="J92" s="80">
        <f t="shared" si="27"/>
        <v>5.1999999999999998E-3</v>
      </c>
      <c r="K92" s="178">
        <v>2116.3999999999996</v>
      </c>
      <c r="L92" s="80">
        <f t="shared" si="28"/>
        <v>5.1999999999999989E-3</v>
      </c>
      <c r="M92" s="178">
        <v>2178.8000000000002</v>
      </c>
      <c r="N92" s="80">
        <f t="shared" si="29"/>
        <v>5.2000000000000006E-3</v>
      </c>
      <c r="O92" s="178">
        <v>2246.3999999999996</v>
      </c>
      <c r="P92" s="80">
        <f t="shared" si="30"/>
        <v>5.1999999999999989E-3</v>
      </c>
      <c r="Q92" s="178">
        <v>2313.9999999999995</v>
      </c>
      <c r="R92" s="80">
        <f t="shared" si="31"/>
        <v>5.1999999999999989E-3</v>
      </c>
      <c r="S92" s="178">
        <v>2381.6</v>
      </c>
      <c r="T92" s="80">
        <f t="shared" si="32"/>
        <v>5.1999999999999998E-3</v>
      </c>
      <c r="U92" s="178">
        <v>2454.4</v>
      </c>
      <c r="V92" s="80">
        <f t="shared" si="33"/>
        <v>5.1999999999999998E-3</v>
      </c>
      <c r="X92" s="192"/>
    </row>
    <row r="93" spans="1:24" ht="12.75" customHeight="1">
      <c r="A93" s="2" t="s">
        <v>437</v>
      </c>
      <c r="B93" s="35"/>
      <c r="C93" s="178">
        <v>0</v>
      </c>
      <c r="D93" s="80">
        <f t="shared" si="24"/>
        <v>0</v>
      </c>
      <c r="E93" s="178">
        <v>0</v>
      </c>
      <c r="F93" s="80">
        <f t="shared" si="25"/>
        <v>0</v>
      </c>
      <c r="G93" s="178">
        <v>0</v>
      </c>
      <c r="H93" s="80">
        <f t="shared" si="26"/>
        <v>0</v>
      </c>
      <c r="I93" s="178">
        <v>0</v>
      </c>
      <c r="J93" s="80">
        <f t="shared" si="27"/>
        <v>0</v>
      </c>
      <c r="K93" s="178">
        <v>0</v>
      </c>
      <c r="L93" s="80">
        <f t="shared" si="28"/>
        <v>0</v>
      </c>
      <c r="M93" s="178">
        <v>0</v>
      </c>
      <c r="N93" s="80">
        <f t="shared" si="29"/>
        <v>0</v>
      </c>
      <c r="O93" s="178">
        <v>0</v>
      </c>
      <c r="P93" s="80">
        <f t="shared" si="30"/>
        <v>0</v>
      </c>
      <c r="Q93" s="178">
        <v>0</v>
      </c>
      <c r="R93" s="80">
        <f t="shared" si="31"/>
        <v>0</v>
      </c>
      <c r="S93" s="178">
        <v>0</v>
      </c>
      <c r="T93" s="80">
        <f t="shared" si="32"/>
        <v>0</v>
      </c>
      <c r="U93" s="178">
        <v>0</v>
      </c>
      <c r="V93" s="80">
        <f t="shared" si="33"/>
        <v>0</v>
      </c>
      <c r="X93" s="192"/>
    </row>
    <row r="94" spans="1:24" ht="12.75" customHeight="1">
      <c r="A94" s="2" t="s">
        <v>438</v>
      </c>
      <c r="B94" s="35"/>
      <c r="C94" s="178">
        <v>0</v>
      </c>
      <c r="D94" s="80">
        <f t="shared" si="24"/>
        <v>0</v>
      </c>
      <c r="E94" s="178">
        <v>0</v>
      </c>
      <c r="F94" s="80">
        <f t="shared" si="25"/>
        <v>0</v>
      </c>
      <c r="G94" s="178">
        <v>0</v>
      </c>
      <c r="H94" s="80">
        <f t="shared" si="26"/>
        <v>0</v>
      </c>
      <c r="I94" s="178">
        <v>0</v>
      </c>
      <c r="J94" s="80">
        <f t="shared" si="27"/>
        <v>0</v>
      </c>
      <c r="K94" s="178">
        <v>0</v>
      </c>
      <c r="L94" s="80">
        <f t="shared" si="28"/>
        <v>0</v>
      </c>
      <c r="M94" s="178">
        <v>0</v>
      </c>
      <c r="N94" s="80">
        <f t="shared" si="29"/>
        <v>0</v>
      </c>
      <c r="O94" s="178">
        <v>0</v>
      </c>
      <c r="P94" s="80">
        <f t="shared" si="30"/>
        <v>0</v>
      </c>
      <c r="Q94" s="178">
        <v>0</v>
      </c>
      <c r="R94" s="80">
        <f t="shared" si="31"/>
        <v>0</v>
      </c>
      <c r="S94" s="178">
        <v>0</v>
      </c>
      <c r="T94" s="80">
        <f t="shared" si="32"/>
        <v>0</v>
      </c>
      <c r="U94" s="178">
        <v>0</v>
      </c>
      <c r="V94" s="80">
        <f t="shared" si="33"/>
        <v>0</v>
      </c>
      <c r="X94" s="192"/>
    </row>
    <row r="95" spans="1:24" ht="12.75" customHeight="1">
      <c r="A95" s="2" t="s">
        <v>439</v>
      </c>
      <c r="B95" s="35"/>
      <c r="C95" s="178">
        <v>0</v>
      </c>
      <c r="D95" s="80">
        <f t="shared" si="24"/>
        <v>0</v>
      </c>
      <c r="E95" s="178">
        <v>0</v>
      </c>
      <c r="F95" s="80">
        <f t="shared" si="25"/>
        <v>0</v>
      </c>
      <c r="G95" s="178">
        <v>0</v>
      </c>
      <c r="H95" s="80">
        <f t="shared" si="26"/>
        <v>0</v>
      </c>
      <c r="I95" s="178">
        <v>0</v>
      </c>
      <c r="J95" s="80">
        <f t="shared" si="27"/>
        <v>0</v>
      </c>
      <c r="K95" s="178">
        <v>0</v>
      </c>
      <c r="L95" s="80">
        <f t="shared" si="28"/>
        <v>0</v>
      </c>
      <c r="M95" s="178">
        <v>0</v>
      </c>
      <c r="N95" s="80">
        <f t="shared" si="29"/>
        <v>0</v>
      </c>
      <c r="O95" s="178">
        <v>0</v>
      </c>
      <c r="P95" s="80">
        <f t="shared" si="30"/>
        <v>0</v>
      </c>
      <c r="Q95" s="178">
        <v>0</v>
      </c>
      <c r="R95" s="80">
        <f t="shared" si="31"/>
        <v>0</v>
      </c>
      <c r="S95" s="178">
        <v>0</v>
      </c>
      <c r="T95" s="80">
        <f t="shared" si="32"/>
        <v>0</v>
      </c>
      <c r="U95" s="178">
        <v>0</v>
      </c>
      <c r="V95" s="80">
        <f t="shared" si="33"/>
        <v>0</v>
      </c>
      <c r="X95" s="192"/>
    </row>
    <row r="96" spans="1:24" ht="12.75" customHeight="1">
      <c r="A96" s="2" t="s">
        <v>440</v>
      </c>
      <c r="B96" s="35"/>
      <c r="C96" s="178">
        <v>0</v>
      </c>
      <c r="D96" s="80">
        <f t="shared" si="24"/>
        <v>0</v>
      </c>
      <c r="E96" s="178">
        <v>0</v>
      </c>
      <c r="F96" s="80">
        <f t="shared" si="25"/>
        <v>0</v>
      </c>
      <c r="G96" s="178">
        <v>0</v>
      </c>
      <c r="H96" s="80">
        <f t="shared" si="26"/>
        <v>0</v>
      </c>
      <c r="I96" s="178">
        <v>0</v>
      </c>
      <c r="J96" s="80">
        <f t="shared" si="27"/>
        <v>0</v>
      </c>
      <c r="K96" s="178">
        <v>0</v>
      </c>
      <c r="L96" s="80">
        <f t="shared" si="28"/>
        <v>0</v>
      </c>
      <c r="M96" s="178">
        <v>0</v>
      </c>
      <c r="N96" s="80">
        <f t="shared" si="29"/>
        <v>0</v>
      </c>
      <c r="O96" s="178">
        <v>0</v>
      </c>
      <c r="P96" s="80">
        <f t="shared" si="30"/>
        <v>0</v>
      </c>
      <c r="Q96" s="178">
        <v>0</v>
      </c>
      <c r="R96" s="80">
        <f t="shared" si="31"/>
        <v>0</v>
      </c>
      <c r="S96" s="178">
        <v>0</v>
      </c>
      <c r="T96" s="80">
        <f t="shared" si="32"/>
        <v>0</v>
      </c>
      <c r="U96" s="178">
        <v>0</v>
      </c>
      <c r="V96" s="80">
        <f t="shared" si="33"/>
        <v>0</v>
      </c>
      <c r="X96" s="192"/>
    </row>
    <row r="97" spans="1:24" ht="12.75" customHeight="1">
      <c r="A97" s="2" t="s">
        <v>441</v>
      </c>
      <c r="B97" s="35"/>
      <c r="C97" s="178">
        <v>4408.5587999999998</v>
      </c>
      <c r="D97" s="80">
        <f t="shared" si="24"/>
        <v>1.728846588235294E-2</v>
      </c>
      <c r="E97" s="178">
        <v>4902.3173856000003</v>
      </c>
      <c r="F97" s="80">
        <f t="shared" si="25"/>
        <v>1.3431006535890412E-2</v>
      </c>
      <c r="G97" s="178">
        <v>5073.8984940959999</v>
      </c>
      <c r="H97" s="80">
        <f t="shared" si="26"/>
        <v>1.3352364458147368E-2</v>
      </c>
      <c r="I97" s="178">
        <v>5236.2632459070728</v>
      </c>
      <c r="J97" s="80">
        <f t="shared" si="27"/>
        <v>1.3256362647866006E-2</v>
      </c>
      <c r="K97" s="178">
        <v>5367.1698270547495</v>
      </c>
      <c r="L97" s="80">
        <f t="shared" si="28"/>
        <v>1.3187149452222971E-2</v>
      </c>
      <c r="M97" s="178">
        <v>5501.3490727311182</v>
      </c>
      <c r="N97" s="80">
        <f t="shared" si="29"/>
        <v>1.3129711390766392E-2</v>
      </c>
      <c r="O97" s="178">
        <v>5638.8827995493957</v>
      </c>
      <c r="P97" s="80">
        <f t="shared" si="30"/>
        <v>1.3052969443401379E-2</v>
      </c>
      <c r="Q97" s="178">
        <v>5779.8548695381296</v>
      </c>
      <c r="R97" s="80">
        <f t="shared" si="31"/>
        <v>1.2988437909074448E-2</v>
      </c>
      <c r="S97" s="178">
        <v>5924.3512412765822</v>
      </c>
      <c r="T97" s="80">
        <f t="shared" si="32"/>
        <v>1.2935264718944503E-2</v>
      </c>
      <c r="U97" s="178">
        <v>6072.4600223084972</v>
      </c>
      <c r="V97" s="80">
        <f t="shared" si="33"/>
        <v>1.2865381403195968E-2</v>
      </c>
      <c r="X97" s="192"/>
    </row>
    <row r="98" spans="1:24" ht="12.75" customHeight="1">
      <c r="A98" s="117" t="s">
        <v>444</v>
      </c>
      <c r="B98" s="35"/>
      <c r="C98" s="178">
        <v>306</v>
      </c>
      <c r="D98" s="80">
        <f t="shared" si="24"/>
        <v>1.1999999999999999E-3</v>
      </c>
      <c r="E98" s="178">
        <v>437.99999999999994</v>
      </c>
      <c r="F98" s="80">
        <f t="shared" si="25"/>
        <v>1.1999999999999999E-3</v>
      </c>
      <c r="G98" s="178">
        <v>456</v>
      </c>
      <c r="H98" s="80">
        <f t="shared" si="26"/>
        <v>1.1999999999999999E-3</v>
      </c>
      <c r="I98" s="178">
        <v>473.99999999999994</v>
      </c>
      <c r="J98" s="80">
        <f t="shared" si="27"/>
        <v>1.1999999999999999E-3</v>
      </c>
      <c r="K98" s="178">
        <v>488.4</v>
      </c>
      <c r="L98" s="80">
        <f t="shared" si="28"/>
        <v>1.1999999999999999E-3</v>
      </c>
      <c r="M98" s="178">
        <v>502.79999999999995</v>
      </c>
      <c r="N98" s="80">
        <f t="shared" si="29"/>
        <v>1.1999999999999999E-3</v>
      </c>
      <c r="O98" s="178">
        <v>518.4</v>
      </c>
      <c r="P98" s="80">
        <f t="shared" si="30"/>
        <v>1.1999999999999999E-3</v>
      </c>
      <c r="Q98" s="178">
        <v>533.99999999999989</v>
      </c>
      <c r="R98" s="80">
        <f t="shared" si="31"/>
        <v>1.1999999999999997E-3</v>
      </c>
      <c r="S98" s="178">
        <v>549.59999999999991</v>
      </c>
      <c r="T98" s="80">
        <f t="shared" si="32"/>
        <v>1.1999999999999999E-3</v>
      </c>
      <c r="U98" s="178">
        <v>566.4</v>
      </c>
      <c r="V98" s="80">
        <f t="shared" si="33"/>
        <v>1.1999999999999999E-3</v>
      </c>
      <c r="X98" s="192"/>
    </row>
    <row r="99" spans="1:24" ht="12.75" customHeight="1">
      <c r="A99" s="117" t="s">
        <v>444</v>
      </c>
      <c r="B99" s="35"/>
      <c r="C99" s="178">
        <v>0</v>
      </c>
      <c r="D99" s="80">
        <f t="shared" si="24"/>
        <v>0</v>
      </c>
      <c r="E99" s="178">
        <v>0</v>
      </c>
      <c r="F99" s="80">
        <f t="shared" si="25"/>
        <v>0</v>
      </c>
      <c r="G99" s="178">
        <v>0</v>
      </c>
      <c r="H99" s="80">
        <f t="shared" si="26"/>
        <v>0</v>
      </c>
      <c r="I99" s="178">
        <v>0</v>
      </c>
      <c r="J99" s="80">
        <f t="shared" si="27"/>
        <v>0</v>
      </c>
      <c r="K99" s="178">
        <v>0</v>
      </c>
      <c r="L99" s="80">
        <f t="shared" si="28"/>
        <v>0</v>
      </c>
      <c r="M99" s="178">
        <v>0</v>
      </c>
      <c r="N99" s="80">
        <f t="shared" si="29"/>
        <v>0</v>
      </c>
      <c r="O99" s="178">
        <v>0</v>
      </c>
      <c r="P99" s="80">
        <f t="shared" si="30"/>
        <v>0</v>
      </c>
      <c r="Q99" s="178">
        <v>0</v>
      </c>
      <c r="R99" s="80">
        <f t="shared" si="31"/>
        <v>0</v>
      </c>
      <c r="S99" s="178">
        <v>0</v>
      </c>
      <c r="T99" s="80">
        <f t="shared" si="32"/>
        <v>0</v>
      </c>
      <c r="U99" s="178">
        <v>0</v>
      </c>
      <c r="V99" s="80">
        <f t="shared" si="33"/>
        <v>0</v>
      </c>
      <c r="X99" s="192"/>
    </row>
    <row r="100" spans="1:24" ht="12.75" customHeight="1">
      <c r="A100" s="117" t="s">
        <v>444</v>
      </c>
      <c r="B100" s="35"/>
      <c r="C100" s="178">
        <v>0</v>
      </c>
      <c r="D100" s="80">
        <f t="shared" si="24"/>
        <v>0</v>
      </c>
      <c r="E100" s="178">
        <v>0</v>
      </c>
      <c r="F100" s="80">
        <f t="shared" si="25"/>
        <v>0</v>
      </c>
      <c r="G100" s="178">
        <v>0</v>
      </c>
      <c r="H100" s="80">
        <f t="shared" si="26"/>
        <v>0</v>
      </c>
      <c r="I100" s="178">
        <v>0</v>
      </c>
      <c r="J100" s="80">
        <f t="shared" si="27"/>
        <v>0</v>
      </c>
      <c r="K100" s="178">
        <v>0</v>
      </c>
      <c r="L100" s="80">
        <f t="shared" si="28"/>
        <v>0</v>
      </c>
      <c r="M100" s="178">
        <v>0</v>
      </c>
      <c r="N100" s="80">
        <f t="shared" si="29"/>
        <v>0</v>
      </c>
      <c r="O100" s="178">
        <v>0</v>
      </c>
      <c r="P100" s="80">
        <f t="shared" si="30"/>
        <v>0</v>
      </c>
      <c r="Q100" s="178">
        <v>0</v>
      </c>
      <c r="R100" s="80">
        <f t="shared" si="31"/>
        <v>0</v>
      </c>
      <c r="S100" s="178">
        <v>0</v>
      </c>
      <c r="T100" s="80">
        <f t="shared" si="32"/>
        <v>0</v>
      </c>
      <c r="U100" s="178">
        <v>0</v>
      </c>
      <c r="V100" s="80">
        <f t="shared" si="33"/>
        <v>0</v>
      </c>
      <c r="X100" s="192"/>
    </row>
    <row r="101" spans="1:24" ht="12.75" customHeight="1">
      <c r="A101" s="2" t="s">
        <v>445</v>
      </c>
      <c r="B101" s="35"/>
      <c r="C101" s="178"/>
      <c r="D101" s="80">
        <f t="shared" si="24"/>
        <v>0</v>
      </c>
      <c r="E101" s="178"/>
      <c r="F101" s="80">
        <f t="shared" si="25"/>
        <v>0</v>
      </c>
      <c r="G101" s="178"/>
      <c r="H101" s="80">
        <f t="shared" si="26"/>
        <v>0</v>
      </c>
      <c r="I101" s="178">
        <v>0</v>
      </c>
      <c r="J101" s="80">
        <f t="shared" si="27"/>
        <v>0</v>
      </c>
      <c r="K101" s="178">
        <v>0</v>
      </c>
      <c r="L101" s="80">
        <f t="shared" si="28"/>
        <v>0</v>
      </c>
      <c r="M101" s="178">
        <v>0</v>
      </c>
      <c r="N101" s="80">
        <f t="shared" si="29"/>
        <v>0</v>
      </c>
      <c r="O101" s="178">
        <v>0</v>
      </c>
      <c r="P101" s="80">
        <f t="shared" si="30"/>
        <v>0</v>
      </c>
      <c r="Q101" s="178">
        <v>0</v>
      </c>
      <c r="R101" s="80">
        <f t="shared" si="31"/>
        <v>0</v>
      </c>
      <c r="S101" s="178">
        <v>0</v>
      </c>
      <c r="T101" s="80">
        <f t="shared" si="32"/>
        <v>0</v>
      </c>
      <c r="U101" s="178">
        <v>0</v>
      </c>
      <c r="V101" s="80">
        <f t="shared" si="33"/>
        <v>0</v>
      </c>
      <c r="X101" s="192"/>
    </row>
    <row r="102" spans="1:24" ht="12.75" customHeight="1">
      <c r="A102" s="117" t="s">
        <v>446</v>
      </c>
      <c r="B102" s="35"/>
      <c r="C102" s="178">
        <v>2550</v>
      </c>
      <c r="D102" s="80">
        <f t="shared" si="24"/>
        <v>0.01</v>
      </c>
      <c r="E102" s="178">
        <v>3650</v>
      </c>
      <c r="F102" s="80">
        <f t="shared" si="25"/>
        <v>0.01</v>
      </c>
      <c r="G102" s="178">
        <v>3800.0000000000005</v>
      </c>
      <c r="H102" s="80">
        <f t="shared" si="26"/>
        <v>1.0000000000000002E-2</v>
      </c>
      <c r="I102" s="178">
        <v>3950.0000000000005</v>
      </c>
      <c r="J102" s="80">
        <f t="shared" si="27"/>
        <v>1.0000000000000002E-2</v>
      </c>
      <c r="K102" s="178">
        <v>4070</v>
      </c>
      <c r="L102" s="80">
        <f t="shared" si="28"/>
        <v>0.01</v>
      </c>
      <c r="M102" s="178">
        <v>4190</v>
      </c>
      <c r="N102" s="80">
        <f t="shared" si="29"/>
        <v>0.01</v>
      </c>
      <c r="O102" s="178">
        <v>4320</v>
      </c>
      <c r="P102" s="80">
        <f t="shared" si="30"/>
        <v>0.01</v>
      </c>
      <c r="Q102" s="178">
        <v>4450</v>
      </c>
      <c r="R102" s="80">
        <f t="shared" si="31"/>
        <v>0.01</v>
      </c>
      <c r="S102" s="178">
        <v>4580</v>
      </c>
      <c r="T102" s="80">
        <f t="shared" si="32"/>
        <v>0.01</v>
      </c>
      <c r="U102" s="178">
        <v>4720</v>
      </c>
      <c r="V102" s="80">
        <f t="shared" si="33"/>
        <v>0.01</v>
      </c>
      <c r="X102" s="192"/>
    </row>
    <row r="103" spans="1:24" ht="12.75" customHeight="1">
      <c r="A103" s="117" t="s">
        <v>446</v>
      </c>
      <c r="B103" s="35"/>
      <c r="C103" s="178">
        <v>0</v>
      </c>
      <c r="D103" s="80">
        <f t="shared" si="24"/>
        <v>0</v>
      </c>
      <c r="E103" s="178">
        <v>0</v>
      </c>
      <c r="F103" s="80">
        <f t="shared" si="25"/>
        <v>0</v>
      </c>
      <c r="G103" s="178">
        <v>0</v>
      </c>
      <c r="H103" s="80">
        <f t="shared" si="26"/>
        <v>0</v>
      </c>
      <c r="I103" s="178">
        <v>0</v>
      </c>
      <c r="J103" s="80">
        <f t="shared" si="27"/>
        <v>0</v>
      </c>
      <c r="K103" s="178">
        <v>0</v>
      </c>
      <c r="L103" s="80">
        <f t="shared" si="28"/>
        <v>0</v>
      </c>
      <c r="M103" s="178">
        <v>0</v>
      </c>
      <c r="N103" s="80">
        <f t="shared" si="29"/>
        <v>0</v>
      </c>
      <c r="O103" s="178">
        <v>0</v>
      </c>
      <c r="P103" s="80">
        <f t="shared" si="30"/>
        <v>0</v>
      </c>
      <c r="Q103" s="178">
        <v>0</v>
      </c>
      <c r="R103" s="80">
        <f t="shared" si="31"/>
        <v>0</v>
      </c>
      <c r="S103" s="178">
        <v>0</v>
      </c>
      <c r="T103" s="80">
        <f t="shared" si="32"/>
        <v>0</v>
      </c>
      <c r="U103" s="178">
        <v>0</v>
      </c>
      <c r="V103" s="80">
        <f t="shared" si="33"/>
        <v>0</v>
      </c>
      <c r="X103" s="192"/>
    </row>
    <row r="104" spans="1:24" ht="12.75" customHeight="1">
      <c r="A104" s="117" t="s">
        <v>446</v>
      </c>
      <c r="B104" s="1"/>
      <c r="C104" s="178">
        <v>0</v>
      </c>
      <c r="D104" s="80">
        <f t="shared" si="24"/>
        <v>0</v>
      </c>
      <c r="E104" s="178">
        <v>0</v>
      </c>
      <c r="F104" s="80">
        <f t="shared" si="25"/>
        <v>0</v>
      </c>
      <c r="G104" s="178">
        <v>0</v>
      </c>
      <c r="H104" s="80">
        <f t="shared" si="26"/>
        <v>0</v>
      </c>
      <c r="I104" s="178">
        <v>0</v>
      </c>
      <c r="J104" s="80">
        <f t="shared" si="27"/>
        <v>0</v>
      </c>
      <c r="K104" s="178">
        <v>0</v>
      </c>
      <c r="L104" s="80">
        <f t="shared" si="28"/>
        <v>0</v>
      </c>
      <c r="M104" s="178">
        <v>0</v>
      </c>
      <c r="N104" s="80">
        <f t="shared" si="29"/>
        <v>0</v>
      </c>
      <c r="O104" s="178">
        <v>0</v>
      </c>
      <c r="P104" s="80">
        <f t="shared" si="30"/>
        <v>0</v>
      </c>
      <c r="Q104" s="178">
        <v>0</v>
      </c>
      <c r="R104" s="80">
        <f t="shared" si="31"/>
        <v>0</v>
      </c>
      <c r="S104" s="178">
        <v>0</v>
      </c>
      <c r="T104" s="80">
        <f t="shared" si="32"/>
        <v>0</v>
      </c>
      <c r="U104" s="178">
        <v>0</v>
      </c>
      <c r="V104" s="80">
        <f t="shared" si="33"/>
        <v>0</v>
      </c>
      <c r="X104" s="192"/>
    </row>
    <row r="105" spans="1:24" ht="12.75" customHeight="1">
      <c r="A105" s="1" t="s">
        <v>447</v>
      </c>
      <c r="B105" s="53"/>
      <c r="C105" s="82">
        <f>SUM(C52:C104)</f>
        <v>53413.357160125772</v>
      </c>
      <c r="D105" s="83">
        <f t="shared" ref="D105" si="34">IFERROR(C105/C$28,0)</f>
        <v>0.20946414572598343</v>
      </c>
      <c r="E105" s="82">
        <f>SUM(E52:E104)</f>
        <v>75111.998611023446</v>
      </c>
      <c r="F105" s="83">
        <f t="shared" ref="F105" si="35">IFERROR(E105/E$28,0)</f>
        <v>0.2057862975644478</v>
      </c>
      <c r="G105" s="82">
        <f>SUM(G52:G104)</f>
        <v>78119.252673247014</v>
      </c>
      <c r="H105" s="83">
        <f t="shared" ref="H105" si="36">IFERROR(G105/G$28,0)</f>
        <v>0.2055769807190711</v>
      </c>
      <c r="I105" s="82">
        <f>SUM(I52:I104)</f>
        <v>81177.375598714469</v>
      </c>
      <c r="J105" s="83">
        <f t="shared" ref="J105" si="37">IFERROR(I105/I$28,0)</f>
        <v>0.20551234328788473</v>
      </c>
      <c r="K105" s="82">
        <f>SUM(K52:K104)</f>
        <v>83599.99309042556</v>
      </c>
      <c r="L105" s="83">
        <f t="shared" ref="L105" si="38">IFERROR(K105/K$28,0)</f>
        <v>0.20540538842856404</v>
      </c>
      <c r="M105" s="82">
        <f>SUM(M52:M104)</f>
        <v>86049.415009817079</v>
      </c>
      <c r="N105" s="83">
        <f t="shared" ref="N105" si="39">IFERROR(M105/M$28,0)</f>
        <v>0.2053685322430002</v>
      </c>
      <c r="O105" s="82">
        <f>SUM(O52:O104)</f>
        <v>88696.944574224501</v>
      </c>
      <c r="P105" s="83">
        <f t="shared" ref="P105" si="40">IFERROR(O105/O$28,0)</f>
        <v>0.20531700132922337</v>
      </c>
      <c r="Q105" s="82">
        <f>SUM(Q52:Q104)</f>
        <v>91353.363690212529</v>
      </c>
      <c r="R105" s="83">
        <f t="shared" ref="R105" si="41">IFERROR(Q105/Q$28,0)</f>
        <v>0.20528845773081467</v>
      </c>
      <c r="S105" s="82">
        <f>SUM(S52:S104)</f>
        <v>94013.840244741092</v>
      </c>
      <c r="T105" s="83">
        <f t="shared" ref="T105" si="42">IFERROR(S105/S$28,0)</f>
        <v>0.20527039354746962</v>
      </c>
      <c r="U105" s="82">
        <f>SUM(U52:U104)</f>
        <v>96872.348821796346</v>
      </c>
      <c r="V105" s="83">
        <f t="shared" si="33"/>
        <v>0.20523802716482276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448</v>
      </c>
      <c r="B107" s="53"/>
      <c r="C107" s="82">
        <f>C28-C33-C46-C105</f>
        <v>2346.1548398742307</v>
      </c>
      <c r="D107" s="83">
        <f>IFERROR(C107/C$28,0)</f>
        <v>9.2006072151930608E-3</v>
      </c>
      <c r="E107" s="82">
        <f>E28-E33-E46-E105</f>
        <v>43411.93873297653</v>
      </c>
      <c r="F107" s="83">
        <f>IFERROR(E107/E$28,0)</f>
        <v>0.11893681844651104</v>
      </c>
      <c r="G107" s="82">
        <f>G28-G33-G46-G105</f>
        <v>46097.172477792978</v>
      </c>
      <c r="H107" s="83">
        <f>IFERROR(G107/G$28,0)</f>
        <v>0.12130834862577099</v>
      </c>
      <c r="I107" s="82">
        <f>I28-I33-I46-I105</f>
        <v>48984.935157158805</v>
      </c>
      <c r="J107" s="83">
        <f>IFERROR(I107/I$28,0)</f>
        <v>0.12401249406875647</v>
      </c>
      <c r="K107" s="82">
        <f>K28-K33-K46-K105</f>
        <v>51291.125434344518</v>
      </c>
      <c r="L107" s="83">
        <f>IFERROR(K107/K$28,0)</f>
        <v>0.12602242121460569</v>
      </c>
      <c r="M107" s="82">
        <f>M28-M33-M46-M105</f>
        <v>53480.531478072284</v>
      </c>
      <c r="N107" s="83">
        <f>IFERROR(M107/M$28,0)</f>
        <v>0.12763849994766654</v>
      </c>
      <c r="O107" s="82">
        <f>O28-O33-O46-O105</f>
        <v>56073.600575862103</v>
      </c>
      <c r="P107" s="83">
        <f>IFERROR(O107/O$28,0)</f>
        <v>0.12980000133301411</v>
      </c>
      <c r="Q107" s="82">
        <f>Q28-Q33-Q46-Q105</f>
        <v>58563.245088626238</v>
      </c>
      <c r="R107" s="83">
        <f>IFERROR(Q107/Q$28,0)</f>
        <v>0.13160279795196908</v>
      </c>
      <c r="S107" s="82">
        <f>S28-S33-S46-S105</f>
        <v>60951.933753568679</v>
      </c>
      <c r="T107" s="83">
        <f>IFERROR(S107/S$28,0)</f>
        <v>0.13308282478945127</v>
      </c>
      <c r="U107" s="82">
        <f>U28-U33-U46-U105</f>
        <v>63737.269526471166</v>
      </c>
      <c r="V107" s="83">
        <f>IFERROR(U107/U$28,0)</f>
        <v>0.1350365879798118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449</v>
      </c>
      <c r="B110" s="40"/>
      <c r="C110" s="86" t="str">
        <f>C50</f>
        <v>FY 2018-19</v>
      </c>
      <c r="D110" s="86" t="s">
        <v>366</v>
      </c>
      <c r="E110" s="86" t="str">
        <f>E50</f>
        <v>FY 2019-20</v>
      </c>
      <c r="F110" s="86" t="s">
        <v>366</v>
      </c>
      <c r="G110" s="86" t="str">
        <f>G50</f>
        <v>FY 2020-21</v>
      </c>
      <c r="H110" s="86" t="s">
        <v>366</v>
      </c>
      <c r="I110" s="86" t="str">
        <f>I50</f>
        <v>FY 2021-22</v>
      </c>
      <c r="J110" s="86" t="s">
        <v>366</v>
      </c>
      <c r="K110" s="86" t="str">
        <f>K50</f>
        <v>FY 2022-23</v>
      </c>
      <c r="L110" s="86" t="s">
        <v>366</v>
      </c>
      <c r="M110" s="86" t="str">
        <f>M50</f>
        <v>FY 2023-24</v>
      </c>
      <c r="N110" s="86" t="s">
        <v>366</v>
      </c>
      <c r="O110" s="86" t="str">
        <f>O50</f>
        <v>FY 2024-25</v>
      </c>
      <c r="P110" s="86" t="s">
        <v>366</v>
      </c>
      <c r="Q110" s="86" t="str">
        <f>Q50</f>
        <v>FY 2025-26</v>
      </c>
      <c r="R110" s="86" t="s">
        <v>366</v>
      </c>
      <c r="S110" s="86" t="str">
        <f>S50</f>
        <v>FY 2026-27</v>
      </c>
      <c r="T110" s="86" t="s">
        <v>366</v>
      </c>
      <c r="U110" s="86" t="str">
        <f>U50</f>
        <v>FY 2027-28</v>
      </c>
      <c r="V110" s="86" t="s">
        <v>366</v>
      </c>
    </row>
    <row r="111" spans="1:24" ht="12.75" customHeight="1">
      <c r="A111" s="2" t="s">
        <v>403</v>
      </c>
      <c r="B111" s="35"/>
      <c r="C111" s="79">
        <f>C59</f>
        <v>0</v>
      </c>
      <c r="D111" s="80">
        <f t="shared" ref="D111:D116" si="43">IFERROR(C111/C$28,0)</f>
        <v>0</v>
      </c>
      <c r="E111" s="79">
        <f>E59</f>
        <v>0</v>
      </c>
      <c r="F111" s="80">
        <f t="shared" ref="F111:F116" si="44">IFERROR(E111/E$28,0)</f>
        <v>0</v>
      </c>
      <c r="G111" s="79">
        <f>G59</f>
        <v>0</v>
      </c>
      <c r="H111" s="80">
        <f t="shared" ref="H111:H116" si="45">IFERROR(G111/G$28,0)</f>
        <v>0</v>
      </c>
      <c r="I111" s="79">
        <f>I59</f>
        <v>0</v>
      </c>
      <c r="J111" s="80">
        <f t="shared" ref="J111:J116" si="46">IFERROR(I111/I$28,0)</f>
        <v>0</v>
      </c>
      <c r="K111" s="79">
        <f>K59</f>
        <v>0</v>
      </c>
      <c r="L111" s="80">
        <f t="shared" ref="L111:L116" si="47">IFERROR(K111/K$28,0)</f>
        <v>0</v>
      </c>
      <c r="M111" s="79">
        <f>M59</f>
        <v>0</v>
      </c>
      <c r="N111" s="80">
        <f t="shared" ref="N111:N116" si="48">IFERROR(M111/M$28,0)</f>
        <v>0</v>
      </c>
      <c r="O111" s="79">
        <f>O59</f>
        <v>0</v>
      </c>
      <c r="P111" s="80">
        <f t="shared" ref="P111:P116" si="49">IFERROR(O111/O$28,0)</f>
        <v>0</v>
      </c>
      <c r="Q111" s="79">
        <f>Q59</f>
        <v>0</v>
      </c>
      <c r="R111" s="80">
        <f t="shared" ref="R111:R116" si="50">IFERROR(Q111/Q$28,0)</f>
        <v>0</v>
      </c>
      <c r="S111" s="79">
        <f>S59</f>
        <v>0</v>
      </c>
      <c r="T111" s="80">
        <f t="shared" ref="T111:T116" si="51">IFERROR(S111/S$28,0)</f>
        <v>0</v>
      </c>
      <c r="U111" s="79">
        <f>U59</f>
        <v>0</v>
      </c>
      <c r="V111" s="80">
        <f t="shared" ref="V111:V116" si="52">IFERROR(U111/U$28,0)</f>
        <v>0</v>
      </c>
    </row>
    <row r="112" spans="1:24" ht="12.75" customHeight="1">
      <c r="A112" s="2" t="s">
        <v>450</v>
      </c>
      <c r="B112" s="35"/>
      <c r="C112" s="79">
        <f>C62</f>
        <v>0</v>
      </c>
      <c r="D112" s="80">
        <f t="shared" si="43"/>
        <v>0</v>
      </c>
      <c r="E112" s="79">
        <f>E62</f>
        <v>0</v>
      </c>
      <c r="F112" s="80">
        <f t="shared" si="44"/>
        <v>0</v>
      </c>
      <c r="G112" s="79">
        <f>G62</f>
        <v>0</v>
      </c>
      <c r="H112" s="80">
        <f t="shared" si="45"/>
        <v>0</v>
      </c>
      <c r="I112" s="79">
        <f>I62</f>
        <v>0</v>
      </c>
      <c r="J112" s="80">
        <f t="shared" si="46"/>
        <v>0</v>
      </c>
      <c r="K112" s="79">
        <f>K62</f>
        <v>0</v>
      </c>
      <c r="L112" s="80">
        <f t="shared" si="47"/>
        <v>0</v>
      </c>
      <c r="M112" s="79">
        <f>M62</f>
        <v>0</v>
      </c>
      <c r="N112" s="80">
        <f t="shared" si="48"/>
        <v>0</v>
      </c>
      <c r="O112" s="79">
        <f>O62</f>
        <v>0</v>
      </c>
      <c r="P112" s="80">
        <f t="shared" si="49"/>
        <v>0</v>
      </c>
      <c r="Q112" s="79">
        <f>Q62</f>
        <v>0</v>
      </c>
      <c r="R112" s="80">
        <f t="shared" si="50"/>
        <v>0</v>
      </c>
      <c r="S112" s="79">
        <f>S62</f>
        <v>0</v>
      </c>
      <c r="T112" s="80">
        <f t="shared" si="51"/>
        <v>0</v>
      </c>
      <c r="U112" s="79">
        <f>U62</f>
        <v>0</v>
      </c>
      <c r="V112" s="80">
        <f t="shared" si="52"/>
        <v>0</v>
      </c>
    </row>
    <row r="113" spans="1:22" ht="12.75" customHeight="1">
      <c r="A113" s="117" t="s">
        <v>446</v>
      </c>
      <c r="B113" s="41"/>
      <c r="C113" s="111">
        <v>0</v>
      </c>
      <c r="D113" s="80">
        <f t="shared" si="43"/>
        <v>0</v>
      </c>
      <c r="E113" s="111">
        <v>0</v>
      </c>
      <c r="F113" s="80">
        <f t="shared" si="44"/>
        <v>0</v>
      </c>
      <c r="G113" s="111">
        <v>0</v>
      </c>
      <c r="H113" s="80">
        <f t="shared" si="45"/>
        <v>0</v>
      </c>
      <c r="I113" s="111">
        <v>0</v>
      </c>
      <c r="J113" s="80">
        <f t="shared" si="46"/>
        <v>0</v>
      </c>
      <c r="K113" s="111">
        <v>0</v>
      </c>
      <c r="L113" s="80">
        <f t="shared" si="47"/>
        <v>0</v>
      </c>
      <c r="M113" s="111">
        <v>0</v>
      </c>
      <c r="N113" s="80">
        <f t="shared" si="48"/>
        <v>0</v>
      </c>
      <c r="O113" s="111">
        <v>0</v>
      </c>
      <c r="P113" s="80">
        <f t="shared" si="49"/>
        <v>0</v>
      </c>
      <c r="Q113" s="111">
        <v>0</v>
      </c>
      <c r="R113" s="80">
        <f t="shared" si="50"/>
        <v>0</v>
      </c>
      <c r="S113" s="111">
        <v>0</v>
      </c>
      <c r="T113" s="80">
        <f t="shared" si="51"/>
        <v>0</v>
      </c>
      <c r="U113" s="111">
        <v>0</v>
      </c>
      <c r="V113" s="80">
        <f t="shared" si="52"/>
        <v>0</v>
      </c>
    </row>
    <row r="114" spans="1:22" ht="12.75" customHeight="1">
      <c r="A114" s="117" t="s">
        <v>446</v>
      </c>
      <c r="B114" s="41"/>
      <c r="C114" s="111">
        <v>0</v>
      </c>
      <c r="D114" s="80">
        <f t="shared" si="43"/>
        <v>0</v>
      </c>
      <c r="E114" s="111">
        <v>0</v>
      </c>
      <c r="F114" s="80">
        <f t="shared" si="44"/>
        <v>0</v>
      </c>
      <c r="G114" s="111">
        <v>0</v>
      </c>
      <c r="H114" s="80">
        <f t="shared" si="45"/>
        <v>0</v>
      </c>
      <c r="I114" s="111">
        <v>0</v>
      </c>
      <c r="J114" s="80">
        <f t="shared" si="46"/>
        <v>0</v>
      </c>
      <c r="K114" s="111">
        <v>0</v>
      </c>
      <c r="L114" s="80">
        <f t="shared" si="47"/>
        <v>0</v>
      </c>
      <c r="M114" s="111">
        <v>0</v>
      </c>
      <c r="N114" s="80">
        <f t="shared" si="48"/>
        <v>0</v>
      </c>
      <c r="O114" s="111">
        <v>0</v>
      </c>
      <c r="P114" s="80">
        <f t="shared" si="49"/>
        <v>0</v>
      </c>
      <c r="Q114" s="111">
        <v>0</v>
      </c>
      <c r="R114" s="80">
        <f t="shared" si="50"/>
        <v>0</v>
      </c>
      <c r="S114" s="111">
        <v>0</v>
      </c>
      <c r="T114" s="80">
        <f t="shared" si="51"/>
        <v>0</v>
      </c>
      <c r="U114" s="111">
        <v>0</v>
      </c>
      <c r="V114" s="80">
        <f t="shared" si="52"/>
        <v>0</v>
      </c>
    </row>
    <row r="115" spans="1:22" ht="12.75" customHeight="1">
      <c r="A115" s="117" t="s">
        <v>446</v>
      </c>
      <c r="B115" s="41"/>
      <c r="C115" s="112">
        <v>0</v>
      </c>
      <c r="D115" s="80">
        <f t="shared" si="43"/>
        <v>0</v>
      </c>
      <c r="E115" s="112">
        <v>0</v>
      </c>
      <c r="F115" s="80">
        <f t="shared" si="44"/>
        <v>0</v>
      </c>
      <c r="G115" s="112">
        <v>0</v>
      </c>
      <c r="H115" s="80">
        <f t="shared" si="45"/>
        <v>0</v>
      </c>
      <c r="I115" s="112">
        <v>0</v>
      </c>
      <c r="J115" s="80">
        <f t="shared" si="46"/>
        <v>0</v>
      </c>
      <c r="K115" s="112">
        <v>0</v>
      </c>
      <c r="L115" s="80">
        <f t="shared" si="47"/>
        <v>0</v>
      </c>
      <c r="M115" s="112">
        <v>0</v>
      </c>
      <c r="N115" s="80">
        <f t="shared" si="48"/>
        <v>0</v>
      </c>
      <c r="O115" s="112">
        <v>0</v>
      </c>
      <c r="P115" s="80">
        <f t="shared" si="49"/>
        <v>0</v>
      </c>
      <c r="Q115" s="112">
        <v>0</v>
      </c>
      <c r="R115" s="80">
        <f t="shared" si="50"/>
        <v>0</v>
      </c>
      <c r="S115" s="112">
        <v>0</v>
      </c>
      <c r="T115" s="80">
        <f t="shared" si="51"/>
        <v>0</v>
      </c>
      <c r="U115" s="112">
        <v>0</v>
      </c>
      <c r="V115" s="80">
        <f t="shared" si="52"/>
        <v>0</v>
      </c>
    </row>
    <row r="116" spans="1:22" ht="12.75" customHeight="1">
      <c r="A116" s="40" t="s">
        <v>451</v>
      </c>
      <c r="B116" s="42"/>
      <c r="C116" s="85">
        <f>SUM(C111:C115)</f>
        <v>0</v>
      </c>
      <c r="D116" s="83">
        <f t="shared" si="43"/>
        <v>0</v>
      </c>
      <c r="E116" s="85">
        <f>SUM(E111:E115)</f>
        <v>0</v>
      </c>
      <c r="F116" s="83">
        <f t="shared" si="44"/>
        <v>0</v>
      </c>
      <c r="G116" s="85">
        <f>SUM(G111:G115)</f>
        <v>0</v>
      </c>
      <c r="H116" s="83">
        <f t="shared" si="45"/>
        <v>0</v>
      </c>
      <c r="I116" s="85">
        <f>SUM(I111:I115)</f>
        <v>0</v>
      </c>
      <c r="J116" s="83">
        <f t="shared" si="46"/>
        <v>0</v>
      </c>
      <c r="K116" s="85">
        <f>SUM(K111:K115)</f>
        <v>0</v>
      </c>
      <c r="L116" s="83">
        <f t="shared" si="47"/>
        <v>0</v>
      </c>
      <c r="M116" s="85">
        <f>SUM(M111:M115)</f>
        <v>0</v>
      </c>
      <c r="N116" s="83">
        <f t="shared" si="48"/>
        <v>0</v>
      </c>
      <c r="O116" s="85">
        <f>SUM(O111:O115)</f>
        <v>0</v>
      </c>
      <c r="P116" s="83">
        <f t="shared" si="49"/>
        <v>0</v>
      </c>
      <c r="Q116" s="85">
        <f>SUM(Q111:Q115)</f>
        <v>0</v>
      </c>
      <c r="R116" s="83">
        <f t="shared" si="50"/>
        <v>0</v>
      </c>
      <c r="S116" s="85">
        <f>SUM(S111:S115)</f>
        <v>0</v>
      </c>
      <c r="T116" s="83">
        <f t="shared" si="51"/>
        <v>0</v>
      </c>
      <c r="U116" s="85">
        <f>SUM(U111:U115)</f>
        <v>0</v>
      </c>
      <c r="V116" s="83">
        <f t="shared" si="52"/>
        <v>0</v>
      </c>
    </row>
    <row r="118" spans="1:22" ht="12.75" customHeight="1">
      <c r="A118" s="43" t="s">
        <v>452</v>
      </c>
      <c r="B118" s="43"/>
    </row>
    <row r="119" spans="1:22" ht="12.75" customHeight="1">
      <c r="A119" s="47" t="s">
        <v>510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0.59999389629810485"/>
  </sheetPr>
  <dimension ref="A1:X119"/>
  <sheetViews>
    <sheetView topLeftCell="A9" zoomScale="70" zoomScaleNormal="70" workbookViewId="0" xr3:uid="{62F1EA49-F163-5359-9764-B7CD00A4F86E}">
      <selection activeCell="W59" sqref="W59"/>
    </sheetView>
  </sheetViews>
  <sheetFormatPr defaultColWidth="9.140625" defaultRowHeight="12.75" customHeight="1"/>
  <cols>
    <col min="1" max="1" width="9.5703125" style="2" customWidth="1"/>
    <col min="2" max="2" width="39.7109375" style="2" customWidth="1"/>
    <col min="3" max="3" width="12.7109375" style="2" customWidth="1"/>
    <col min="4" max="4" width="8.7109375" style="2" customWidth="1"/>
    <col min="5" max="5" width="13.42578125" style="2" customWidth="1"/>
    <col min="6" max="6" width="8.7109375" style="2" customWidth="1"/>
    <col min="7" max="7" width="13.42578125" style="2" customWidth="1"/>
    <col min="8" max="8" width="8.7109375" style="2" customWidth="1"/>
    <col min="9" max="9" width="13" style="2" customWidth="1"/>
    <col min="10" max="10" width="8.7109375" style="2" customWidth="1"/>
    <col min="11" max="11" width="13.85546875" style="2" customWidth="1"/>
    <col min="12" max="12" width="8.7109375" style="2" customWidth="1"/>
    <col min="13" max="13" width="13.28515625" style="2" customWidth="1"/>
    <col min="14" max="14" width="8.7109375" style="2" customWidth="1"/>
    <col min="15" max="15" width="13.7109375" style="2" bestFit="1" customWidth="1"/>
    <col min="16" max="16" width="8.7109375" style="2" customWidth="1"/>
    <col min="17" max="17" width="13.28515625" style="2" customWidth="1"/>
    <col min="18" max="18" width="8.7109375" style="2" customWidth="1"/>
    <col min="19" max="19" width="14.7109375" style="2" customWidth="1"/>
    <col min="20" max="20" width="8.7109375" style="2" customWidth="1"/>
    <col min="21" max="21" width="13.285156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355</v>
      </c>
      <c r="G2" s="33" t="s">
        <v>511</v>
      </c>
      <c r="H2" s="34"/>
      <c r="I2" s="34"/>
      <c r="V2" s="32"/>
    </row>
    <row r="3" spans="1:22" ht="12.75" customHeight="1">
      <c r="A3" s="1" t="s">
        <v>357</v>
      </c>
      <c r="D3" s="118" t="s">
        <v>358</v>
      </c>
      <c r="G3" s="115" t="str">
        <f>+G2</f>
        <v>Chic Fil A BBC</v>
      </c>
      <c r="H3" s="116"/>
      <c r="I3" s="116"/>
      <c r="V3" s="32"/>
    </row>
    <row r="4" spans="1:22" ht="12.75" customHeight="1">
      <c r="A4" s="1" t="s">
        <v>359</v>
      </c>
      <c r="B4" s="109" t="s">
        <v>221</v>
      </c>
      <c r="D4" s="118" t="s">
        <v>360</v>
      </c>
      <c r="G4" s="115" t="s">
        <v>65</v>
      </c>
      <c r="H4" s="116"/>
      <c r="I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361</v>
      </c>
      <c r="B7" s="1"/>
    </row>
    <row r="8" spans="1:22" ht="12.75" customHeight="1">
      <c r="A8" s="2" t="s">
        <v>362</v>
      </c>
      <c r="C8" s="109"/>
      <c r="E8" s="109">
        <v>250</v>
      </c>
      <c r="G8" s="109">
        <f>+E8</f>
        <v>250</v>
      </c>
      <c r="I8" s="109">
        <f>+G8</f>
        <v>250</v>
      </c>
      <c r="K8" s="109">
        <f>+I8</f>
        <v>250</v>
      </c>
      <c r="M8" s="109">
        <f>+K8</f>
        <v>250</v>
      </c>
      <c r="O8" s="109">
        <f>+M8</f>
        <v>250</v>
      </c>
      <c r="Q8" s="109">
        <f>+O8</f>
        <v>250</v>
      </c>
      <c r="S8" s="109">
        <f>+Q8</f>
        <v>250</v>
      </c>
      <c r="U8" s="109">
        <f>+S8</f>
        <v>250</v>
      </c>
    </row>
    <row r="10" spans="1:22" ht="12.75" customHeight="1">
      <c r="A10" s="2" t="s">
        <v>462</v>
      </c>
      <c r="C10" s="109"/>
      <c r="E10" s="201">
        <v>367</v>
      </c>
      <c r="F10" s="202"/>
      <c r="G10" s="201">
        <f>+G14/G8/G12</f>
        <v>379.41592039800997</v>
      </c>
      <c r="H10" s="202"/>
      <c r="I10" s="201">
        <f>+I14/I8/I12</f>
        <v>393.01666633663365</v>
      </c>
      <c r="J10" s="202"/>
      <c r="K10" s="201">
        <f>+K14/K8/K12</f>
        <v>402.81304235467979</v>
      </c>
      <c r="L10" s="202"/>
      <c r="M10" s="201">
        <f>+M14/M8/M12</f>
        <v>412.06194573894112</v>
      </c>
      <c r="N10" s="202"/>
      <c r="O10" s="201">
        <f t="shared" ref="O10" si="0">+O14/O8/O12</f>
        <v>422.7634959785222</v>
      </c>
      <c r="P10" s="202"/>
      <c r="Q10" s="201">
        <f t="shared" ref="Q10" si="1">+Q14/Q8/Q12</f>
        <v>433.33258337798532</v>
      </c>
      <c r="R10" s="202"/>
      <c r="S10" s="201">
        <f>+S14/S8/S12</f>
        <v>446.33256087932483</v>
      </c>
      <c r="T10" s="202"/>
      <c r="U10" s="201">
        <f>+U14/U8/U12</f>
        <v>456.62395973498474</v>
      </c>
    </row>
    <row r="12" spans="1:22" ht="12.75" customHeight="1">
      <c r="A12" s="2" t="s">
        <v>463</v>
      </c>
      <c r="C12" s="110"/>
      <c r="E12" s="110">
        <v>6</v>
      </c>
      <c r="G12" s="110">
        <v>6.03</v>
      </c>
      <c r="I12" s="110">
        <v>6.06</v>
      </c>
      <c r="K12" s="110">
        <v>6.09</v>
      </c>
      <c r="M12" s="110">
        <v>6.12</v>
      </c>
      <c r="O12" s="110">
        <v>6.15</v>
      </c>
      <c r="Q12" s="110">
        <v>6.18</v>
      </c>
      <c r="S12" s="110">
        <v>6.21</v>
      </c>
      <c r="U12" s="110">
        <v>6.24</v>
      </c>
    </row>
    <row r="14" spans="1:22" ht="12.75" customHeight="1">
      <c r="A14" s="2" t="s">
        <v>464</v>
      </c>
      <c r="C14" s="121">
        <f>C12*C10*C8</f>
        <v>0</v>
      </c>
      <c r="E14" s="121">
        <f>+E12*E10*E8</f>
        <v>550500</v>
      </c>
      <c r="G14" s="121">
        <f>+E14*1.039</f>
        <v>571969.5</v>
      </c>
      <c r="I14" s="121">
        <f>+G14*1.041</f>
        <v>595420.24949999992</v>
      </c>
      <c r="K14" s="121">
        <f>+I14*1.03</f>
        <v>613282.85698499996</v>
      </c>
      <c r="M14" s="121">
        <f>+K14*1.028</f>
        <v>630454.77698057995</v>
      </c>
      <c r="O14" s="121">
        <f>+M14*1.031</f>
        <v>649998.87506697793</v>
      </c>
      <c r="Q14" s="121">
        <f>+O14*1.03</f>
        <v>669498.84131898731</v>
      </c>
      <c r="S14" s="121">
        <f>+Q14*1.035</f>
        <v>692931.30076515186</v>
      </c>
      <c r="U14" s="121">
        <f>+S14*1.028</f>
        <v>712333.37718657614</v>
      </c>
    </row>
    <row r="15" spans="1:22" ht="12.75" customHeight="1">
      <c r="A15" s="39">
        <v>0.05</v>
      </c>
    </row>
    <row r="16" spans="1:22" ht="12.75" customHeight="1">
      <c r="B16" s="35"/>
      <c r="C16" s="86" t="str">
        <f>C6</f>
        <v>FY 2018-19</v>
      </c>
      <c r="D16" s="86" t="s">
        <v>366</v>
      </c>
      <c r="E16" s="86" t="str">
        <f>E6</f>
        <v>FY 2019-20</v>
      </c>
      <c r="F16" s="86" t="s">
        <v>366</v>
      </c>
      <c r="G16" s="86" t="str">
        <f>G6</f>
        <v>FY 2020-21</v>
      </c>
      <c r="H16" s="86" t="s">
        <v>366</v>
      </c>
      <c r="I16" s="86" t="str">
        <f>I6</f>
        <v>FY 2021-22</v>
      </c>
      <c r="J16" s="86" t="s">
        <v>366</v>
      </c>
      <c r="K16" s="86" t="str">
        <f>K6</f>
        <v>FY 2022-23</v>
      </c>
      <c r="L16" s="86" t="s">
        <v>366</v>
      </c>
      <c r="M16" s="86" t="str">
        <f>M6</f>
        <v>FY 2023-24</v>
      </c>
      <c r="N16" s="86" t="s">
        <v>366</v>
      </c>
      <c r="O16" s="86" t="str">
        <f>O6</f>
        <v>FY 2024-25</v>
      </c>
      <c r="P16" s="86" t="s">
        <v>366</v>
      </c>
      <c r="Q16" s="86" t="str">
        <f>Q6</f>
        <v>FY 2025-26</v>
      </c>
      <c r="R16" s="86" t="s">
        <v>366</v>
      </c>
      <c r="S16" s="86" t="str">
        <f>S6</f>
        <v>FY 2026-27</v>
      </c>
      <c r="T16" s="86" t="s">
        <v>366</v>
      </c>
      <c r="U16" s="86" t="str">
        <f>U6</f>
        <v>FY 2027-28</v>
      </c>
      <c r="V16" s="86" t="s">
        <v>366</v>
      </c>
    </row>
    <row r="17" spans="1:24" ht="12.75" customHeight="1">
      <c r="A17" s="1" t="s">
        <v>367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368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369</v>
      </c>
      <c r="B19" s="35"/>
      <c r="C19" s="200">
        <f>+C14-C20</f>
        <v>0</v>
      </c>
      <c r="D19" s="80">
        <f>IFERROR(C19/C$28,0)</f>
        <v>0</v>
      </c>
      <c r="E19" s="200">
        <f>+E14-E20</f>
        <v>462420</v>
      </c>
      <c r="F19" s="80">
        <f>IFERROR(E19/E$28,0)</f>
        <v>0.84</v>
      </c>
      <c r="G19" s="200">
        <f>+G14-G20</f>
        <v>482127.9</v>
      </c>
      <c r="H19" s="80">
        <f>IFERROR(G19/G$28,0)</f>
        <v>0.84292589027911458</v>
      </c>
      <c r="I19" s="200">
        <f>+I14-I20</f>
        <v>503781.81749999989</v>
      </c>
      <c r="J19" s="80">
        <f>IFERROR(I19/I$28,0)</f>
        <v>0.84609453226195652</v>
      </c>
      <c r="K19" s="200">
        <f>+K14-K20</f>
        <v>519811.65634499997</v>
      </c>
      <c r="L19" s="80">
        <f>IFERROR(K19/K$28,0)</f>
        <v>0.84758876010407358</v>
      </c>
      <c r="M19" s="200">
        <f>+M14-M20</f>
        <v>535114.15232777991</v>
      </c>
      <c r="N19" s="80">
        <f>IFERROR(M19/M$28,0)</f>
        <v>0.84877483979197954</v>
      </c>
      <c r="O19" s="200">
        <f>+O14-O20</f>
        <v>552751.43792112195</v>
      </c>
      <c r="P19" s="80">
        <f>IFERROR(O19/O$28,0)</f>
        <v>0.85038829930923299</v>
      </c>
      <c r="Q19" s="200">
        <f>+Q14-Q20</f>
        <v>570306.45543021418</v>
      </c>
      <c r="R19" s="80">
        <f>IFERROR(Q19/Q$28,0)</f>
        <v>0.85184084009263838</v>
      </c>
      <c r="S19" s="200">
        <f>+S14-S20</f>
        <v>591755.06715860323</v>
      </c>
      <c r="T19" s="80">
        <f>IFERROR(S19/S$28,0)</f>
        <v>0.85398807429419432</v>
      </c>
      <c r="U19" s="200">
        <f>+U14-U20</f>
        <v>609133.61890789657</v>
      </c>
      <c r="V19" s="80">
        <f>IFERROR(U19/U$28,0)</f>
        <v>0.85512435387167152</v>
      </c>
    </row>
    <row r="20" spans="1:24" ht="12.75" customHeight="1">
      <c r="A20" s="2" t="s">
        <v>370</v>
      </c>
      <c r="B20" s="35"/>
      <c r="C20" s="111">
        <f>+C14*12.38%</f>
        <v>0</v>
      </c>
      <c r="D20" s="80">
        <f>IFERROR(C20/C$28,0)</f>
        <v>0</v>
      </c>
      <c r="E20" s="111">
        <f>+E14*16%</f>
        <v>88080</v>
      </c>
      <c r="F20" s="80">
        <f>IFERROR(E20/E$28,0)</f>
        <v>0.16</v>
      </c>
      <c r="G20" s="111">
        <f t="shared" ref="G20:U21" si="2">E20*1.02</f>
        <v>89841.600000000006</v>
      </c>
      <c r="H20" s="80">
        <f>IFERROR(G20/G$28,0)</f>
        <v>0.15707410972088548</v>
      </c>
      <c r="I20" s="111">
        <f t="shared" si="2"/>
        <v>91638.432000000001</v>
      </c>
      <c r="J20" s="80">
        <f>IFERROR(I20/I$28,0)</f>
        <v>0.15390546773804342</v>
      </c>
      <c r="K20" s="111">
        <f t="shared" si="2"/>
        <v>93471.200639999995</v>
      </c>
      <c r="L20" s="80">
        <f>IFERROR(K20/K$28,0)</f>
        <v>0.15241123989592648</v>
      </c>
      <c r="M20" s="111">
        <f t="shared" si="2"/>
        <v>95340.62465279999</v>
      </c>
      <c r="N20" s="80">
        <f>IFERROR(M20/M$28,0)</f>
        <v>0.15122516020802043</v>
      </c>
      <c r="O20" s="111">
        <f t="shared" si="2"/>
        <v>97247.437145855991</v>
      </c>
      <c r="P20" s="80">
        <f>IFERROR(O20/O$28,0)</f>
        <v>0.14961170069076707</v>
      </c>
      <c r="Q20" s="111">
        <f t="shared" si="2"/>
        <v>99192.385888773118</v>
      </c>
      <c r="R20" s="80">
        <f>IFERROR(Q20/Q$28,0)</f>
        <v>0.14815915990736156</v>
      </c>
      <c r="S20" s="111">
        <f t="shared" si="2"/>
        <v>101176.23360654859</v>
      </c>
      <c r="T20" s="80">
        <f>IFERROR(S20/S$28,0)</f>
        <v>0.1460119257058056</v>
      </c>
      <c r="U20" s="111">
        <f t="shared" si="2"/>
        <v>103199.75827867955</v>
      </c>
      <c r="V20" s="80">
        <f>IFERROR(U20/U$28,0)</f>
        <v>0.14487564612832851</v>
      </c>
    </row>
    <row r="21" spans="1:24" ht="12.75" customHeight="1">
      <c r="A21" s="2" t="s">
        <v>371</v>
      </c>
      <c r="B21" s="35"/>
      <c r="C21" s="111"/>
      <c r="D21" s="80">
        <f>IFERROR(C21/C$28,0)</f>
        <v>0</v>
      </c>
      <c r="E21" s="111">
        <v>0</v>
      </c>
      <c r="F21" s="80">
        <f>IFERROR(E21/E$28,0)</f>
        <v>0</v>
      </c>
      <c r="G21" s="111">
        <f t="shared" si="2"/>
        <v>0</v>
      </c>
      <c r="H21" s="80">
        <f>IFERROR(G21/G$28,0)</f>
        <v>0</v>
      </c>
      <c r="I21" s="111">
        <f t="shared" si="2"/>
        <v>0</v>
      </c>
      <c r="J21" s="80">
        <f>IFERROR(I21/I$28,0)</f>
        <v>0</v>
      </c>
      <c r="K21" s="111">
        <f t="shared" si="2"/>
        <v>0</v>
      </c>
      <c r="L21" s="80">
        <f>IFERROR(K21/K$28,0)</f>
        <v>0</v>
      </c>
      <c r="M21" s="111">
        <f t="shared" si="2"/>
        <v>0</v>
      </c>
      <c r="N21" s="80">
        <f>IFERROR(M21/M$28,0)</f>
        <v>0</v>
      </c>
      <c r="O21" s="111">
        <f t="shared" si="2"/>
        <v>0</v>
      </c>
      <c r="P21" s="80">
        <f>IFERROR(O21/O$28,0)</f>
        <v>0</v>
      </c>
      <c r="Q21" s="111">
        <f t="shared" si="2"/>
        <v>0</v>
      </c>
      <c r="R21" s="80">
        <f>IFERROR(Q21/Q$28,0)</f>
        <v>0</v>
      </c>
      <c r="S21" s="111">
        <f t="shared" si="2"/>
        <v>0</v>
      </c>
      <c r="T21" s="80">
        <f>IFERROR(S21/S$28,0)</f>
        <v>0</v>
      </c>
      <c r="U21" s="111">
        <f t="shared" si="2"/>
        <v>0</v>
      </c>
      <c r="V21" s="80">
        <f>IFERROR(U21/U$28,0)</f>
        <v>0</v>
      </c>
    </row>
    <row r="22" spans="1:24" ht="12.75" customHeight="1">
      <c r="A22" s="2" t="s">
        <v>372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373</v>
      </c>
      <c r="B23" s="123"/>
      <c r="C23" s="79"/>
      <c r="D23" s="80">
        <f t="shared" ref="D23:D28" si="3">IFERROR(C23/C$28,0)</f>
        <v>0</v>
      </c>
      <c r="E23" s="79"/>
      <c r="F23" s="80">
        <f t="shared" ref="F23:F28" si="4">IFERROR(E23/E$28,0)</f>
        <v>0</v>
      </c>
      <c r="G23" s="79"/>
      <c r="H23" s="80">
        <f t="shared" ref="H23:H28" si="5">IFERROR(G23/G$28,0)</f>
        <v>0</v>
      </c>
      <c r="I23" s="79"/>
      <c r="J23" s="80">
        <f t="shared" ref="J23:J28" si="6">IFERROR(I23/I$28,0)</f>
        <v>0</v>
      </c>
      <c r="K23" s="79"/>
      <c r="L23" s="80">
        <f t="shared" ref="L23:L28" si="7">IFERROR(K23/K$28,0)</f>
        <v>0</v>
      </c>
      <c r="M23" s="79"/>
      <c r="N23" s="80">
        <f t="shared" ref="N23:N28" si="8">IFERROR(M23/M$28,0)</f>
        <v>0</v>
      </c>
      <c r="O23" s="79"/>
      <c r="P23" s="80">
        <f t="shared" ref="P23:P28" si="9">IFERROR(O23/O$28,0)</f>
        <v>0</v>
      </c>
      <c r="Q23" s="79"/>
      <c r="R23" s="80">
        <f t="shared" ref="R23:R28" si="10">IFERROR(Q23/Q$28,0)</f>
        <v>0</v>
      </c>
      <c r="S23" s="79"/>
      <c r="T23" s="80">
        <f t="shared" ref="T23:T28" si="11">IFERROR(S23/S$28,0)</f>
        <v>0</v>
      </c>
      <c r="U23" s="79"/>
      <c r="V23" s="80">
        <f t="shared" ref="V23:V28" si="12">IFERROR(U23/U$28,0)</f>
        <v>0</v>
      </c>
    </row>
    <row r="24" spans="1:24" ht="12.75" customHeight="1">
      <c r="A24" s="122" t="s">
        <v>374</v>
      </c>
      <c r="B24" s="123"/>
      <c r="C24" s="79"/>
      <c r="D24" s="80">
        <f t="shared" si="3"/>
        <v>0</v>
      </c>
      <c r="E24" s="79"/>
      <c r="F24" s="80">
        <f t="shared" si="4"/>
        <v>0</v>
      </c>
      <c r="G24" s="79"/>
      <c r="H24" s="80">
        <f t="shared" si="5"/>
        <v>0</v>
      </c>
      <c r="I24" s="79"/>
      <c r="J24" s="80">
        <f t="shared" si="6"/>
        <v>0</v>
      </c>
      <c r="K24" s="79"/>
      <c r="L24" s="80">
        <f t="shared" si="7"/>
        <v>0</v>
      </c>
      <c r="M24" s="79"/>
      <c r="N24" s="80">
        <f t="shared" si="8"/>
        <v>0</v>
      </c>
      <c r="O24" s="79"/>
      <c r="P24" s="80">
        <f t="shared" si="9"/>
        <v>0</v>
      </c>
      <c r="Q24" s="79"/>
      <c r="R24" s="80">
        <f t="shared" si="10"/>
        <v>0</v>
      </c>
      <c r="S24" s="79"/>
      <c r="T24" s="80">
        <f t="shared" si="11"/>
        <v>0</v>
      </c>
      <c r="U24" s="79"/>
      <c r="V24" s="80">
        <f t="shared" si="12"/>
        <v>0</v>
      </c>
      <c r="X24" s="79"/>
    </row>
    <row r="25" spans="1:24" ht="12.75" customHeight="1">
      <c r="A25" s="2" t="s">
        <v>375</v>
      </c>
      <c r="B25" s="35"/>
      <c r="C25" s="111"/>
      <c r="D25" s="80">
        <f t="shared" si="3"/>
        <v>0</v>
      </c>
      <c r="E25" s="111"/>
      <c r="F25" s="80">
        <f t="shared" si="4"/>
        <v>0</v>
      </c>
      <c r="G25" s="111"/>
      <c r="H25" s="80">
        <f t="shared" si="5"/>
        <v>0</v>
      </c>
      <c r="I25" s="111"/>
      <c r="J25" s="80">
        <f t="shared" si="6"/>
        <v>0</v>
      </c>
      <c r="K25" s="111"/>
      <c r="L25" s="80">
        <f t="shared" si="7"/>
        <v>0</v>
      </c>
      <c r="M25" s="111"/>
      <c r="N25" s="80">
        <f t="shared" si="8"/>
        <v>0</v>
      </c>
      <c r="O25" s="111"/>
      <c r="P25" s="80">
        <f t="shared" si="9"/>
        <v>0</v>
      </c>
      <c r="Q25" s="111"/>
      <c r="R25" s="80">
        <f t="shared" si="10"/>
        <v>0</v>
      </c>
      <c r="S25" s="111"/>
      <c r="T25" s="80">
        <f t="shared" si="11"/>
        <v>0</v>
      </c>
      <c r="U25" s="111"/>
      <c r="V25" s="80">
        <f t="shared" si="12"/>
        <v>0</v>
      </c>
      <c r="X25" s="79"/>
    </row>
    <row r="26" spans="1:24" ht="12.75" customHeight="1">
      <c r="A26" s="122" t="s">
        <v>376</v>
      </c>
      <c r="B26" s="35"/>
      <c r="C26" s="79"/>
      <c r="D26" s="80">
        <f t="shared" si="3"/>
        <v>0</v>
      </c>
      <c r="E26" s="79"/>
      <c r="F26" s="80">
        <f t="shared" si="4"/>
        <v>0</v>
      </c>
      <c r="G26" s="79"/>
      <c r="H26" s="80">
        <f t="shared" si="5"/>
        <v>0</v>
      </c>
      <c r="I26" s="79"/>
      <c r="J26" s="80">
        <f t="shared" si="6"/>
        <v>0</v>
      </c>
      <c r="K26" s="79"/>
      <c r="L26" s="80">
        <f t="shared" si="7"/>
        <v>0</v>
      </c>
      <c r="M26" s="79"/>
      <c r="N26" s="80">
        <f t="shared" si="8"/>
        <v>0</v>
      </c>
      <c r="O26" s="79"/>
      <c r="P26" s="80">
        <f t="shared" si="9"/>
        <v>0</v>
      </c>
      <c r="Q26" s="79"/>
      <c r="R26" s="80">
        <f t="shared" si="10"/>
        <v>0</v>
      </c>
      <c r="S26" s="79"/>
      <c r="T26" s="80">
        <f t="shared" si="11"/>
        <v>0</v>
      </c>
      <c r="U26" s="79"/>
      <c r="V26" s="80">
        <f t="shared" si="12"/>
        <v>0</v>
      </c>
    </row>
    <row r="27" spans="1:24" ht="12.75" customHeight="1">
      <c r="A27" s="2" t="s">
        <v>377</v>
      </c>
      <c r="B27" s="35"/>
      <c r="C27" s="112"/>
      <c r="D27" s="80">
        <f t="shared" si="3"/>
        <v>0</v>
      </c>
      <c r="E27" s="112"/>
      <c r="F27" s="80">
        <f t="shared" si="4"/>
        <v>0</v>
      </c>
      <c r="G27" s="112"/>
      <c r="H27" s="80">
        <f t="shared" si="5"/>
        <v>0</v>
      </c>
      <c r="I27" s="112"/>
      <c r="J27" s="80">
        <f t="shared" si="6"/>
        <v>0</v>
      </c>
      <c r="K27" s="112"/>
      <c r="L27" s="80">
        <f t="shared" si="7"/>
        <v>0</v>
      </c>
      <c r="M27" s="112"/>
      <c r="N27" s="80">
        <f t="shared" si="8"/>
        <v>0</v>
      </c>
      <c r="O27" s="112"/>
      <c r="P27" s="80">
        <f t="shared" si="9"/>
        <v>0</v>
      </c>
      <c r="Q27" s="112"/>
      <c r="R27" s="80">
        <f t="shared" si="10"/>
        <v>0</v>
      </c>
      <c r="S27" s="112"/>
      <c r="T27" s="80">
        <f t="shared" si="11"/>
        <v>0</v>
      </c>
      <c r="U27" s="112"/>
      <c r="V27" s="80">
        <f t="shared" si="12"/>
        <v>0</v>
      </c>
    </row>
    <row r="28" spans="1:24" ht="12.75" customHeight="1">
      <c r="A28" s="1" t="s">
        <v>378</v>
      </c>
      <c r="B28" s="53"/>
      <c r="C28" s="82">
        <f>SUM(C19:C27)</f>
        <v>0</v>
      </c>
      <c r="D28" s="83">
        <f t="shared" si="3"/>
        <v>0</v>
      </c>
      <c r="E28" s="82">
        <f>SUM(E19:E27)</f>
        <v>550500</v>
      </c>
      <c r="F28" s="83">
        <f t="shared" si="4"/>
        <v>1</v>
      </c>
      <c r="G28" s="82">
        <f>SUM(G19:G27)</f>
        <v>571969.5</v>
      </c>
      <c r="H28" s="83">
        <f t="shared" si="5"/>
        <v>1</v>
      </c>
      <c r="I28" s="82">
        <f>SUM(I19:I27)</f>
        <v>595420.24949999992</v>
      </c>
      <c r="J28" s="83">
        <f t="shared" si="6"/>
        <v>1</v>
      </c>
      <c r="K28" s="82">
        <f>SUM(K19:K27)</f>
        <v>613282.85698499996</v>
      </c>
      <c r="L28" s="83">
        <f t="shared" si="7"/>
        <v>1</v>
      </c>
      <c r="M28" s="82">
        <f>SUM(M19:M27)</f>
        <v>630454.77698057995</v>
      </c>
      <c r="N28" s="83">
        <f t="shared" si="8"/>
        <v>1</v>
      </c>
      <c r="O28" s="82">
        <f>SUM(O19:O27)</f>
        <v>649998.87506697793</v>
      </c>
      <c r="P28" s="83">
        <f t="shared" si="9"/>
        <v>1</v>
      </c>
      <c r="Q28" s="82">
        <f>SUM(Q19:Q27)</f>
        <v>669498.84131898731</v>
      </c>
      <c r="R28" s="83">
        <f t="shared" si="10"/>
        <v>1</v>
      </c>
      <c r="S28" s="82">
        <f>SUM(S19:S27)</f>
        <v>692931.30076515186</v>
      </c>
      <c r="T28" s="83">
        <f t="shared" si="11"/>
        <v>1</v>
      </c>
      <c r="U28" s="82">
        <f>SUM(U19:U27)</f>
        <v>712333.37718657614</v>
      </c>
      <c r="V28" s="83">
        <f t="shared" si="12"/>
        <v>1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379</v>
      </c>
      <c r="B30" s="53"/>
      <c r="C30" s="197">
        <v>0.32</v>
      </c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380</v>
      </c>
      <c r="B31" s="35"/>
      <c r="C31" s="178">
        <f>$C$30*C14</f>
        <v>0</v>
      </c>
      <c r="D31" s="80">
        <f>IFERROR(C31/C$28,0)</f>
        <v>0</v>
      </c>
      <c r="E31" s="178">
        <f>$C$30*E14</f>
        <v>176160</v>
      </c>
      <c r="F31" s="80">
        <f>IFERROR(E31/E$28,0)</f>
        <v>0.32</v>
      </c>
      <c r="G31" s="178">
        <f>$C$30*G14</f>
        <v>183030.24</v>
      </c>
      <c r="H31" s="80">
        <f>IFERROR(G31/G$28,0)</f>
        <v>0.32</v>
      </c>
      <c r="I31" s="178">
        <f>$C$30*I14</f>
        <v>190534.47983999999</v>
      </c>
      <c r="J31" s="80">
        <f>IFERROR(I31/I$28,0)</f>
        <v>0.32</v>
      </c>
      <c r="K31" s="178">
        <f>$C$30*K14</f>
        <v>196250.51423519998</v>
      </c>
      <c r="L31" s="80">
        <f>IFERROR(K31/K$28,0)</f>
        <v>0.32</v>
      </c>
      <c r="M31" s="178">
        <f>$C$30*M14</f>
        <v>201745.52863378558</v>
      </c>
      <c r="N31" s="80">
        <f>IFERROR(M31/M$28,0)</f>
        <v>0.32</v>
      </c>
      <c r="O31" s="178">
        <f>$C$30*O14</f>
        <v>207999.64002143295</v>
      </c>
      <c r="P31" s="80">
        <f>IFERROR(O31/O$28,0)</f>
        <v>0.32</v>
      </c>
      <c r="Q31" s="178">
        <f>$C$30*Q14</f>
        <v>214239.62922207595</v>
      </c>
      <c r="R31" s="80">
        <f>IFERROR(Q31/Q$28,0)</f>
        <v>0.32</v>
      </c>
      <c r="S31" s="178">
        <f>$C$30*S14</f>
        <v>221738.01624484861</v>
      </c>
      <c r="T31" s="80">
        <f>IFERROR(S31/S$28,0)</f>
        <v>0.32</v>
      </c>
      <c r="U31" s="178">
        <f>$C$30*U14</f>
        <v>227946.68069970436</v>
      </c>
      <c r="V31" s="80">
        <f>IFERROR(U31/U$28,0)</f>
        <v>0.32</v>
      </c>
    </row>
    <row r="32" spans="1:24" ht="12.75" customHeight="1">
      <c r="A32" s="8" t="s">
        <v>381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382</v>
      </c>
      <c r="B33" s="53"/>
      <c r="C33" s="82">
        <f>SUM(C31:C32)</f>
        <v>0</v>
      </c>
      <c r="D33" s="83">
        <f>IFERROR(C33/C$28,0)</f>
        <v>0</v>
      </c>
      <c r="E33" s="82">
        <f>SUM(E31:E32)</f>
        <v>176160</v>
      </c>
      <c r="F33" s="83">
        <f>IFERROR(E33/E$28,0)</f>
        <v>0.32</v>
      </c>
      <c r="G33" s="82">
        <f>SUM(G31:G32)</f>
        <v>183030.24</v>
      </c>
      <c r="H33" s="83">
        <f>IFERROR(G33/G$28,0)</f>
        <v>0.32</v>
      </c>
      <c r="I33" s="82">
        <f>SUM(I31:I32)</f>
        <v>190534.47983999999</v>
      </c>
      <c r="J33" s="83">
        <f>IFERROR(I33/I$28,0)</f>
        <v>0.32</v>
      </c>
      <c r="K33" s="82">
        <f>SUM(K31:K32)</f>
        <v>196250.51423519998</v>
      </c>
      <c r="L33" s="83">
        <f>IFERROR(K33/K$28,0)</f>
        <v>0.32</v>
      </c>
      <c r="M33" s="82">
        <f>SUM(M31:M32)</f>
        <v>201745.52863378558</v>
      </c>
      <c r="N33" s="83">
        <f>IFERROR(M33/M$28,0)</f>
        <v>0.32</v>
      </c>
      <c r="O33" s="82">
        <f>SUM(O31:O32)</f>
        <v>207999.64002143295</v>
      </c>
      <c r="P33" s="83">
        <f>IFERROR(O33/O$28,0)</f>
        <v>0.32</v>
      </c>
      <c r="Q33" s="82">
        <f>SUM(Q31:Q32)</f>
        <v>214239.62922207595</v>
      </c>
      <c r="R33" s="83">
        <f>IFERROR(Q33/Q$28,0)</f>
        <v>0.32</v>
      </c>
      <c r="S33" s="82">
        <f>SUM(S31:S32)</f>
        <v>221738.01624484861</v>
      </c>
      <c r="T33" s="83">
        <f>IFERROR(S33/S$28,0)</f>
        <v>0.32</v>
      </c>
      <c r="U33" s="82">
        <f>SUM(U31:U32)</f>
        <v>227946.68069970436</v>
      </c>
      <c r="V33" s="83">
        <f>IFERROR(U33/U$28,0)</f>
        <v>0.32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383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384</v>
      </c>
      <c r="B36" s="35"/>
      <c r="C36" s="178"/>
      <c r="D36" s="80">
        <f t="shared" ref="D36:D46" si="13">IFERROR(C36/C$28,0)</f>
        <v>0</v>
      </c>
      <c r="E36" s="178">
        <v>71549</v>
      </c>
      <c r="F36" s="80">
        <f t="shared" ref="F36:F46" si="14">IFERROR(E36/E$28,0)</f>
        <v>0.12997093551316985</v>
      </c>
      <c r="G36" s="178">
        <f>+E36*1.025</f>
        <v>73337.724999999991</v>
      </c>
      <c r="H36" s="80">
        <f t="shared" ref="H36:H46" si="15">IFERROR(G36/G$28,0)</f>
        <v>0.12821964283060547</v>
      </c>
      <c r="I36" s="178">
        <f>+G36*1.025</f>
        <v>75171.168124999982</v>
      </c>
      <c r="J36" s="80">
        <f t="shared" ref="J36:J46" si="16">IFERROR(I36/I$28,0)</f>
        <v>0.12624892785914563</v>
      </c>
      <c r="K36" s="178">
        <f>+I36*1.025</f>
        <v>77050.447328124981</v>
      </c>
      <c r="L36" s="80">
        <f t="shared" ref="L36:L46" si="17">IFERROR(K36/K$28,0)</f>
        <v>0.12563606898604296</v>
      </c>
      <c r="M36" s="178">
        <f>+K36*1.025</f>
        <v>78976.708511328092</v>
      </c>
      <c r="N36" s="80">
        <f t="shared" ref="N36:N46" si="18">IFERROR(M36/M$28,0)</f>
        <v>0.12526942676137551</v>
      </c>
      <c r="O36" s="178">
        <f>+M36*1.025</f>
        <v>80951.126224111285</v>
      </c>
      <c r="P36" s="80">
        <f t="shared" ref="P36:P46" si="19">IFERROR(O36/O$28,0)</f>
        <v>0.12454040972881657</v>
      </c>
      <c r="Q36" s="178">
        <f>+O36*1.025</f>
        <v>82974.904379714062</v>
      </c>
      <c r="R36" s="80">
        <f t="shared" ref="R36:R46" si="20">IFERROR(Q36/Q$28,0)</f>
        <v>0.12393584463304561</v>
      </c>
      <c r="S36" s="178">
        <f>+Q36*1.025</f>
        <v>85049.276989206905</v>
      </c>
      <c r="T36" s="80">
        <f t="shared" ref="T36:T46" si="21">IFERROR(S36/S$28,0)</f>
        <v>0.12273839685881327</v>
      </c>
      <c r="U36" s="178">
        <f>+S36*1.025</f>
        <v>87175.508913937068</v>
      </c>
      <c r="V36" s="80">
        <f t="shared" ref="V36:V46" si="22">IFERROR(U36/U$28,0)</f>
        <v>0.12238021087576223</v>
      </c>
    </row>
    <row r="37" spans="1:22" ht="12.75" customHeight="1">
      <c r="A37" s="2" t="s">
        <v>385</v>
      </c>
      <c r="B37" s="35"/>
      <c r="C37" s="178"/>
      <c r="D37" s="80">
        <f t="shared" si="13"/>
        <v>0</v>
      </c>
      <c r="E37" s="178">
        <v>119488.84800000001</v>
      </c>
      <c r="F37" s="80">
        <f t="shared" si="14"/>
        <v>0.21705512806539512</v>
      </c>
      <c r="G37" s="178">
        <f>+E37*1.035</f>
        <v>123670.95768000001</v>
      </c>
      <c r="H37" s="80">
        <f t="shared" si="15"/>
        <v>0.21621949715850233</v>
      </c>
      <c r="I37" s="178">
        <f>+G37*1.032</f>
        <v>127628.42832576</v>
      </c>
      <c r="J37" s="80">
        <f t="shared" si="16"/>
        <v>0.2143501643300427</v>
      </c>
      <c r="K37" s="178">
        <f>+I37*1.025</f>
        <v>130819.13903390399</v>
      </c>
      <c r="L37" s="80">
        <f t="shared" si="17"/>
        <v>0.21330962955174149</v>
      </c>
      <c r="M37" s="178">
        <f>+K37*1.025</f>
        <v>134089.61750975158</v>
      </c>
      <c r="N37" s="80">
        <f t="shared" si="18"/>
        <v>0.21268713063281616</v>
      </c>
      <c r="O37" s="178">
        <f>+M37*1.025</f>
        <v>137441.85794749536</v>
      </c>
      <c r="P37" s="80">
        <f t="shared" si="19"/>
        <v>0.21144937817520518</v>
      </c>
      <c r="Q37" s="178">
        <f>+O37*1.02</f>
        <v>140190.69510644526</v>
      </c>
      <c r="R37" s="80">
        <f t="shared" si="20"/>
        <v>0.20939647159097985</v>
      </c>
      <c r="S37" s="178">
        <f>+Q37*1.025</f>
        <v>143695.46248410636</v>
      </c>
      <c r="T37" s="80">
        <f t="shared" si="21"/>
        <v>0.20737331727609112</v>
      </c>
      <c r="U37" s="178">
        <f>+S37*1.025</f>
        <v>147287.84904620901</v>
      </c>
      <c r="V37" s="80">
        <f t="shared" si="22"/>
        <v>0.20676814222567449</v>
      </c>
    </row>
    <row r="38" spans="1:22" ht="12.75" customHeight="1">
      <c r="A38" s="2" t="s">
        <v>386</v>
      </c>
      <c r="B38" s="35"/>
      <c r="C38" s="178"/>
      <c r="D38" s="80">
        <f t="shared" si="13"/>
        <v>0</v>
      </c>
      <c r="E38" s="178">
        <f t="shared" ref="E38:E39" si="23">+C38*1.112</f>
        <v>0</v>
      </c>
      <c r="F38" s="80">
        <f t="shared" si="14"/>
        <v>0</v>
      </c>
      <c r="G38" s="178">
        <f>+E38*1.035</f>
        <v>0</v>
      </c>
      <c r="H38" s="80">
        <f t="shared" si="15"/>
        <v>0</v>
      </c>
      <c r="I38" s="178">
        <f>+G38*1.032</f>
        <v>0</v>
      </c>
      <c r="J38" s="80">
        <f t="shared" si="16"/>
        <v>0</v>
      </c>
      <c r="K38" s="178">
        <f>+I38*1.025</f>
        <v>0</v>
      </c>
      <c r="L38" s="80">
        <f t="shared" si="17"/>
        <v>0</v>
      </c>
      <c r="M38" s="178">
        <f>+K38*1.025</f>
        <v>0</v>
      </c>
      <c r="N38" s="80">
        <f t="shared" si="18"/>
        <v>0</v>
      </c>
      <c r="O38" s="178">
        <f>+M38*1.025</f>
        <v>0</v>
      </c>
      <c r="P38" s="80">
        <f t="shared" si="19"/>
        <v>0</v>
      </c>
      <c r="Q38" s="178">
        <f>+O38*1.025</f>
        <v>0</v>
      </c>
      <c r="R38" s="80">
        <f t="shared" si="20"/>
        <v>0</v>
      </c>
      <c r="S38" s="178">
        <f>+Q38*1.025</f>
        <v>0</v>
      </c>
      <c r="T38" s="80">
        <f t="shared" si="21"/>
        <v>0</v>
      </c>
      <c r="U38" s="178">
        <f>+S38*1.025</f>
        <v>0</v>
      </c>
      <c r="V38" s="80">
        <f t="shared" si="22"/>
        <v>0</v>
      </c>
    </row>
    <row r="39" spans="1:22" ht="12.75" customHeight="1">
      <c r="A39" s="2" t="s">
        <v>387</v>
      </c>
      <c r="B39" s="35"/>
      <c r="C39" s="178"/>
      <c r="D39" s="80">
        <f t="shared" si="13"/>
        <v>0</v>
      </c>
      <c r="E39" s="178">
        <f t="shared" si="23"/>
        <v>0</v>
      </c>
      <c r="F39" s="80">
        <f t="shared" si="14"/>
        <v>0</v>
      </c>
      <c r="G39" s="178">
        <f>+E39*1.035</f>
        <v>0</v>
      </c>
      <c r="H39" s="80">
        <f t="shared" si="15"/>
        <v>0</v>
      </c>
      <c r="I39" s="178">
        <f>+G39*1.032</f>
        <v>0</v>
      </c>
      <c r="J39" s="80">
        <f t="shared" si="16"/>
        <v>0</v>
      </c>
      <c r="K39" s="178">
        <f>+I39*1.025</f>
        <v>0</v>
      </c>
      <c r="L39" s="80">
        <f t="shared" si="17"/>
        <v>0</v>
      </c>
      <c r="M39" s="178">
        <f>+K39*1.025</f>
        <v>0</v>
      </c>
      <c r="N39" s="80">
        <f t="shared" si="18"/>
        <v>0</v>
      </c>
      <c r="O39" s="178">
        <f>+M39*1.025</f>
        <v>0</v>
      </c>
      <c r="P39" s="80">
        <f t="shared" si="19"/>
        <v>0</v>
      </c>
      <c r="Q39" s="178">
        <f>+O39*1.025</f>
        <v>0</v>
      </c>
      <c r="R39" s="80">
        <f t="shared" si="20"/>
        <v>0</v>
      </c>
      <c r="S39" s="178">
        <f>+Q39*1.025</f>
        <v>0</v>
      </c>
      <c r="T39" s="80">
        <f t="shared" si="21"/>
        <v>0</v>
      </c>
      <c r="U39" s="178">
        <f>+S39*1.025</f>
        <v>0</v>
      </c>
      <c r="V39" s="80">
        <f t="shared" si="22"/>
        <v>0</v>
      </c>
    </row>
    <row r="40" spans="1:22" ht="12.75" customHeight="1">
      <c r="A40" s="2" t="s">
        <v>388</v>
      </c>
      <c r="B40" s="35"/>
      <c r="C40" s="178"/>
      <c r="D40" s="80">
        <f t="shared" si="13"/>
        <v>0</v>
      </c>
      <c r="E40" s="178">
        <f>E36*0.124</f>
        <v>8872.0759999999991</v>
      </c>
      <c r="F40" s="80">
        <f t="shared" si="14"/>
        <v>1.6116396003633061E-2</v>
      </c>
      <c r="G40" s="178">
        <f>G36*0.124</f>
        <v>9093.8778999999995</v>
      </c>
      <c r="H40" s="80">
        <f t="shared" si="15"/>
        <v>1.589923571099508E-2</v>
      </c>
      <c r="I40" s="178">
        <f>I36*0.124</f>
        <v>9321.2248474999978</v>
      </c>
      <c r="J40" s="80">
        <f t="shared" si="16"/>
        <v>1.5654867054534057E-2</v>
      </c>
      <c r="K40" s="178">
        <f>K36*0.124</f>
        <v>9554.2554686874973</v>
      </c>
      <c r="L40" s="80">
        <f t="shared" si="17"/>
        <v>1.5578872554269327E-2</v>
      </c>
      <c r="M40" s="178">
        <f>M36*0.124</f>
        <v>9793.1118554046825</v>
      </c>
      <c r="N40" s="80">
        <f t="shared" si="18"/>
        <v>1.5533408918410561E-2</v>
      </c>
      <c r="O40" s="178">
        <f>O36*0.124</f>
        <v>10037.939651789799</v>
      </c>
      <c r="P40" s="80">
        <f t="shared" si="19"/>
        <v>1.5443010806373253E-2</v>
      </c>
      <c r="Q40" s="178">
        <f>Q36*0.124</f>
        <v>10288.888143084543</v>
      </c>
      <c r="R40" s="80">
        <f t="shared" si="20"/>
        <v>1.5368044734497655E-2</v>
      </c>
      <c r="S40" s="178">
        <f>S36*0.124</f>
        <v>10546.110346661657</v>
      </c>
      <c r="T40" s="80">
        <f t="shared" si="21"/>
        <v>1.5219561210492847E-2</v>
      </c>
      <c r="U40" s="178">
        <f>U36*0.124</f>
        <v>10809.763105328197</v>
      </c>
      <c r="V40" s="80">
        <f t="shared" si="22"/>
        <v>1.5175146148594517E-2</v>
      </c>
    </row>
    <row r="41" spans="1:22" ht="12.75" customHeight="1">
      <c r="A41" s="2" t="s">
        <v>389</v>
      </c>
      <c r="B41" s="35"/>
      <c r="C41" s="178"/>
      <c r="D41" s="80">
        <f t="shared" si="13"/>
        <v>0</v>
      </c>
      <c r="E41" s="178">
        <f>E37*0.124</f>
        <v>14816.617152000001</v>
      </c>
      <c r="F41" s="80">
        <f t="shared" si="14"/>
        <v>2.6914835880108994E-2</v>
      </c>
      <c r="G41" s="178">
        <f>G37*0.124</f>
        <v>15335.19875232</v>
      </c>
      <c r="H41" s="80">
        <f t="shared" si="15"/>
        <v>2.681121764765429E-2</v>
      </c>
      <c r="I41" s="178">
        <f>I37*0.124</f>
        <v>15825.925112394239</v>
      </c>
      <c r="J41" s="80">
        <f t="shared" si="16"/>
        <v>2.6579420376925292E-2</v>
      </c>
      <c r="K41" s="178">
        <f>K37*0.124</f>
        <v>16221.573240204096</v>
      </c>
      <c r="L41" s="80">
        <f t="shared" si="17"/>
        <v>2.6450394064415943E-2</v>
      </c>
      <c r="M41" s="178">
        <f>M37*0.124</f>
        <v>16627.112571209196</v>
      </c>
      <c r="N41" s="80">
        <f t="shared" si="18"/>
        <v>2.6373204198469204E-2</v>
      </c>
      <c r="O41" s="178">
        <f>O37*0.124</f>
        <v>17042.790385489425</v>
      </c>
      <c r="P41" s="80">
        <f t="shared" si="19"/>
        <v>2.6219722893725442E-2</v>
      </c>
      <c r="Q41" s="178">
        <f>Q37*0.124</f>
        <v>17383.646193199213</v>
      </c>
      <c r="R41" s="80">
        <f t="shared" si="20"/>
        <v>2.5965162477281502E-2</v>
      </c>
      <c r="S41" s="178">
        <f>S37*0.124</f>
        <v>17818.23734802919</v>
      </c>
      <c r="T41" s="80">
        <f t="shared" si="21"/>
        <v>2.5714291342235303E-2</v>
      </c>
      <c r="U41" s="178">
        <f>U37*0.124</f>
        <v>18263.693281729917</v>
      </c>
      <c r="V41" s="80">
        <f t="shared" si="22"/>
        <v>2.5639249635983637E-2</v>
      </c>
    </row>
    <row r="42" spans="1:22" ht="12.75" customHeight="1">
      <c r="A42" s="2" t="s">
        <v>390</v>
      </c>
      <c r="B42" s="35"/>
      <c r="C42" s="178"/>
      <c r="D42" s="80">
        <f t="shared" si="13"/>
        <v>0</v>
      </c>
      <c r="E42" s="178"/>
      <c r="F42" s="80">
        <f t="shared" si="14"/>
        <v>0</v>
      </c>
      <c r="G42" s="178"/>
      <c r="H42" s="80">
        <f t="shared" si="15"/>
        <v>0</v>
      </c>
      <c r="I42" s="178"/>
      <c r="J42" s="80">
        <f t="shared" si="16"/>
        <v>0</v>
      </c>
      <c r="K42" s="178"/>
      <c r="L42" s="80">
        <f t="shared" si="17"/>
        <v>0</v>
      </c>
      <c r="M42" s="178"/>
      <c r="N42" s="80">
        <f t="shared" si="18"/>
        <v>0</v>
      </c>
      <c r="O42" s="178"/>
      <c r="P42" s="80">
        <f t="shared" si="19"/>
        <v>0</v>
      </c>
      <c r="Q42" s="178"/>
      <c r="R42" s="80">
        <f t="shared" si="20"/>
        <v>0</v>
      </c>
      <c r="S42" s="178"/>
      <c r="T42" s="80">
        <f t="shared" si="21"/>
        <v>0</v>
      </c>
      <c r="U42" s="178"/>
      <c r="V42" s="80">
        <f t="shared" si="22"/>
        <v>0</v>
      </c>
    </row>
    <row r="43" spans="1:22" ht="12.75" customHeight="1">
      <c r="A43" s="2" t="s">
        <v>391</v>
      </c>
      <c r="B43" s="35"/>
      <c r="C43" s="178"/>
      <c r="D43" s="80">
        <f t="shared" si="13"/>
        <v>0</v>
      </c>
      <c r="E43" s="178"/>
      <c r="F43" s="80">
        <f t="shared" si="14"/>
        <v>0</v>
      </c>
      <c r="G43" s="178"/>
      <c r="H43" s="80">
        <f t="shared" si="15"/>
        <v>0</v>
      </c>
      <c r="I43" s="178"/>
      <c r="J43" s="80">
        <f t="shared" si="16"/>
        <v>0</v>
      </c>
      <c r="K43" s="178"/>
      <c r="L43" s="80">
        <f t="shared" si="17"/>
        <v>0</v>
      </c>
      <c r="M43" s="178"/>
      <c r="N43" s="80">
        <f t="shared" si="18"/>
        <v>0</v>
      </c>
      <c r="O43" s="178"/>
      <c r="P43" s="80">
        <f t="shared" si="19"/>
        <v>0</v>
      </c>
      <c r="Q43" s="178"/>
      <c r="R43" s="80">
        <f t="shared" si="20"/>
        <v>0</v>
      </c>
      <c r="S43" s="178"/>
      <c r="T43" s="80">
        <f t="shared" si="21"/>
        <v>0</v>
      </c>
      <c r="U43" s="178"/>
      <c r="V43" s="80">
        <f t="shared" si="22"/>
        <v>0</v>
      </c>
    </row>
    <row r="44" spans="1:22" ht="12.75" customHeight="1">
      <c r="A44" s="2" t="s">
        <v>392</v>
      </c>
      <c r="B44" s="35"/>
      <c r="C44" s="178"/>
      <c r="D44" s="80">
        <f t="shared" si="13"/>
        <v>0</v>
      </c>
      <c r="E44" s="178"/>
      <c r="F44" s="80">
        <f t="shared" si="14"/>
        <v>0</v>
      </c>
      <c r="G44" s="178"/>
      <c r="H44" s="80">
        <f t="shared" si="15"/>
        <v>0</v>
      </c>
      <c r="I44" s="178"/>
      <c r="J44" s="80">
        <f t="shared" si="16"/>
        <v>0</v>
      </c>
      <c r="K44" s="178"/>
      <c r="L44" s="80">
        <f t="shared" si="17"/>
        <v>0</v>
      </c>
      <c r="M44" s="178"/>
      <c r="N44" s="80">
        <f t="shared" si="18"/>
        <v>0</v>
      </c>
      <c r="O44" s="178"/>
      <c r="P44" s="80">
        <f t="shared" si="19"/>
        <v>0</v>
      </c>
      <c r="Q44" s="178"/>
      <c r="R44" s="80">
        <f t="shared" si="20"/>
        <v>0</v>
      </c>
      <c r="S44" s="178"/>
      <c r="T44" s="80">
        <f t="shared" si="21"/>
        <v>0</v>
      </c>
      <c r="U44" s="178"/>
      <c r="V44" s="80">
        <f t="shared" si="22"/>
        <v>0</v>
      </c>
    </row>
    <row r="45" spans="1:22" ht="12.75" customHeight="1">
      <c r="A45" s="2" t="s">
        <v>393</v>
      </c>
      <c r="B45" s="35"/>
      <c r="C45" s="181"/>
      <c r="D45" s="80">
        <f t="shared" si="13"/>
        <v>0</v>
      </c>
      <c r="E45" s="181">
        <f>SUM(E36:E39)*0.094</f>
        <v>17957.557712000002</v>
      </c>
      <c r="F45" s="80">
        <f t="shared" si="14"/>
        <v>3.2620449976385107E-2</v>
      </c>
      <c r="G45" s="181">
        <f>SUM(G36:G39)*0.094</f>
        <v>18518.81617192</v>
      </c>
      <c r="H45" s="80">
        <f t="shared" si="15"/>
        <v>3.2377279158976133E-2</v>
      </c>
      <c r="I45" s="181">
        <f>SUM(I36:I39)*0.094</f>
        <v>19063.162066371438</v>
      </c>
      <c r="J45" s="80">
        <f t="shared" si="16"/>
        <v>3.2016314665783703E-2</v>
      </c>
      <c r="K45" s="181">
        <f>SUM(K36:K39)*0.094</f>
        <v>19539.741118030721</v>
      </c>
      <c r="L45" s="80">
        <f t="shared" si="17"/>
        <v>3.1860895662551736E-2</v>
      </c>
      <c r="M45" s="181">
        <f>SUM(M36:M39)*0.094</f>
        <v>20028.234645981491</v>
      </c>
      <c r="N45" s="80">
        <f t="shared" si="18"/>
        <v>3.1767916395054017E-2</v>
      </c>
      <c r="O45" s="181">
        <f>SUM(O36:O39)*0.094</f>
        <v>20528.940512131026</v>
      </c>
      <c r="P45" s="80">
        <f t="shared" si="19"/>
        <v>3.1583040062978046E-2</v>
      </c>
      <c r="Q45" s="181">
        <f>SUM(Q36:Q39)*0.094</f>
        <v>20977.566351698977</v>
      </c>
      <c r="R45" s="80">
        <f t="shared" si="20"/>
        <v>3.1333237725058395E-2</v>
      </c>
      <c r="S45" s="181">
        <f>SUM(S36:S39)*0.094</f>
        <v>21502.005510491446</v>
      </c>
      <c r="T45" s="80">
        <f t="shared" si="21"/>
        <v>3.1030501128681012E-2</v>
      </c>
      <c r="U45" s="181">
        <f>SUM(U36:U39)*0.094</f>
        <v>22039.555648253732</v>
      </c>
      <c r="V45" s="80">
        <f t="shared" si="22"/>
        <v>3.0939945191535055E-2</v>
      </c>
    </row>
    <row r="46" spans="1:22" ht="12.75" customHeight="1">
      <c r="A46" s="1" t="s">
        <v>394</v>
      </c>
      <c r="B46" s="53"/>
      <c r="C46" s="82">
        <f>SUM(C36:C45)</f>
        <v>0</v>
      </c>
      <c r="D46" s="83">
        <f t="shared" si="13"/>
        <v>0</v>
      </c>
      <c r="E46" s="82">
        <f>SUM(E36:E45)</f>
        <v>232684.098864</v>
      </c>
      <c r="F46" s="83">
        <f t="shared" si="14"/>
        <v>0.42267774543869208</v>
      </c>
      <c r="G46" s="82">
        <f>SUM(G36:G45)</f>
        <v>239956.57550424</v>
      </c>
      <c r="H46" s="83">
        <f t="shared" si="15"/>
        <v>0.41952687250673332</v>
      </c>
      <c r="I46" s="82">
        <f>SUM(I36:I45)</f>
        <v>247009.90847702566</v>
      </c>
      <c r="J46" s="83">
        <f t="shared" si="16"/>
        <v>0.41484969428643137</v>
      </c>
      <c r="K46" s="82">
        <f>SUM(K36:K45)</f>
        <v>253185.15618895128</v>
      </c>
      <c r="L46" s="83">
        <f t="shared" si="17"/>
        <v>0.41283586081902146</v>
      </c>
      <c r="M46" s="82">
        <f>SUM(M36:M45)</f>
        <v>259514.78509367505</v>
      </c>
      <c r="N46" s="83">
        <f t="shared" si="18"/>
        <v>0.41163108690612543</v>
      </c>
      <c r="O46" s="82">
        <f>SUM(O36:O45)</f>
        <v>266002.65472101688</v>
      </c>
      <c r="P46" s="83">
        <f t="shared" si="19"/>
        <v>0.40923556166709846</v>
      </c>
      <c r="Q46" s="82">
        <f>SUM(Q36:Q45)</f>
        <v>271815.70017414208</v>
      </c>
      <c r="R46" s="83">
        <f t="shared" si="20"/>
        <v>0.40599876116086303</v>
      </c>
      <c r="S46" s="82">
        <f>SUM(S36:S45)</f>
        <v>278611.09267849557</v>
      </c>
      <c r="T46" s="83">
        <f t="shared" si="21"/>
        <v>0.40207606781631355</v>
      </c>
      <c r="U46" s="82">
        <f>SUM(U36:U45)</f>
        <v>285576.36999545794</v>
      </c>
      <c r="V46" s="83">
        <f t="shared" si="22"/>
        <v>0.40090269407754997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366</v>
      </c>
      <c r="E50" s="86" t="str">
        <f>E6</f>
        <v>FY 2019-20</v>
      </c>
      <c r="F50" s="86" t="s">
        <v>366</v>
      </c>
      <c r="G50" s="86" t="str">
        <f>G6</f>
        <v>FY 2020-21</v>
      </c>
      <c r="H50" s="86" t="s">
        <v>366</v>
      </c>
      <c r="I50" s="86" t="str">
        <f>I6</f>
        <v>FY 2021-22</v>
      </c>
      <c r="J50" s="86" t="s">
        <v>366</v>
      </c>
      <c r="K50" s="86" t="str">
        <f>K6</f>
        <v>FY 2022-23</v>
      </c>
      <c r="L50" s="86" t="s">
        <v>366</v>
      </c>
      <c r="M50" s="86" t="str">
        <f>M6</f>
        <v>FY 2023-24</v>
      </c>
      <c r="N50" s="86" t="s">
        <v>366</v>
      </c>
      <c r="O50" s="86" t="str">
        <f>O6</f>
        <v>FY 2024-25</v>
      </c>
      <c r="P50" s="86" t="s">
        <v>366</v>
      </c>
      <c r="Q50" s="86" t="str">
        <f>Q6</f>
        <v>FY 2025-26</v>
      </c>
      <c r="R50" s="86" t="s">
        <v>366</v>
      </c>
      <c r="S50" s="86" t="str">
        <f>S6</f>
        <v>FY 2026-27</v>
      </c>
      <c r="T50" s="86" t="s">
        <v>366</v>
      </c>
      <c r="U50" s="86" t="str">
        <f>U6</f>
        <v>FY 2027-28</v>
      </c>
      <c r="V50" s="86" t="s">
        <v>366</v>
      </c>
    </row>
    <row r="51" spans="1:24" ht="12.75" customHeight="1">
      <c r="A51" s="1" t="s">
        <v>395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396</v>
      </c>
      <c r="B52" s="35"/>
      <c r="C52" s="178">
        <v>0</v>
      </c>
      <c r="D52" s="80">
        <f t="shared" ref="D52:D104" si="24">IFERROR(C52/C$28,0)</f>
        <v>0</v>
      </c>
      <c r="E52" s="178">
        <v>0</v>
      </c>
      <c r="F52" s="80">
        <f t="shared" ref="F52:F104" si="25">IFERROR(E52/E$28,0)</f>
        <v>0</v>
      </c>
      <c r="G52" s="178">
        <v>0</v>
      </c>
      <c r="H52" s="80">
        <f t="shared" ref="H52:H104" si="26">IFERROR(G52/G$28,0)</f>
        <v>0</v>
      </c>
      <c r="I52" s="178">
        <v>0</v>
      </c>
      <c r="J52" s="80">
        <f t="shared" ref="J52:J104" si="27">IFERROR(I52/I$28,0)</f>
        <v>0</v>
      </c>
      <c r="K52" s="178">
        <v>0</v>
      </c>
      <c r="L52" s="80">
        <f t="shared" ref="L52:L104" si="28">IFERROR(K52/K$28,0)</f>
        <v>0</v>
      </c>
      <c r="M52" s="178">
        <v>0</v>
      </c>
      <c r="N52" s="80">
        <f t="shared" ref="N52:N104" si="29">IFERROR(M52/M$28,0)</f>
        <v>0</v>
      </c>
      <c r="O52" s="178">
        <v>0</v>
      </c>
      <c r="P52" s="80">
        <f t="shared" ref="P52:P104" si="30">IFERROR(O52/O$28,0)</f>
        <v>0</v>
      </c>
      <c r="Q52" s="178">
        <v>0</v>
      </c>
      <c r="R52" s="80">
        <f t="shared" ref="R52:R104" si="31">IFERROR(Q52/Q$28,0)</f>
        <v>0</v>
      </c>
      <c r="S52" s="178">
        <v>0</v>
      </c>
      <c r="T52" s="80">
        <f t="shared" ref="T52:T104" si="32">IFERROR(S52/S$28,0)</f>
        <v>0</v>
      </c>
      <c r="U52" s="178">
        <v>0</v>
      </c>
      <c r="V52" s="80">
        <f t="shared" ref="V52:V105" si="33">IFERROR(U52/U$28,0)</f>
        <v>0</v>
      </c>
      <c r="X52" s="192"/>
    </row>
    <row r="53" spans="1:24" ht="12.75" customHeight="1">
      <c r="A53" s="2" t="s">
        <v>397</v>
      </c>
      <c r="B53" s="35"/>
      <c r="C53" s="178">
        <v>0</v>
      </c>
      <c r="D53" s="80">
        <f t="shared" si="24"/>
        <v>0</v>
      </c>
      <c r="E53" s="178">
        <v>0</v>
      </c>
      <c r="F53" s="80">
        <f t="shared" si="25"/>
        <v>0</v>
      </c>
      <c r="G53" s="178">
        <v>0</v>
      </c>
      <c r="H53" s="80">
        <f t="shared" si="26"/>
        <v>0</v>
      </c>
      <c r="I53" s="178">
        <v>0</v>
      </c>
      <c r="J53" s="80">
        <f t="shared" si="27"/>
        <v>0</v>
      </c>
      <c r="K53" s="178">
        <v>0</v>
      </c>
      <c r="L53" s="80">
        <f t="shared" si="28"/>
        <v>0</v>
      </c>
      <c r="M53" s="178">
        <v>0</v>
      </c>
      <c r="N53" s="80">
        <f t="shared" si="29"/>
        <v>0</v>
      </c>
      <c r="O53" s="178">
        <v>0</v>
      </c>
      <c r="P53" s="80">
        <f t="shared" si="30"/>
        <v>0</v>
      </c>
      <c r="Q53" s="178">
        <v>0</v>
      </c>
      <c r="R53" s="80">
        <f t="shared" si="31"/>
        <v>0</v>
      </c>
      <c r="S53" s="178">
        <v>0</v>
      </c>
      <c r="T53" s="80">
        <f t="shared" si="32"/>
        <v>0</v>
      </c>
      <c r="U53" s="178">
        <v>0</v>
      </c>
      <c r="V53" s="80">
        <f t="shared" si="33"/>
        <v>0</v>
      </c>
      <c r="X53" s="192"/>
    </row>
    <row r="54" spans="1:24" ht="12.75" customHeight="1">
      <c r="A54" s="2" t="s">
        <v>398</v>
      </c>
      <c r="B54" s="35"/>
      <c r="C54" s="178">
        <v>0</v>
      </c>
      <c r="D54" s="80">
        <f t="shared" si="24"/>
        <v>0</v>
      </c>
      <c r="E54" s="178">
        <v>385.34999999999997</v>
      </c>
      <c r="F54" s="80">
        <f t="shared" si="25"/>
        <v>6.9999999999999988E-4</v>
      </c>
      <c r="G54" s="178">
        <v>400.37865000000005</v>
      </c>
      <c r="H54" s="80">
        <f t="shared" si="26"/>
        <v>7.000000000000001E-4</v>
      </c>
      <c r="I54" s="178">
        <v>416.79417464999995</v>
      </c>
      <c r="J54" s="80">
        <f t="shared" si="27"/>
        <v>6.9999999999999999E-4</v>
      </c>
      <c r="K54" s="178">
        <v>429.29799988949992</v>
      </c>
      <c r="L54" s="80">
        <f t="shared" si="28"/>
        <v>6.9999999999999988E-4</v>
      </c>
      <c r="M54" s="178">
        <v>441.31834388640601</v>
      </c>
      <c r="N54" s="80">
        <f t="shared" si="29"/>
        <v>7.000000000000001E-4</v>
      </c>
      <c r="O54" s="178">
        <v>454.99921254688456</v>
      </c>
      <c r="P54" s="80">
        <f t="shared" si="30"/>
        <v>6.9999999999999999E-4</v>
      </c>
      <c r="Q54" s="178">
        <v>468.64918892329115</v>
      </c>
      <c r="R54" s="80">
        <f t="shared" si="31"/>
        <v>7.000000000000001E-4</v>
      </c>
      <c r="S54" s="178">
        <v>485.05191053560628</v>
      </c>
      <c r="T54" s="80">
        <f t="shared" si="32"/>
        <v>6.9999999999999999E-4</v>
      </c>
      <c r="U54" s="178">
        <v>498.63336403060327</v>
      </c>
      <c r="V54" s="80">
        <f t="shared" si="33"/>
        <v>6.9999999999999999E-4</v>
      </c>
      <c r="X54" s="192"/>
    </row>
    <row r="55" spans="1:24" ht="12.75" customHeight="1">
      <c r="A55" s="2" t="s">
        <v>399</v>
      </c>
      <c r="B55" s="35"/>
      <c r="C55" s="178">
        <v>0</v>
      </c>
      <c r="D55" s="80">
        <f t="shared" si="24"/>
        <v>0</v>
      </c>
      <c r="E55" s="178">
        <v>55050</v>
      </c>
      <c r="F55" s="80">
        <f t="shared" si="25"/>
        <v>0.1</v>
      </c>
      <c r="G55" s="178">
        <v>57196.950000000004</v>
      </c>
      <c r="H55" s="80">
        <f t="shared" si="26"/>
        <v>0.1</v>
      </c>
      <c r="I55" s="178">
        <v>59542.024949999992</v>
      </c>
      <c r="J55" s="80">
        <f t="shared" si="27"/>
        <v>0.1</v>
      </c>
      <c r="K55" s="178">
        <v>61328.285698499996</v>
      </c>
      <c r="L55" s="80">
        <f t="shared" si="28"/>
        <v>0.1</v>
      </c>
      <c r="M55" s="178">
        <v>63045.477698057999</v>
      </c>
      <c r="N55" s="80">
        <f t="shared" si="29"/>
        <v>0.1</v>
      </c>
      <c r="O55" s="178">
        <v>64999.887506697793</v>
      </c>
      <c r="P55" s="80">
        <f t="shared" si="30"/>
        <v>0.1</v>
      </c>
      <c r="Q55" s="178">
        <v>66949.88413189874</v>
      </c>
      <c r="R55" s="80">
        <f t="shared" si="31"/>
        <v>0.10000000000000002</v>
      </c>
      <c r="S55" s="178">
        <v>69293.130076515183</v>
      </c>
      <c r="T55" s="80">
        <f t="shared" si="32"/>
        <v>9.9999999999999992E-2</v>
      </c>
      <c r="U55" s="178">
        <v>71233.337718657611</v>
      </c>
      <c r="V55" s="80">
        <f t="shared" si="33"/>
        <v>9.9999999999999992E-2</v>
      </c>
      <c r="X55" s="192"/>
    </row>
    <row r="56" spans="1:24" ht="12.75" customHeight="1">
      <c r="A56" s="2" t="s">
        <v>400</v>
      </c>
      <c r="B56" s="35"/>
      <c r="C56" s="178">
        <v>0</v>
      </c>
      <c r="D56" s="80">
        <f t="shared" si="24"/>
        <v>0</v>
      </c>
      <c r="E56" s="178">
        <v>280.755</v>
      </c>
      <c r="F56" s="80">
        <f t="shared" si="25"/>
        <v>5.1000000000000004E-4</v>
      </c>
      <c r="G56" s="178">
        <v>291.70444500000002</v>
      </c>
      <c r="H56" s="80">
        <f t="shared" si="26"/>
        <v>5.1000000000000004E-4</v>
      </c>
      <c r="I56" s="178">
        <v>303.66432724499998</v>
      </c>
      <c r="J56" s="80">
        <f t="shared" si="27"/>
        <v>5.1000000000000004E-4</v>
      </c>
      <c r="K56" s="178">
        <v>312.77425706234999</v>
      </c>
      <c r="L56" s="80">
        <f t="shared" si="28"/>
        <v>5.1000000000000004E-4</v>
      </c>
      <c r="M56" s="178">
        <v>321.53193626009579</v>
      </c>
      <c r="N56" s="80">
        <f t="shared" si="29"/>
        <v>5.1000000000000004E-4</v>
      </c>
      <c r="O56" s="178">
        <v>331.4994262841588</v>
      </c>
      <c r="P56" s="80">
        <f t="shared" si="30"/>
        <v>5.1000000000000004E-4</v>
      </c>
      <c r="Q56" s="178">
        <v>341.44440907268358</v>
      </c>
      <c r="R56" s="80">
        <f t="shared" si="31"/>
        <v>5.1000000000000004E-4</v>
      </c>
      <c r="S56" s="178">
        <v>353.39496339022747</v>
      </c>
      <c r="T56" s="80">
        <f t="shared" si="32"/>
        <v>5.1000000000000004E-4</v>
      </c>
      <c r="U56" s="178">
        <v>363.29002236515385</v>
      </c>
      <c r="V56" s="80">
        <f t="shared" si="33"/>
        <v>5.1000000000000004E-4</v>
      </c>
      <c r="X56" s="192"/>
    </row>
    <row r="57" spans="1:24" ht="12.75" customHeight="1">
      <c r="A57" s="2" t="s">
        <v>401</v>
      </c>
      <c r="B57" s="35"/>
      <c r="C57" s="178">
        <v>0</v>
      </c>
      <c r="D57" s="80">
        <f t="shared" si="24"/>
        <v>0</v>
      </c>
      <c r="E57" s="178">
        <v>0</v>
      </c>
      <c r="F57" s="80">
        <f t="shared" si="25"/>
        <v>0</v>
      </c>
      <c r="G57" s="178">
        <v>0</v>
      </c>
      <c r="H57" s="80">
        <f t="shared" si="26"/>
        <v>0</v>
      </c>
      <c r="I57" s="178">
        <v>0</v>
      </c>
      <c r="J57" s="80">
        <f t="shared" si="27"/>
        <v>0</v>
      </c>
      <c r="K57" s="178">
        <v>0</v>
      </c>
      <c r="L57" s="80">
        <f t="shared" si="28"/>
        <v>0</v>
      </c>
      <c r="M57" s="178">
        <v>0</v>
      </c>
      <c r="N57" s="80">
        <f t="shared" si="29"/>
        <v>0</v>
      </c>
      <c r="O57" s="178">
        <v>0</v>
      </c>
      <c r="P57" s="80">
        <f t="shared" si="30"/>
        <v>0</v>
      </c>
      <c r="Q57" s="178">
        <v>0</v>
      </c>
      <c r="R57" s="80">
        <f t="shared" si="31"/>
        <v>0</v>
      </c>
      <c r="S57" s="178">
        <v>0</v>
      </c>
      <c r="T57" s="80">
        <f t="shared" si="32"/>
        <v>0</v>
      </c>
      <c r="U57" s="178">
        <v>0</v>
      </c>
      <c r="V57" s="80">
        <f t="shared" si="33"/>
        <v>0</v>
      </c>
      <c r="X57" s="192"/>
    </row>
    <row r="58" spans="1:24" ht="12.75" customHeight="1">
      <c r="A58" s="2" t="s">
        <v>402</v>
      </c>
      <c r="B58" s="35"/>
      <c r="C58" s="178">
        <v>0</v>
      </c>
      <c r="D58" s="80">
        <f t="shared" si="24"/>
        <v>0</v>
      </c>
      <c r="E58" s="178">
        <v>0</v>
      </c>
      <c r="F58" s="80">
        <f t="shared" si="25"/>
        <v>0</v>
      </c>
      <c r="G58" s="178">
        <v>0</v>
      </c>
      <c r="H58" s="80">
        <f t="shared" si="26"/>
        <v>0</v>
      </c>
      <c r="I58" s="178">
        <v>0</v>
      </c>
      <c r="J58" s="80">
        <f t="shared" si="27"/>
        <v>0</v>
      </c>
      <c r="K58" s="178">
        <v>0</v>
      </c>
      <c r="L58" s="80">
        <f t="shared" si="28"/>
        <v>0</v>
      </c>
      <c r="M58" s="178">
        <v>0</v>
      </c>
      <c r="N58" s="80">
        <f t="shared" si="29"/>
        <v>0</v>
      </c>
      <c r="O58" s="178">
        <v>0</v>
      </c>
      <c r="P58" s="80">
        <f t="shared" si="30"/>
        <v>0</v>
      </c>
      <c r="Q58" s="178">
        <v>0</v>
      </c>
      <c r="R58" s="80">
        <f t="shared" si="31"/>
        <v>0</v>
      </c>
      <c r="S58" s="178">
        <v>0</v>
      </c>
      <c r="T58" s="80">
        <f t="shared" si="32"/>
        <v>0</v>
      </c>
      <c r="U58" s="178">
        <v>0</v>
      </c>
      <c r="V58" s="80">
        <f t="shared" si="33"/>
        <v>0</v>
      </c>
      <c r="X58" s="192"/>
    </row>
    <row r="59" spans="1:24" ht="12.75" customHeight="1">
      <c r="A59" s="2" t="s">
        <v>403</v>
      </c>
      <c r="B59" s="35"/>
      <c r="C59" s="178"/>
      <c r="D59" s="80">
        <f t="shared" si="24"/>
        <v>0</v>
      </c>
      <c r="E59" s="178"/>
      <c r="F59" s="80">
        <f t="shared" si="25"/>
        <v>0</v>
      </c>
      <c r="G59" s="178"/>
      <c r="H59" s="80">
        <f t="shared" si="26"/>
        <v>0</v>
      </c>
      <c r="I59" s="178"/>
      <c r="J59" s="80">
        <f t="shared" si="27"/>
        <v>0</v>
      </c>
      <c r="K59" s="178"/>
      <c r="L59" s="80">
        <f t="shared" si="28"/>
        <v>0</v>
      </c>
      <c r="M59" s="178"/>
      <c r="N59" s="80">
        <f t="shared" si="29"/>
        <v>0</v>
      </c>
      <c r="O59" s="178"/>
      <c r="P59" s="80">
        <f t="shared" si="30"/>
        <v>0</v>
      </c>
      <c r="Q59" s="178"/>
      <c r="R59" s="80">
        <f t="shared" si="31"/>
        <v>0</v>
      </c>
      <c r="S59" s="178"/>
      <c r="T59" s="80">
        <f t="shared" si="32"/>
        <v>0</v>
      </c>
      <c r="U59" s="178"/>
      <c r="V59" s="80">
        <f t="shared" si="33"/>
        <v>0</v>
      </c>
      <c r="X59" s="192"/>
    </row>
    <row r="60" spans="1:24" ht="12.75" customHeight="1">
      <c r="A60" s="2" t="s">
        <v>404</v>
      </c>
      <c r="B60" s="35"/>
      <c r="C60" s="178">
        <v>0</v>
      </c>
      <c r="D60" s="80">
        <f t="shared" si="24"/>
        <v>0</v>
      </c>
      <c r="E60" s="178">
        <v>0</v>
      </c>
      <c r="F60" s="80">
        <f t="shared" si="25"/>
        <v>0</v>
      </c>
      <c r="G60" s="178">
        <v>0</v>
      </c>
      <c r="H60" s="80">
        <f t="shared" si="26"/>
        <v>0</v>
      </c>
      <c r="I60" s="178">
        <v>0</v>
      </c>
      <c r="J60" s="80">
        <f t="shared" si="27"/>
        <v>0</v>
      </c>
      <c r="K60" s="178">
        <v>0</v>
      </c>
      <c r="L60" s="80">
        <f t="shared" si="28"/>
        <v>0</v>
      </c>
      <c r="M60" s="178">
        <v>0</v>
      </c>
      <c r="N60" s="80">
        <f t="shared" si="29"/>
        <v>0</v>
      </c>
      <c r="O60" s="178">
        <v>0</v>
      </c>
      <c r="P60" s="80">
        <f t="shared" si="30"/>
        <v>0</v>
      </c>
      <c r="Q60" s="178">
        <v>0</v>
      </c>
      <c r="R60" s="80">
        <f t="shared" si="31"/>
        <v>0</v>
      </c>
      <c r="S60" s="178">
        <v>0</v>
      </c>
      <c r="T60" s="80">
        <f t="shared" si="32"/>
        <v>0</v>
      </c>
      <c r="U60" s="178">
        <v>0</v>
      </c>
      <c r="V60" s="80">
        <f t="shared" si="33"/>
        <v>0</v>
      </c>
      <c r="X60" s="192"/>
    </row>
    <row r="61" spans="1:24" ht="12.75" customHeight="1">
      <c r="A61" s="2" t="s">
        <v>405</v>
      </c>
      <c r="B61" s="35"/>
      <c r="C61" s="178">
        <v>0</v>
      </c>
      <c r="D61" s="80">
        <f t="shared" si="24"/>
        <v>0</v>
      </c>
      <c r="E61" s="178">
        <v>0</v>
      </c>
      <c r="F61" s="80">
        <f t="shared" si="25"/>
        <v>0</v>
      </c>
      <c r="G61" s="178">
        <v>0</v>
      </c>
      <c r="H61" s="80">
        <f t="shared" si="26"/>
        <v>0</v>
      </c>
      <c r="I61" s="178">
        <v>0</v>
      </c>
      <c r="J61" s="80">
        <f t="shared" si="27"/>
        <v>0</v>
      </c>
      <c r="K61" s="178">
        <v>0</v>
      </c>
      <c r="L61" s="80">
        <f t="shared" si="28"/>
        <v>0</v>
      </c>
      <c r="M61" s="178">
        <v>0</v>
      </c>
      <c r="N61" s="80">
        <f t="shared" si="29"/>
        <v>0</v>
      </c>
      <c r="O61" s="178">
        <v>0</v>
      </c>
      <c r="P61" s="80">
        <f t="shared" si="30"/>
        <v>0</v>
      </c>
      <c r="Q61" s="178">
        <v>0</v>
      </c>
      <c r="R61" s="80">
        <f t="shared" si="31"/>
        <v>0</v>
      </c>
      <c r="S61" s="178">
        <v>0</v>
      </c>
      <c r="T61" s="80">
        <f t="shared" si="32"/>
        <v>0</v>
      </c>
      <c r="U61" s="178">
        <v>0</v>
      </c>
      <c r="V61" s="80">
        <f t="shared" si="33"/>
        <v>0</v>
      </c>
      <c r="X61" s="192"/>
    </row>
    <row r="62" spans="1:24" ht="12.75" customHeight="1">
      <c r="A62" s="2" t="s">
        <v>406</v>
      </c>
      <c r="B62" s="35"/>
      <c r="C62" s="178">
        <v>0</v>
      </c>
      <c r="D62" s="80">
        <f t="shared" si="24"/>
        <v>0</v>
      </c>
      <c r="E62" s="178">
        <v>0</v>
      </c>
      <c r="F62" s="80">
        <f t="shared" si="25"/>
        <v>0</v>
      </c>
      <c r="G62" s="178">
        <v>0</v>
      </c>
      <c r="H62" s="80">
        <f t="shared" si="26"/>
        <v>0</v>
      </c>
      <c r="I62" s="178">
        <v>0</v>
      </c>
      <c r="J62" s="80">
        <f t="shared" si="27"/>
        <v>0</v>
      </c>
      <c r="K62" s="178">
        <v>0</v>
      </c>
      <c r="L62" s="80">
        <f t="shared" si="28"/>
        <v>0</v>
      </c>
      <c r="M62" s="178">
        <v>0</v>
      </c>
      <c r="N62" s="80">
        <f t="shared" si="29"/>
        <v>0</v>
      </c>
      <c r="O62" s="178">
        <v>0</v>
      </c>
      <c r="P62" s="80">
        <f t="shared" si="30"/>
        <v>0</v>
      </c>
      <c r="Q62" s="178">
        <v>0</v>
      </c>
      <c r="R62" s="80">
        <f t="shared" si="31"/>
        <v>0</v>
      </c>
      <c r="S62" s="178">
        <v>0</v>
      </c>
      <c r="T62" s="80">
        <f t="shared" si="32"/>
        <v>0</v>
      </c>
      <c r="U62" s="178">
        <v>0</v>
      </c>
      <c r="V62" s="80">
        <f t="shared" si="33"/>
        <v>0</v>
      </c>
      <c r="X62" s="192"/>
    </row>
    <row r="63" spans="1:24" ht="12.75" customHeight="1">
      <c r="A63" s="2" t="s">
        <v>407</v>
      </c>
      <c r="B63" s="35"/>
      <c r="C63" s="178">
        <v>0</v>
      </c>
      <c r="D63" s="80">
        <f t="shared" si="24"/>
        <v>0</v>
      </c>
      <c r="E63" s="178">
        <v>6796.0827112208399</v>
      </c>
      <c r="F63" s="80">
        <f t="shared" si="25"/>
        <v>1.2345291028557383E-2</v>
      </c>
      <c r="G63" s="178">
        <v>6986.3879554523955</v>
      </c>
      <c r="H63" s="80">
        <f t="shared" si="26"/>
        <v>1.2214616260923695E-2</v>
      </c>
      <c r="I63" s="178">
        <v>7291.5048480521154</v>
      </c>
      <c r="J63" s="80">
        <f t="shared" si="27"/>
        <v>1.224598064001872E-2</v>
      </c>
      <c r="K63" s="178">
        <v>7487.1036781661051</v>
      </c>
      <c r="L63" s="80">
        <f t="shared" si="28"/>
        <v>1.2208238976341107E-2</v>
      </c>
      <c r="M63" s="178">
        <v>7709.7185231305302</v>
      </c>
      <c r="N63" s="80">
        <f t="shared" si="29"/>
        <v>1.2228820852233807E-2</v>
      </c>
      <c r="O63" s="178">
        <v>7965.1069408192343</v>
      </c>
      <c r="P63" s="80">
        <f t="shared" si="30"/>
        <v>1.2254031885822086E-2</v>
      </c>
      <c r="Q63" s="178">
        <v>8228.1540304424798</v>
      </c>
      <c r="R63" s="80">
        <f t="shared" si="31"/>
        <v>1.2290019821740243E-2</v>
      </c>
      <c r="S63" s="178">
        <v>8540.4675512479607</v>
      </c>
      <c r="T63" s="80">
        <f t="shared" si="32"/>
        <v>1.2325128828525087E-2</v>
      </c>
      <c r="U63" s="178">
        <v>8806.3252063409382</v>
      </c>
      <c r="V63" s="80">
        <f t="shared" si="33"/>
        <v>1.236264576162681E-2</v>
      </c>
      <c r="X63" s="192"/>
    </row>
    <row r="64" spans="1:24" ht="12.75" customHeight="1">
      <c r="A64" s="2" t="s">
        <v>408</v>
      </c>
      <c r="B64" s="35"/>
      <c r="C64" s="178">
        <v>0</v>
      </c>
      <c r="D64" s="80">
        <f t="shared" si="24"/>
        <v>0</v>
      </c>
      <c r="E64" s="178">
        <v>2642.3999999999996</v>
      </c>
      <c r="F64" s="80">
        <f t="shared" si="25"/>
        <v>4.7999999999999996E-3</v>
      </c>
      <c r="G64" s="178">
        <v>2745.4535999999998</v>
      </c>
      <c r="H64" s="80">
        <f t="shared" si="26"/>
        <v>4.7999999999999996E-3</v>
      </c>
      <c r="I64" s="178">
        <v>2858.0171975999992</v>
      </c>
      <c r="J64" s="80">
        <f t="shared" si="27"/>
        <v>4.7999999999999996E-3</v>
      </c>
      <c r="K64" s="178">
        <v>2943.7577135279994</v>
      </c>
      <c r="L64" s="80">
        <f t="shared" si="28"/>
        <v>4.7999999999999996E-3</v>
      </c>
      <c r="M64" s="178">
        <v>3026.1829295067837</v>
      </c>
      <c r="N64" s="80">
        <f t="shared" si="29"/>
        <v>4.7999999999999996E-3</v>
      </c>
      <c r="O64" s="178">
        <v>3119.9946003214941</v>
      </c>
      <c r="P64" s="80">
        <f t="shared" si="30"/>
        <v>4.8000000000000004E-3</v>
      </c>
      <c r="Q64" s="178">
        <v>3213.5944383311385</v>
      </c>
      <c r="R64" s="80">
        <f t="shared" si="31"/>
        <v>4.7999999999999987E-3</v>
      </c>
      <c r="S64" s="178">
        <v>3326.0702436727283</v>
      </c>
      <c r="T64" s="80">
        <f t="shared" si="32"/>
        <v>4.7999999999999996E-3</v>
      </c>
      <c r="U64" s="178">
        <v>3419.200210495565</v>
      </c>
      <c r="V64" s="80">
        <f t="shared" si="33"/>
        <v>4.7999999999999996E-3</v>
      </c>
      <c r="X64" s="192"/>
    </row>
    <row r="65" spans="1:24" ht="12.75" customHeight="1">
      <c r="A65" s="2" t="s">
        <v>409</v>
      </c>
      <c r="B65" s="35"/>
      <c r="C65" s="178">
        <v>0</v>
      </c>
      <c r="D65" s="80">
        <f t="shared" si="24"/>
        <v>0</v>
      </c>
      <c r="E65" s="178">
        <v>275.25</v>
      </c>
      <c r="F65" s="80">
        <f t="shared" si="25"/>
        <v>5.0000000000000001E-4</v>
      </c>
      <c r="G65" s="178">
        <v>285.98475000000002</v>
      </c>
      <c r="H65" s="80">
        <f t="shared" si="26"/>
        <v>5.0000000000000001E-4</v>
      </c>
      <c r="I65" s="178">
        <v>297.71012474999998</v>
      </c>
      <c r="J65" s="80">
        <f t="shared" si="27"/>
        <v>5.0000000000000001E-4</v>
      </c>
      <c r="K65" s="178">
        <v>306.64142849249993</v>
      </c>
      <c r="L65" s="80">
        <f t="shared" si="28"/>
        <v>4.999999999999999E-4</v>
      </c>
      <c r="M65" s="178">
        <v>315.22738849028997</v>
      </c>
      <c r="N65" s="80">
        <f t="shared" si="29"/>
        <v>5.0000000000000001E-4</v>
      </c>
      <c r="O65" s="178">
        <v>324.99943753348902</v>
      </c>
      <c r="P65" s="80">
        <f t="shared" si="30"/>
        <v>5.0000000000000012E-4</v>
      </c>
      <c r="Q65" s="178">
        <v>334.74942065949364</v>
      </c>
      <c r="R65" s="80">
        <f t="shared" si="31"/>
        <v>5.0000000000000001E-4</v>
      </c>
      <c r="S65" s="178">
        <v>346.46565038257592</v>
      </c>
      <c r="T65" s="80">
        <f t="shared" si="32"/>
        <v>5.0000000000000001E-4</v>
      </c>
      <c r="U65" s="178">
        <v>356.16668859328803</v>
      </c>
      <c r="V65" s="80">
        <f t="shared" si="33"/>
        <v>4.999999999999999E-4</v>
      </c>
      <c r="X65" s="192"/>
    </row>
    <row r="66" spans="1:24" ht="12.75" customHeight="1">
      <c r="A66" s="2" t="s">
        <v>410</v>
      </c>
      <c r="B66" s="35"/>
      <c r="C66" s="178">
        <v>0</v>
      </c>
      <c r="D66" s="80">
        <f t="shared" si="24"/>
        <v>0</v>
      </c>
      <c r="E66" s="178">
        <v>1541.3999999999999</v>
      </c>
      <c r="F66" s="80">
        <f t="shared" si="25"/>
        <v>2.7999999999999995E-3</v>
      </c>
      <c r="G66" s="178">
        <v>1601.5146000000002</v>
      </c>
      <c r="H66" s="80">
        <f t="shared" si="26"/>
        <v>2.8000000000000004E-3</v>
      </c>
      <c r="I66" s="178">
        <v>1667.1766985999998</v>
      </c>
      <c r="J66" s="80">
        <f t="shared" si="27"/>
        <v>2.8E-3</v>
      </c>
      <c r="K66" s="178">
        <v>1717.1919995579997</v>
      </c>
      <c r="L66" s="80">
        <f t="shared" si="28"/>
        <v>2.7999999999999995E-3</v>
      </c>
      <c r="M66" s="178">
        <v>1765.273375545624</v>
      </c>
      <c r="N66" s="80">
        <f t="shared" si="29"/>
        <v>2.8000000000000004E-3</v>
      </c>
      <c r="O66" s="178">
        <v>1819.9968501875383</v>
      </c>
      <c r="P66" s="80">
        <f t="shared" si="30"/>
        <v>2.8E-3</v>
      </c>
      <c r="Q66" s="178">
        <v>1874.5967556931646</v>
      </c>
      <c r="R66" s="80">
        <f t="shared" si="31"/>
        <v>2.8000000000000004E-3</v>
      </c>
      <c r="S66" s="178">
        <v>1940.2076421424251</v>
      </c>
      <c r="T66" s="80">
        <f t="shared" si="32"/>
        <v>2.8E-3</v>
      </c>
      <c r="U66" s="178">
        <v>1994.5334561224131</v>
      </c>
      <c r="V66" s="80">
        <f t="shared" si="33"/>
        <v>2.8E-3</v>
      </c>
      <c r="X66" s="192"/>
    </row>
    <row r="67" spans="1:24" ht="12.75" customHeight="1">
      <c r="A67" s="2" t="s">
        <v>411</v>
      </c>
      <c r="B67" s="35"/>
      <c r="C67" s="178">
        <v>0</v>
      </c>
      <c r="D67" s="80">
        <f t="shared" si="24"/>
        <v>0</v>
      </c>
      <c r="E67" s="178">
        <v>8257.5</v>
      </c>
      <c r="F67" s="80">
        <f t="shared" si="25"/>
        <v>1.4999999999999999E-2</v>
      </c>
      <c r="G67" s="178">
        <v>8579.5425000000014</v>
      </c>
      <c r="H67" s="80">
        <f t="shared" si="26"/>
        <v>1.5000000000000003E-2</v>
      </c>
      <c r="I67" s="178">
        <v>8931.3037424999984</v>
      </c>
      <c r="J67" s="80">
        <f t="shared" si="27"/>
        <v>1.4999999999999999E-2</v>
      </c>
      <c r="K67" s="178">
        <v>9199.2428547749969</v>
      </c>
      <c r="L67" s="80">
        <f t="shared" si="28"/>
        <v>1.4999999999999996E-2</v>
      </c>
      <c r="M67" s="178">
        <v>9456.8216547086995</v>
      </c>
      <c r="N67" s="80">
        <f t="shared" si="29"/>
        <v>1.5000000000000001E-2</v>
      </c>
      <c r="O67" s="178">
        <v>9749.9831260046685</v>
      </c>
      <c r="P67" s="80">
        <f t="shared" si="30"/>
        <v>1.4999999999999999E-2</v>
      </c>
      <c r="Q67" s="178">
        <v>10042.482619784809</v>
      </c>
      <c r="R67" s="80">
        <f t="shared" si="31"/>
        <v>1.4999999999999999E-2</v>
      </c>
      <c r="S67" s="178">
        <v>10393.969511477277</v>
      </c>
      <c r="T67" s="80">
        <f t="shared" si="32"/>
        <v>1.4999999999999998E-2</v>
      </c>
      <c r="U67" s="178">
        <v>10685.000657798641</v>
      </c>
      <c r="V67" s="80">
        <f t="shared" si="33"/>
        <v>1.4999999999999998E-2</v>
      </c>
      <c r="X67" s="192"/>
    </row>
    <row r="68" spans="1:24" ht="12.75" customHeight="1">
      <c r="A68" s="2" t="s">
        <v>412</v>
      </c>
      <c r="B68" s="35"/>
      <c r="C68" s="178">
        <v>0</v>
      </c>
      <c r="D68" s="80">
        <f t="shared" si="24"/>
        <v>0</v>
      </c>
      <c r="E68" s="178">
        <v>935.84999999999991</v>
      </c>
      <c r="F68" s="80">
        <f t="shared" si="25"/>
        <v>1.6999999999999999E-3</v>
      </c>
      <c r="G68" s="178">
        <v>972.34815000000003</v>
      </c>
      <c r="H68" s="80">
        <f t="shared" si="26"/>
        <v>1.7000000000000001E-3</v>
      </c>
      <c r="I68" s="178">
        <v>1012.2144241499998</v>
      </c>
      <c r="J68" s="80">
        <f t="shared" si="27"/>
        <v>1.6999999999999999E-3</v>
      </c>
      <c r="K68" s="178">
        <v>1042.5808568744997</v>
      </c>
      <c r="L68" s="80">
        <f t="shared" si="28"/>
        <v>1.6999999999999995E-3</v>
      </c>
      <c r="M68" s="178">
        <v>1071.7731208669859</v>
      </c>
      <c r="N68" s="80">
        <f t="shared" si="29"/>
        <v>1.6999999999999999E-3</v>
      </c>
      <c r="O68" s="178">
        <v>1104.9980876138625</v>
      </c>
      <c r="P68" s="80">
        <f t="shared" si="30"/>
        <v>1.6999999999999999E-3</v>
      </c>
      <c r="Q68" s="178">
        <v>1138.1480302422783</v>
      </c>
      <c r="R68" s="80">
        <f t="shared" si="31"/>
        <v>1.6999999999999999E-3</v>
      </c>
      <c r="S68" s="178">
        <v>1177.9832113007581</v>
      </c>
      <c r="T68" s="80">
        <f t="shared" si="32"/>
        <v>1.6999999999999999E-3</v>
      </c>
      <c r="U68" s="178">
        <v>1210.9667412171793</v>
      </c>
      <c r="V68" s="80">
        <f t="shared" si="33"/>
        <v>1.6999999999999999E-3</v>
      </c>
      <c r="X68" s="192"/>
    </row>
    <row r="69" spans="1:24" ht="12.75" customHeight="1">
      <c r="A69" s="2" t="s">
        <v>413</v>
      </c>
      <c r="B69" s="35"/>
      <c r="C69" s="178">
        <v>0</v>
      </c>
      <c r="D69" s="80">
        <f t="shared" si="24"/>
        <v>0</v>
      </c>
      <c r="E69" s="178">
        <v>0</v>
      </c>
      <c r="F69" s="80">
        <f t="shared" si="25"/>
        <v>0</v>
      </c>
      <c r="G69" s="178">
        <v>0</v>
      </c>
      <c r="H69" s="80">
        <f t="shared" si="26"/>
        <v>0</v>
      </c>
      <c r="I69" s="178">
        <v>0</v>
      </c>
      <c r="J69" s="80">
        <f t="shared" si="27"/>
        <v>0</v>
      </c>
      <c r="K69" s="178">
        <v>0</v>
      </c>
      <c r="L69" s="80">
        <f t="shared" si="28"/>
        <v>0</v>
      </c>
      <c r="M69" s="178">
        <v>0</v>
      </c>
      <c r="N69" s="80">
        <f t="shared" si="29"/>
        <v>0</v>
      </c>
      <c r="O69" s="178">
        <v>0</v>
      </c>
      <c r="P69" s="80">
        <f t="shared" si="30"/>
        <v>0</v>
      </c>
      <c r="Q69" s="178">
        <v>0</v>
      </c>
      <c r="R69" s="80">
        <f t="shared" si="31"/>
        <v>0</v>
      </c>
      <c r="S69" s="178">
        <v>0</v>
      </c>
      <c r="T69" s="80">
        <f t="shared" si="32"/>
        <v>0</v>
      </c>
      <c r="U69" s="178">
        <v>0</v>
      </c>
      <c r="V69" s="80">
        <f t="shared" si="33"/>
        <v>0</v>
      </c>
      <c r="X69" s="192"/>
    </row>
    <row r="70" spans="1:24" ht="12.75" customHeight="1">
      <c r="A70" s="2" t="s">
        <v>414</v>
      </c>
      <c r="B70" s="35"/>
      <c r="C70" s="178">
        <v>0</v>
      </c>
      <c r="D70" s="80">
        <f t="shared" si="24"/>
        <v>0</v>
      </c>
      <c r="E70" s="178">
        <v>55.050000000000004</v>
      </c>
      <c r="F70" s="80">
        <f t="shared" si="25"/>
        <v>1E-4</v>
      </c>
      <c r="G70" s="178">
        <v>57.196950000000008</v>
      </c>
      <c r="H70" s="80">
        <f t="shared" si="26"/>
        <v>1.0000000000000002E-4</v>
      </c>
      <c r="I70" s="178">
        <v>59.542024949999991</v>
      </c>
      <c r="J70" s="80">
        <f t="shared" si="27"/>
        <v>1E-4</v>
      </c>
      <c r="K70" s="178">
        <v>61.32828569849999</v>
      </c>
      <c r="L70" s="80">
        <f t="shared" si="28"/>
        <v>9.9999999999999991E-5</v>
      </c>
      <c r="M70" s="178">
        <v>63.045477698058001</v>
      </c>
      <c r="N70" s="80">
        <f t="shared" si="29"/>
        <v>1E-4</v>
      </c>
      <c r="O70" s="178">
        <v>64.999887506697803</v>
      </c>
      <c r="P70" s="80">
        <f t="shared" si="30"/>
        <v>1.0000000000000002E-4</v>
      </c>
      <c r="Q70" s="178">
        <v>66.949884131898742</v>
      </c>
      <c r="R70" s="80">
        <f t="shared" si="31"/>
        <v>1.0000000000000002E-4</v>
      </c>
      <c r="S70" s="178">
        <v>69.293130076515183</v>
      </c>
      <c r="T70" s="80">
        <f t="shared" si="32"/>
        <v>9.9999999999999991E-5</v>
      </c>
      <c r="U70" s="178">
        <v>71.233337718657609</v>
      </c>
      <c r="V70" s="80">
        <f t="shared" si="33"/>
        <v>9.9999999999999991E-5</v>
      </c>
      <c r="X70" s="192"/>
    </row>
    <row r="71" spans="1:24" ht="12.75" customHeight="1">
      <c r="A71" s="2" t="s">
        <v>415</v>
      </c>
      <c r="B71" s="35"/>
      <c r="C71" s="178">
        <v>0</v>
      </c>
      <c r="D71" s="80">
        <f t="shared" si="24"/>
        <v>0</v>
      </c>
      <c r="E71" s="178">
        <v>0</v>
      </c>
      <c r="F71" s="80">
        <f t="shared" si="25"/>
        <v>0</v>
      </c>
      <c r="G71" s="178">
        <v>0</v>
      </c>
      <c r="H71" s="80">
        <f t="shared" si="26"/>
        <v>0</v>
      </c>
      <c r="I71" s="178">
        <v>0</v>
      </c>
      <c r="J71" s="80">
        <f t="shared" si="27"/>
        <v>0</v>
      </c>
      <c r="K71" s="178">
        <v>0</v>
      </c>
      <c r="L71" s="80">
        <f t="shared" si="28"/>
        <v>0</v>
      </c>
      <c r="M71" s="178">
        <v>0</v>
      </c>
      <c r="N71" s="80">
        <f t="shared" si="29"/>
        <v>0</v>
      </c>
      <c r="O71" s="178">
        <v>0</v>
      </c>
      <c r="P71" s="80">
        <f t="shared" si="30"/>
        <v>0</v>
      </c>
      <c r="Q71" s="178">
        <v>0</v>
      </c>
      <c r="R71" s="80">
        <f t="shared" si="31"/>
        <v>0</v>
      </c>
      <c r="S71" s="178">
        <v>0</v>
      </c>
      <c r="T71" s="80">
        <f t="shared" si="32"/>
        <v>0</v>
      </c>
      <c r="U71" s="178">
        <v>0</v>
      </c>
      <c r="V71" s="80">
        <f t="shared" si="33"/>
        <v>0</v>
      </c>
      <c r="X71" s="192"/>
    </row>
    <row r="72" spans="1:24" ht="12.75" customHeight="1">
      <c r="A72" s="2" t="s">
        <v>416</v>
      </c>
      <c r="B72" s="35"/>
      <c r="C72" s="178">
        <v>0</v>
      </c>
      <c r="D72" s="80">
        <f t="shared" si="24"/>
        <v>0</v>
      </c>
      <c r="E72" s="178">
        <v>0</v>
      </c>
      <c r="F72" s="80">
        <f t="shared" si="25"/>
        <v>0</v>
      </c>
      <c r="G72" s="178">
        <v>0</v>
      </c>
      <c r="H72" s="80">
        <f t="shared" si="26"/>
        <v>0</v>
      </c>
      <c r="I72" s="178">
        <v>0</v>
      </c>
      <c r="J72" s="80">
        <f t="shared" si="27"/>
        <v>0</v>
      </c>
      <c r="K72" s="178">
        <v>0</v>
      </c>
      <c r="L72" s="80">
        <f t="shared" si="28"/>
        <v>0</v>
      </c>
      <c r="M72" s="178">
        <v>0</v>
      </c>
      <c r="N72" s="80">
        <f t="shared" si="29"/>
        <v>0</v>
      </c>
      <c r="O72" s="178">
        <v>0</v>
      </c>
      <c r="P72" s="80">
        <f t="shared" si="30"/>
        <v>0</v>
      </c>
      <c r="Q72" s="178">
        <v>0</v>
      </c>
      <c r="R72" s="80">
        <f t="shared" si="31"/>
        <v>0</v>
      </c>
      <c r="S72" s="178">
        <v>0</v>
      </c>
      <c r="T72" s="80">
        <f t="shared" si="32"/>
        <v>0</v>
      </c>
      <c r="U72" s="178">
        <v>0</v>
      </c>
      <c r="V72" s="80">
        <f t="shared" si="33"/>
        <v>0</v>
      </c>
      <c r="X72" s="192"/>
    </row>
    <row r="73" spans="1:24" ht="12.75" customHeight="1">
      <c r="A73" s="2" t="s">
        <v>417</v>
      </c>
      <c r="B73" s="35"/>
      <c r="C73" s="178">
        <v>0</v>
      </c>
      <c r="D73" s="80">
        <f t="shared" si="24"/>
        <v>0</v>
      </c>
      <c r="E73" s="178">
        <v>0</v>
      </c>
      <c r="F73" s="80">
        <f t="shared" si="25"/>
        <v>0</v>
      </c>
      <c r="G73" s="178">
        <v>0</v>
      </c>
      <c r="H73" s="80">
        <f t="shared" si="26"/>
        <v>0</v>
      </c>
      <c r="I73" s="178">
        <v>0</v>
      </c>
      <c r="J73" s="80">
        <f t="shared" si="27"/>
        <v>0</v>
      </c>
      <c r="K73" s="178">
        <v>0</v>
      </c>
      <c r="L73" s="80">
        <f t="shared" si="28"/>
        <v>0</v>
      </c>
      <c r="M73" s="178">
        <v>0</v>
      </c>
      <c r="N73" s="80">
        <f t="shared" si="29"/>
        <v>0</v>
      </c>
      <c r="O73" s="178">
        <v>0</v>
      </c>
      <c r="P73" s="80">
        <f t="shared" si="30"/>
        <v>0</v>
      </c>
      <c r="Q73" s="178">
        <v>0</v>
      </c>
      <c r="R73" s="80">
        <f t="shared" si="31"/>
        <v>0</v>
      </c>
      <c r="S73" s="178">
        <v>0</v>
      </c>
      <c r="T73" s="80">
        <f t="shared" si="32"/>
        <v>0</v>
      </c>
      <c r="U73" s="178">
        <v>0</v>
      </c>
      <c r="V73" s="80">
        <f t="shared" si="33"/>
        <v>0</v>
      </c>
      <c r="X73" s="192"/>
    </row>
    <row r="74" spans="1:24" ht="12.75" customHeight="1">
      <c r="A74" s="2" t="s">
        <v>418</v>
      </c>
      <c r="B74" s="35"/>
      <c r="C74" s="178">
        <v>0</v>
      </c>
      <c r="D74" s="80">
        <f t="shared" si="24"/>
        <v>0</v>
      </c>
      <c r="E74" s="178">
        <v>0</v>
      </c>
      <c r="F74" s="80">
        <f t="shared" si="25"/>
        <v>0</v>
      </c>
      <c r="G74" s="178">
        <v>0</v>
      </c>
      <c r="H74" s="80">
        <f t="shared" si="26"/>
        <v>0</v>
      </c>
      <c r="I74" s="178">
        <v>0</v>
      </c>
      <c r="J74" s="80">
        <f t="shared" si="27"/>
        <v>0</v>
      </c>
      <c r="K74" s="178">
        <v>0</v>
      </c>
      <c r="L74" s="80">
        <f t="shared" si="28"/>
        <v>0</v>
      </c>
      <c r="M74" s="178">
        <v>0</v>
      </c>
      <c r="N74" s="80">
        <f t="shared" si="29"/>
        <v>0</v>
      </c>
      <c r="O74" s="178">
        <v>0</v>
      </c>
      <c r="P74" s="80">
        <f t="shared" si="30"/>
        <v>0</v>
      </c>
      <c r="Q74" s="178">
        <v>0</v>
      </c>
      <c r="R74" s="80">
        <f t="shared" si="31"/>
        <v>0</v>
      </c>
      <c r="S74" s="178">
        <v>0</v>
      </c>
      <c r="T74" s="80">
        <f t="shared" si="32"/>
        <v>0</v>
      </c>
      <c r="U74" s="178">
        <v>0</v>
      </c>
      <c r="V74" s="80">
        <f t="shared" si="33"/>
        <v>0</v>
      </c>
      <c r="X74" s="192"/>
    </row>
    <row r="75" spans="1:24" ht="12.75" customHeight="1">
      <c r="A75" s="2" t="s">
        <v>419</v>
      </c>
      <c r="B75" s="35"/>
      <c r="C75" s="178">
        <v>0</v>
      </c>
      <c r="D75" s="80">
        <f t="shared" si="24"/>
        <v>0</v>
      </c>
      <c r="E75" s="178">
        <v>2477.25</v>
      </c>
      <c r="F75" s="80">
        <f t="shared" si="25"/>
        <v>4.4999999999999997E-3</v>
      </c>
      <c r="G75" s="178">
        <v>2573.8627500000002</v>
      </c>
      <c r="H75" s="80">
        <f t="shared" si="26"/>
        <v>4.5000000000000005E-3</v>
      </c>
      <c r="I75" s="178">
        <v>2679.3911227499998</v>
      </c>
      <c r="J75" s="80">
        <f t="shared" si="27"/>
        <v>4.5000000000000005E-3</v>
      </c>
      <c r="K75" s="178">
        <v>2759.7728564324993</v>
      </c>
      <c r="L75" s="80">
        <f t="shared" si="28"/>
        <v>4.4999999999999988E-3</v>
      </c>
      <c r="M75" s="178">
        <v>2837.0464964126099</v>
      </c>
      <c r="N75" s="80">
        <f t="shared" si="29"/>
        <v>4.5000000000000005E-3</v>
      </c>
      <c r="O75" s="178">
        <v>2924.9949378014007</v>
      </c>
      <c r="P75" s="80">
        <f t="shared" si="30"/>
        <v>4.5000000000000005E-3</v>
      </c>
      <c r="Q75" s="178">
        <v>3012.7447859354429</v>
      </c>
      <c r="R75" s="80">
        <f t="shared" si="31"/>
        <v>4.4999999999999997E-3</v>
      </c>
      <c r="S75" s="178">
        <v>3118.1908534431832</v>
      </c>
      <c r="T75" s="80">
        <f t="shared" si="32"/>
        <v>4.4999999999999997E-3</v>
      </c>
      <c r="U75" s="178">
        <v>3205.5001973395924</v>
      </c>
      <c r="V75" s="80">
        <f t="shared" si="33"/>
        <v>4.4999999999999997E-3</v>
      </c>
      <c r="X75" s="192"/>
    </row>
    <row r="76" spans="1:24" ht="12.75" customHeight="1">
      <c r="A76" s="2" t="s">
        <v>420</v>
      </c>
      <c r="B76" s="35"/>
      <c r="C76" s="178">
        <v>0</v>
      </c>
      <c r="D76" s="80">
        <f t="shared" si="24"/>
        <v>0</v>
      </c>
      <c r="E76" s="178">
        <v>220.20000000000002</v>
      </c>
      <c r="F76" s="80">
        <f t="shared" si="25"/>
        <v>4.0000000000000002E-4</v>
      </c>
      <c r="G76" s="178">
        <v>228.78780000000003</v>
      </c>
      <c r="H76" s="80">
        <f t="shared" si="26"/>
        <v>4.0000000000000007E-4</v>
      </c>
      <c r="I76" s="178">
        <v>238.16809979999996</v>
      </c>
      <c r="J76" s="80">
        <f t="shared" si="27"/>
        <v>4.0000000000000002E-4</v>
      </c>
      <c r="K76" s="178">
        <v>245.31314279399996</v>
      </c>
      <c r="L76" s="80">
        <f t="shared" si="28"/>
        <v>3.9999999999999996E-4</v>
      </c>
      <c r="M76" s="178">
        <v>252.181910792232</v>
      </c>
      <c r="N76" s="80">
        <f t="shared" si="29"/>
        <v>4.0000000000000002E-4</v>
      </c>
      <c r="O76" s="178">
        <v>259.99955002679121</v>
      </c>
      <c r="P76" s="80">
        <f t="shared" si="30"/>
        <v>4.0000000000000007E-4</v>
      </c>
      <c r="Q76" s="178">
        <v>267.79953652759497</v>
      </c>
      <c r="R76" s="80">
        <f t="shared" si="31"/>
        <v>4.0000000000000007E-4</v>
      </c>
      <c r="S76" s="178">
        <v>277.17252030606073</v>
      </c>
      <c r="T76" s="80">
        <f t="shared" si="32"/>
        <v>3.9999999999999996E-4</v>
      </c>
      <c r="U76" s="178">
        <v>284.93335087463043</v>
      </c>
      <c r="V76" s="80">
        <f t="shared" si="33"/>
        <v>3.9999999999999996E-4</v>
      </c>
      <c r="X76" s="192"/>
    </row>
    <row r="77" spans="1:24" ht="12.75" customHeight="1">
      <c r="A77" s="2" t="s">
        <v>421</v>
      </c>
      <c r="B77" s="35"/>
      <c r="C77" s="178">
        <v>0</v>
      </c>
      <c r="D77" s="80">
        <f t="shared" si="24"/>
        <v>0</v>
      </c>
      <c r="E77" s="178">
        <v>715.65</v>
      </c>
      <c r="F77" s="80">
        <f t="shared" si="25"/>
        <v>1.2999999999999999E-3</v>
      </c>
      <c r="G77" s="178">
        <v>743.56035000000008</v>
      </c>
      <c r="H77" s="80">
        <f t="shared" si="26"/>
        <v>1.3000000000000002E-3</v>
      </c>
      <c r="I77" s="178">
        <v>774.04632434999996</v>
      </c>
      <c r="J77" s="80">
        <f t="shared" si="27"/>
        <v>1.3000000000000002E-3</v>
      </c>
      <c r="K77" s="178">
        <v>797.26771408049979</v>
      </c>
      <c r="L77" s="80">
        <f t="shared" si="28"/>
        <v>1.2999999999999997E-3</v>
      </c>
      <c r="M77" s="178">
        <v>819.59121007475392</v>
      </c>
      <c r="N77" s="80">
        <f t="shared" si="29"/>
        <v>1.2999999999999999E-3</v>
      </c>
      <c r="O77" s="178">
        <v>844.99853758707127</v>
      </c>
      <c r="P77" s="80">
        <f t="shared" si="30"/>
        <v>1.2999999999999999E-3</v>
      </c>
      <c r="Q77" s="178">
        <v>870.3484937146834</v>
      </c>
      <c r="R77" s="80">
        <f t="shared" si="31"/>
        <v>1.2999999999999999E-3</v>
      </c>
      <c r="S77" s="178">
        <v>900.81069099469744</v>
      </c>
      <c r="T77" s="80">
        <f t="shared" si="32"/>
        <v>1.2999999999999999E-3</v>
      </c>
      <c r="U77" s="178">
        <v>926.03339034254896</v>
      </c>
      <c r="V77" s="80">
        <f t="shared" si="33"/>
        <v>1.2999999999999999E-3</v>
      </c>
      <c r="X77" s="192"/>
    </row>
    <row r="78" spans="1:24" ht="12.75" customHeight="1">
      <c r="A78" s="2" t="s">
        <v>422</v>
      </c>
      <c r="B78" s="35"/>
      <c r="C78" s="178">
        <v>0</v>
      </c>
      <c r="D78" s="80">
        <f t="shared" si="24"/>
        <v>0</v>
      </c>
      <c r="E78" s="178">
        <v>12110.999999999998</v>
      </c>
      <c r="F78" s="80">
        <f t="shared" si="25"/>
        <v>2.1999999999999995E-2</v>
      </c>
      <c r="G78" s="178">
        <v>12583.329</v>
      </c>
      <c r="H78" s="80">
        <f t="shared" si="26"/>
        <v>2.1999999999999999E-2</v>
      </c>
      <c r="I78" s="178">
        <v>13099.245488999997</v>
      </c>
      <c r="J78" s="80">
        <f t="shared" si="27"/>
        <v>2.1999999999999999E-2</v>
      </c>
      <c r="K78" s="178">
        <v>13492.222853669997</v>
      </c>
      <c r="L78" s="80">
        <f t="shared" si="28"/>
        <v>2.1999999999999995E-2</v>
      </c>
      <c r="M78" s="178">
        <v>13870.00509357276</v>
      </c>
      <c r="N78" s="80">
        <f t="shared" si="29"/>
        <v>2.2000000000000002E-2</v>
      </c>
      <c r="O78" s="178">
        <v>14299.975251473514</v>
      </c>
      <c r="P78" s="80">
        <f t="shared" si="30"/>
        <v>2.1999999999999999E-2</v>
      </c>
      <c r="Q78" s="178">
        <v>14728.974509017718</v>
      </c>
      <c r="R78" s="80">
        <f t="shared" si="31"/>
        <v>2.1999999999999995E-2</v>
      </c>
      <c r="S78" s="178">
        <v>15244.488616833341</v>
      </c>
      <c r="T78" s="80">
        <f t="shared" si="32"/>
        <v>2.2000000000000002E-2</v>
      </c>
      <c r="U78" s="178">
        <v>15671.334298104674</v>
      </c>
      <c r="V78" s="80">
        <f t="shared" si="33"/>
        <v>2.1999999999999999E-2</v>
      </c>
      <c r="X78" s="192"/>
    </row>
    <row r="79" spans="1:24" ht="12.75" customHeight="1">
      <c r="A79" s="2" t="s">
        <v>423</v>
      </c>
      <c r="B79" s="35"/>
      <c r="C79" s="178">
        <v>0</v>
      </c>
      <c r="D79" s="80">
        <f t="shared" si="24"/>
        <v>0</v>
      </c>
      <c r="E79" s="178">
        <v>0</v>
      </c>
      <c r="F79" s="80">
        <f t="shared" si="25"/>
        <v>0</v>
      </c>
      <c r="G79" s="178">
        <v>0</v>
      </c>
      <c r="H79" s="80">
        <f t="shared" si="26"/>
        <v>0</v>
      </c>
      <c r="I79" s="178">
        <v>0</v>
      </c>
      <c r="J79" s="80">
        <f t="shared" si="27"/>
        <v>0</v>
      </c>
      <c r="K79" s="178">
        <v>0</v>
      </c>
      <c r="L79" s="80">
        <f t="shared" si="28"/>
        <v>0</v>
      </c>
      <c r="M79" s="178">
        <v>0</v>
      </c>
      <c r="N79" s="80">
        <f t="shared" si="29"/>
        <v>0</v>
      </c>
      <c r="O79" s="178">
        <v>0</v>
      </c>
      <c r="P79" s="80">
        <f t="shared" si="30"/>
        <v>0</v>
      </c>
      <c r="Q79" s="178">
        <v>0</v>
      </c>
      <c r="R79" s="80">
        <f t="shared" si="31"/>
        <v>0</v>
      </c>
      <c r="S79" s="178">
        <v>0</v>
      </c>
      <c r="T79" s="80">
        <f t="shared" si="32"/>
        <v>0</v>
      </c>
      <c r="U79" s="178">
        <v>0</v>
      </c>
      <c r="V79" s="80">
        <f t="shared" si="33"/>
        <v>0</v>
      </c>
      <c r="X79" s="192"/>
    </row>
    <row r="80" spans="1:24" ht="12.75" customHeight="1">
      <c r="A80" s="2" t="s">
        <v>424</v>
      </c>
      <c r="B80" s="35"/>
      <c r="C80" s="178">
        <v>0</v>
      </c>
      <c r="D80" s="80">
        <f t="shared" si="24"/>
        <v>0</v>
      </c>
      <c r="E80" s="178">
        <v>0</v>
      </c>
      <c r="F80" s="80">
        <f t="shared" si="25"/>
        <v>0</v>
      </c>
      <c r="G80" s="178">
        <v>0</v>
      </c>
      <c r="H80" s="80">
        <f t="shared" si="26"/>
        <v>0</v>
      </c>
      <c r="I80" s="178">
        <v>0</v>
      </c>
      <c r="J80" s="80">
        <f t="shared" si="27"/>
        <v>0</v>
      </c>
      <c r="K80" s="178">
        <v>0</v>
      </c>
      <c r="L80" s="80">
        <f t="shared" si="28"/>
        <v>0</v>
      </c>
      <c r="M80" s="178">
        <v>0</v>
      </c>
      <c r="N80" s="80">
        <f t="shared" si="29"/>
        <v>0</v>
      </c>
      <c r="O80" s="178">
        <v>0</v>
      </c>
      <c r="P80" s="80">
        <f t="shared" si="30"/>
        <v>0</v>
      </c>
      <c r="Q80" s="178">
        <v>0</v>
      </c>
      <c r="R80" s="80">
        <f t="shared" si="31"/>
        <v>0</v>
      </c>
      <c r="S80" s="178">
        <v>0</v>
      </c>
      <c r="T80" s="80">
        <f t="shared" si="32"/>
        <v>0</v>
      </c>
      <c r="U80" s="178">
        <v>0</v>
      </c>
      <c r="V80" s="80">
        <f t="shared" si="33"/>
        <v>0</v>
      </c>
      <c r="X80" s="192"/>
    </row>
    <row r="81" spans="1:24" ht="12.75" customHeight="1">
      <c r="A81" s="2" t="s">
        <v>425</v>
      </c>
      <c r="B81" s="35"/>
      <c r="C81" s="178">
        <v>0</v>
      </c>
      <c r="D81" s="80">
        <f t="shared" si="24"/>
        <v>0</v>
      </c>
      <c r="E81" s="178">
        <v>0</v>
      </c>
      <c r="F81" s="80">
        <f t="shared" si="25"/>
        <v>0</v>
      </c>
      <c r="G81" s="178">
        <v>0</v>
      </c>
      <c r="H81" s="80">
        <f t="shared" si="26"/>
        <v>0</v>
      </c>
      <c r="I81" s="178">
        <v>0</v>
      </c>
      <c r="J81" s="80">
        <f t="shared" si="27"/>
        <v>0</v>
      </c>
      <c r="K81" s="178">
        <v>0</v>
      </c>
      <c r="L81" s="80">
        <f t="shared" si="28"/>
        <v>0</v>
      </c>
      <c r="M81" s="178">
        <v>0</v>
      </c>
      <c r="N81" s="80">
        <f t="shared" si="29"/>
        <v>0</v>
      </c>
      <c r="O81" s="178">
        <v>0</v>
      </c>
      <c r="P81" s="80">
        <f t="shared" si="30"/>
        <v>0</v>
      </c>
      <c r="Q81" s="178">
        <v>0</v>
      </c>
      <c r="R81" s="80">
        <f t="shared" si="31"/>
        <v>0</v>
      </c>
      <c r="S81" s="178">
        <v>0</v>
      </c>
      <c r="T81" s="80">
        <f t="shared" si="32"/>
        <v>0</v>
      </c>
      <c r="U81" s="178">
        <v>0</v>
      </c>
      <c r="V81" s="80">
        <f t="shared" si="33"/>
        <v>0</v>
      </c>
      <c r="X81" s="192"/>
    </row>
    <row r="82" spans="1:24" ht="12.75" customHeight="1">
      <c r="A82" s="2" t="s">
        <v>426</v>
      </c>
      <c r="B82" s="35"/>
      <c r="C82" s="178">
        <v>0</v>
      </c>
      <c r="D82" s="80">
        <f t="shared" si="24"/>
        <v>0</v>
      </c>
      <c r="E82" s="178">
        <v>0</v>
      </c>
      <c r="F82" s="80">
        <f t="shared" si="25"/>
        <v>0</v>
      </c>
      <c r="G82" s="178">
        <v>0</v>
      </c>
      <c r="H82" s="80">
        <f t="shared" si="26"/>
        <v>0</v>
      </c>
      <c r="I82" s="178">
        <v>0</v>
      </c>
      <c r="J82" s="80">
        <f t="shared" si="27"/>
        <v>0</v>
      </c>
      <c r="K82" s="178">
        <v>0</v>
      </c>
      <c r="L82" s="80">
        <f t="shared" si="28"/>
        <v>0</v>
      </c>
      <c r="M82" s="178">
        <v>0</v>
      </c>
      <c r="N82" s="80">
        <f t="shared" si="29"/>
        <v>0</v>
      </c>
      <c r="O82" s="178">
        <v>0</v>
      </c>
      <c r="P82" s="80">
        <f t="shared" si="30"/>
        <v>0</v>
      </c>
      <c r="Q82" s="178">
        <v>0</v>
      </c>
      <c r="R82" s="80">
        <f t="shared" si="31"/>
        <v>0</v>
      </c>
      <c r="S82" s="178">
        <v>0</v>
      </c>
      <c r="T82" s="80">
        <f t="shared" si="32"/>
        <v>0</v>
      </c>
      <c r="U82" s="178">
        <v>0</v>
      </c>
      <c r="V82" s="80">
        <f t="shared" si="33"/>
        <v>0</v>
      </c>
      <c r="X82" s="192"/>
    </row>
    <row r="83" spans="1:24" ht="12.75" customHeight="1">
      <c r="A83" s="2" t="s">
        <v>427</v>
      </c>
      <c r="B83" s="35"/>
      <c r="C83" s="178">
        <v>0</v>
      </c>
      <c r="D83" s="80">
        <f t="shared" si="24"/>
        <v>0</v>
      </c>
      <c r="E83" s="178">
        <v>0</v>
      </c>
      <c r="F83" s="80">
        <f t="shared" si="25"/>
        <v>0</v>
      </c>
      <c r="G83" s="178">
        <v>0</v>
      </c>
      <c r="H83" s="80">
        <f t="shared" si="26"/>
        <v>0</v>
      </c>
      <c r="I83" s="178">
        <v>0</v>
      </c>
      <c r="J83" s="80">
        <f t="shared" si="27"/>
        <v>0</v>
      </c>
      <c r="K83" s="178">
        <v>0</v>
      </c>
      <c r="L83" s="80">
        <f t="shared" si="28"/>
        <v>0</v>
      </c>
      <c r="M83" s="178">
        <v>0</v>
      </c>
      <c r="N83" s="80">
        <f t="shared" si="29"/>
        <v>0</v>
      </c>
      <c r="O83" s="178">
        <v>0</v>
      </c>
      <c r="P83" s="80">
        <f t="shared" si="30"/>
        <v>0</v>
      </c>
      <c r="Q83" s="178">
        <v>0</v>
      </c>
      <c r="R83" s="80">
        <f t="shared" si="31"/>
        <v>0</v>
      </c>
      <c r="S83" s="178">
        <v>0</v>
      </c>
      <c r="T83" s="80">
        <f t="shared" si="32"/>
        <v>0</v>
      </c>
      <c r="U83" s="178">
        <v>0</v>
      </c>
      <c r="V83" s="80">
        <f t="shared" si="33"/>
        <v>0</v>
      </c>
      <c r="X83" s="192"/>
    </row>
    <row r="84" spans="1:24" ht="12.75" customHeight="1">
      <c r="A84" s="2" t="s">
        <v>428</v>
      </c>
      <c r="B84" s="35"/>
      <c r="C84" s="178">
        <v>0</v>
      </c>
      <c r="D84" s="80">
        <f t="shared" si="24"/>
        <v>0</v>
      </c>
      <c r="E84" s="178">
        <v>0</v>
      </c>
      <c r="F84" s="80">
        <f t="shared" si="25"/>
        <v>0</v>
      </c>
      <c r="G84" s="178">
        <v>0</v>
      </c>
      <c r="H84" s="80">
        <f t="shared" si="26"/>
        <v>0</v>
      </c>
      <c r="I84" s="178">
        <v>0</v>
      </c>
      <c r="J84" s="80">
        <f t="shared" si="27"/>
        <v>0</v>
      </c>
      <c r="K84" s="178">
        <v>0</v>
      </c>
      <c r="L84" s="80">
        <f t="shared" si="28"/>
        <v>0</v>
      </c>
      <c r="M84" s="178">
        <v>0</v>
      </c>
      <c r="N84" s="80">
        <f t="shared" si="29"/>
        <v>0</v>
      </c>
      <c r="O84" s="178">
        <v>0</v>
      </c>
      <c r="P84" s="80">
        <f t="shared" si="30"/>
        <v>0</v>
      </c>
      <c r="Q84" s="178">
        <v>0</v>
      </c>
      <c r="R84" s="80">
        <f t="shared" si="31"/>
        <v>0</v>
      </c>
      <c r="S84" s="178">
        <v>0</v>
      </c>
      <c r="T84" s="80">
        <f t="shared" si="32"/>
        <v>0</v>
      </c>
      <c r="U84" s="178">
        <v>0</v>
      </c>
      <c r="V84" s="80">
        <f t="shared" si="33"/>
        <v>0</v>
      </c>
      <c r="X84" s="192"/>
    </row>
    <row r="85" spans="1:24" ht="12.75" customHeight="1">
      <c r="A85" s="2" t="s">
        <v>429</v>
      </c>
      <c r="B85" s="35"/>
      <c r="C85" s="178">
        <v>0</v>
      </c>
      <c r="D85" s="80">
        <f t="shared" si="24"/>
        <v>0</v>
      </c>
      <c r="E85" s="178">
        <v>0</v>
      </c>
      <c r="F85" s="80">
        <f t="shared" si="25"/>
        <v>0</v>
      </c>
      <c r="G85" s="178">
        <v>0</v>
      </c>
      <c r="H85" s="80">
        <f t="shared" si="26"/>
        <v>0</v>
      </c>
      <c r="I85" s="178">
        <v>0</v>
      </c>
      <c r="J85" s="80">
        <f t="shared" si="27"/>
        <v>0</v>
      </c>
      <c r="K85" s="178">
        <v>0</v>
      </c>
      <c r="L85" s="80">
        <f t="shared" si="28"/>
        <v>0</v>
      </c>
      <c r="M85" s="178">
        <v>0</v>
      </c>
      <c r="N85" s="80">
        <f t="shared" si="29"/>
        <v>0</v>
      </c>
      <c r="O85" s="178">
        <v>0</v>
      </c>
      <c r="P85" s="80">
        <f t="shared" si="30"/>
        <v>0</v>
      </c>
      <c r="Q85" s="178">
        <v>0</v>
      </c>
      <c r="R85" s="80">
        <f t="shared" si="31"/>
        <v>0</v>
      </c>
      <c r="S85" s="178">
        <v>0</v>
      </c>
      <c r="T85" s="80">
        <f t="shared" si="32"/>
        <v>0</v>
      </c>
      <c r="U85" s="178">
        <v>0</v>
      </c>
      <c r="V85" s="80">
        <f t="shared" si="33"/>
        <v>0</v>
      </c>
      <c r="X85" s="192"/>
    </row>
    <row r="86" spans="1:24" ht="12.75" customHeight="1">
      <c r="A86" s="2" t="s">
        <v>430</v>
      </c>
      <c r="B86" s="35"/>
      <c r="C86" s="178">
        <v>0</v>
      </c>
      <c r="D86" s="80">
        <f t="shared" si="24"/>
        <v>0</v>
      </c>
      <c r="E86" s="178">
        <v>2202</v>
      </c>
      <c r="F86" s="80">
        <f t="shared" si="25"/>
        <v>4.0000000000000001E-3</v>
      </c>
      <c r="G86" s="178">
        <v>2287.8780000000002</v>
      </c>
      <c r="H86" s="80">
        <f t="shared" si="26"/>
        <v>4.0000000000000001E-3</v>
      </c>
      <c r="I86" s="178">
        <v>2381.6809979999998</v>
      </c>
      <c r="J86" s="80">
        <f t="shared" si="27"/>
        <v>4.0000000000000001E-3</v>
      </c>
      <c r="K86" s="178">
        <v>2453.1314279399994</v>
      </c>
      <c r="L86" s="80">
        <f t="shared" si="28"/>
        <v>3.9999999999999992E-3</v>
      </c>
      <c r="M86" s="178">
        <v>2521.8191079223197</v>
      </c>
      <c r="N86" s="80">
        <f t="shared" si="29"/>
        <v>4.0000000000000001E-3</v>
      </c>
      <c r="O86" s="178">
        <v>2599.9955002679121</v>
      </c>
      <c r="P86" s="80">
        <f t="shared" si="30"/>
        <v>4.000000000000001E-3</v>
      </c>
      <c r="Q86" s="178">
        <v>2677.9953652759491</v>
      </c>
      <c r="R86" s="80">
        <f t="shared" si="31"/>
        <v>4.0000000000000001E-3</v>
      </c>
      <c r="S86" s="178">
        <v>2771.7252030606073</v>
      </c>
      <c r="T86" s="80">
        <f t="shared" si="32"/>
        <v>4.0000000000000001E-3</v>
      </c>
      <c r="U86" s="178">
        <v>2849.3335087463042</v>
      </c>
      <c r="V86" s="80">
        <f t="shared" si="33"/>
        <v>3.9999999999999992E-3</v>
      </c>
      <c r="X86" s="192"/>
    </row>
    <row r="87" spans="1:24" ht="12.75" customHeight="1">
      <c r="A87" s="2" t="s">
        <v>431</v>
      </c>
      <c r="B87" s="35"/>
      <c r="C87" s="178">
        <v>0</v>
      </c>
      <c r="D87" s="80">
        <f t="shared" si="24"/>
        <v>0</v>
      </c>
      <c r="E87" s="178">
        <v>0</v>
      </c>
      <c r="F87" s="80">
        <f t="shared" si="25"/>
        <v>0</v>
      </c>
      <c r="G87" s="178">
        <v>0</v>
      </c>
      <c r="H87" s="80">
        <f t="shared" si="26"/>
        <v>0</v>
      </c>
      <c r="I87" s="178">
        <v>0</v>
      </c>
      <c r="J87" s="80">
        <f t="shared" si="27"/>
        <v>0</v>
      </c>
      <c r="K87" s="178">
        <v>0</v>
      </c>
      <c r="L87" s="80">
        <f t="shared" si="28"/>
        <v>0</v>
      </c>
      <c r="M87" s="178">
        <v>0</v>
      </c>
      <c r="N87" s="80">
        <f t="shared" si="29"/>
        <v>0</v>
      </c>
      <c r="O87" s="178">
        <v>0</v>
      </c>
      <c r="P87" s="80">
        <f t="shared" si="30"/>
        <v>0</v>
      </c>
      <c r="Q87" s="178">
        <v>0</v>
      </c>
      <c r="R87" s="80">
        <f t="shared" si="31"/>
        <v>0</v>
      </c>
      <c r="S87" s="178">
        <v>0</v>
      </c>
      <c r="T87" s="80">
        <f t="shared" si="32"/>
        <v>0</v>
      </c>
      <c r="U87" s="178">
        <v>0</v>
      </c>
      <c r="V87" s="80">
        <f t="shared" si="33"/>
        <v>0</v>
      </c>
      <c r="X87" s="192"/>
    </row>
    <row r="88" spans="1:24" ht="12.75" customHeight="1">
      <c r="A88" s="2" t="s">
        <v>432</v>
      </c>
      <c r="B88" s="35"/>
      <c r="C88" s="178">
        <v>0</v>
      </c>
      <c r="D88" s="80">
        <f t="shared" si="24"/>
        <v>0</v>
      </c>
      <c r="E88" s="178">
        <v>2807.55</v>
      </c>
      <c r="F88" s="80">
        <f t="shared" si="25"/>
        <v>5.1000000000000004E-3</v>
      </c>
      <c r="G88" s="178">
        <v>2917.0444500000008</v>
      </c>
      <c r="H88" s="80">
        <f t="shared" si="26"/>
        <v>5.1000000000000012E-3</v>
      </c>
      <c r="I88" s="178">
        <v>3036.64327245</v>
      </c>
      <c r="J88" s="80">
        <f t="shared" si="27"/>
        <v>5.1000000000000004E-3</v>
      </c>
      <c r="K88" s="178">
        <v>3127.7425706234999</v>
      </c>
      <c r="L88" s="80">
        <f t="shared" si="28"/>
        <v>5.1000000000000004E-3</v>
      </c>
      <c r="M88" s="178">
        <v>3215.3193626009579</v>
      </c>
      <c r="N88" s="80">
        <f t="shared" si="29"/>
        <v>5.1000000000000004E-3</v>
      </c>
      <c r="O88" s="178">
        <v>3314.9942628415874</v>
      </c>
      <c r="P88" s="80">
        <f t="shared" si="30"/>
        <v>5.1000000000000004E-3</v>
      </c>
      <c r="Q88" s="178">
        <v>3414.4440907268354</v>
      </c>
      <c r="R88" s="80">
        <f t="shared" si="31"/>
        <v>5.1000000000000004E-3</v>
      </c>
      <c r="S88" s="178">
        <v>3533.9496339022744</v>
      </c>
      <c r="T88" s="80">
        <f t="shared" si="32"/>
        <v>5.0999999999999995E-3</v>
      </c>
      <c r="U88" s="178">
        <v>3632.9002236515385</v>
      </c>
      <c r="V88" s="80">
        <f t="shared" si="33"/>
        <v>5.1000000000000004E-3</v>
      </c>
      <c r="X88" s="192"/>
    </row>
    <row r="89" spans="1:24" ht="12.75" customHeight="1">
      <c r="A89" s="2" t="s">
        <v>433</v>
      </c>
      <c r="B89" s="35"/>
      <c r="C89" s="178">
        <v>0</v>
      </c>
      <c r="D89" s="80">
        <f t="shared" si="24"/>
        <v>0</v>
      </c>
      <c r="E89" s="178">
        <v>0</v>
      </c>
      <c r="F89" s="80">
        <f t="shared" si="25"/>
        <v>0</v>
      </c>
      <c r="G89" s="178">
        <v>0</v>
      </c>
      <c r="H89" s="80">
        <f t="shared" si="26"/>
        <v>0</v>
      </c>
      <c r="I89" s="178">
        <v>0</v>
      </c>
      <c r="J89" s="80">
        <f t="shared" si="27"/>
        <v>0</v>
      </c>
      <c r="K89" s="178">
        <v>0</v>
      </c>
      <c r="L89" s="80">
        <f t="shared" si="28"/>
        <v>0</v>
      </c>
      <c r="M89" s="178">
        <v>0</v>
      </c>
      <c r="N89" s="80">
        <f t="shared" si="29"/>
        <v>0</v>
      </c>
      <c r="O89" s="178">
        <v>0</v>
      </c>
      <c r="P89" s="80">
        <f t="shared" si="30"/>
        <v>0</v>
      </c>
      <c r="Q89" s="178">
        <v>0</v>
      </c>
      <c r="R89" s="80">
        <f t="shared" si="31"/>
        <v>0</v>
      </c>
      <c r="S89" s="178">
        <v>0</v>
      </c>
      <c r="T89" s="80">
        <f t="shared" si="32"/>
        <v>0</v>
      </c>
      <c r="U89" s="178">
        <v>0</v>
      </c>
      <c r="V89" s="80">
        <f t="shared" si="33"/>
        <v>0</v>
      </c>
      <c r="X89" s="192"/>
    </row>
    <row r="90" spans="1:24" ht="12.75" customHeight="1">
      <c r="A90" s="2" t="s">
        <v>434</v>
      </c>
      <c r="B90" s="35"/>
      <c r="C90" s="178">
        <v>0</v>
      </c>
      <c r="D90" s="80">
        <f t="shared" si="24"/>
        <v>0</v>
      </c>
      <c r="E90" s="178">
        <v>110.10000000000001</v>
      </c>
      <c r="F90" s="80">
        <f t="shared" si="25"/>
        <v>2.0000000000000001E-4</v>
      </c>
      <c r="G90" s="178">
        <v>114.39390000000002</v>
      </c>
      <c r="H90" s="80">
        <f t="shared" si="26"/>
        <v>2.0000000000000004E-4</v>
      </c>
      <c r="I90" s="178">
        <v>119.08404989999998</v>
      </c>
      <c r="J90" s="80">
        <f t="shared" si="27"/>
        <v>2.0000000000000001E-4</v>
      </c>
      <c r="K90" s="178">
        <v>122.65657139699998</v>
      </c>
      <c r="L90" s="80">
        <f t="shared" si="28"/>
        <v>1.9999999999999998E-4</v>
      </c>
      <c r="M90" s="178">
        <v>126.090955396116</v>
      </c>
      <c r="N90" s="80">
        <f t="shared" si="29"/>
        <v>2.0000000000000001E-4</v>
      </c>
      <c r="O90" s="178">
        <v>129.99977501339561</v>
      </c>
      <c r="P90" s="80">
        <f t="shared" si="30"/>
        <v>2.0000000000000004E-4</v>
      </c>
      <c r="Q90" s="178">
        <v>133.89976826379748</v>
      </c>
      <c r="R90" s="80">
        <f t="shared" si="31"/>
        <v>2.0000000000000004E-4</v>
      </c>
      <c r="S90" s="178">
        <v>138.58626015303037</v>
      </c>
      <c r="T90" s="80">
        <f t="shared" si="32"/>
        <v>1.9999999999999998E-4</v>
      </c>
      <c r="U90" s="178">
        <v>142.46667543731522</v>
      </c>
      <c r="V90" s="80">
        <f t="shared" si="33"/>
        <v>1.9999999999999998E-4</v>
      </c>
      <c r="X90" s="192"/>
    </row>
    <row r="91" spans="1:24" ht="12.75" customHeight="1">
      <c r="A91" s="2" t="s">
        <v>435</v>
      </c>
      <c r="C91" s="178">
        <v>0</v>
      </c>
      <c r="D91" s="80">
        <f t="shared" si="24"/>
        <v>0</v>
      </c>
      <c r="E91" s="178">
        <v>0</v>
      </c>
      <c r="F91" s="80">
        <f t="shared" si="25"/>
        <v>0</v>
      </c>
      <c r="G91" s="178">
        <v>0</v>
      </c>
      <c r="H91" s="80">
        <f t="shared" si="26"/>
        <v>0</v>
      </c>
      <c r="I91" s="178">
        <v>0</v>
      </c>
      <c r="J91" s="80">
        <f t="shared" si="27"/>
        <v>0</v>
      </c>
      <c r="K91" s="178">
        <v>0</v>
      </c>
      <c r="L91" s="80">
        <f t="shared" si="28"/>
        <v>0</v>
      </c>
      <c r="M91" s="178">
        <v>0</v>
      </c>
      <c r="N91" s="80">
        <f t="shared" si="29"/>
        <v>0</v>
      </c>
      <c r="O91" s="178">
        <v>0</v>
      </c>
      <c r="P91" s="80">
        <f t="shared" si="30"/>
        <v>0</v>
      </c>
      <c r="Q91" s="178">
        <v>0</v>
      </c>
      <c r="R91" s="80">
        <f t="shared" si="31"/>
        <v>0</v>
      </c>
      <c r="S91" s="178">
        <v>0</v>
      </c>
      <c r="T91" s="80">
        <f t="shared" si="32"/>
        <v>0</v>
      </c>
      <c r="U91" s="178">
        <v>0</v>
      </c>
      <c r="V91" s="80">
        <f t="shared" si="33"/>
        <v>0</v>
      </c>
      <c r="X91" s="192"/>
    </row>
    <row r="92" spans="1:24" ht="12.75" customHeight="1">
      <c r="A92" s="2" t="s">
        <v>436</v>
      </c>
      <c r="B92" s="35"/>
      <c r="C92" s="178">
        <v>0</v>
      </c>
      <c r="D92" s="80">
        <f t="shared" si="24"/>
        <v>0</v>
      </c>
      <c r="E92" s="178">
        <v>2862.6</v>
      </c>
      <c r="F92" s="80">
        <f t="shared" si="25"/>
        <v>5.1999999999999998E-3</v>
      </c>
      <c r="G92" s="178">
        <v>2974.2414000000003</v>
      </c>
      <c r="H92" s="80">
        <f t="shared" si="26"/>
        <v>5.2000000000000006E-3</v>
      </c>
      <c r="I92" s="178">
        <v>3096.1852973999999</v>
      </c>
      <c r="J92" s="80">
        <f t="shared" si="27"/>
        <v>5.2000000000000006E-3</v>
      </c>
      <c r="K92" s="178">
        <v>3189.0708563219991</v>
      </c>
      <c r="L92" s="80">
        <f t="shared" si="28"/>
        <v>5.1999999999999989E-3</v>
      </c>
      <c r="M92" s="178">
        <v>3278.3648402990157</v>
      </c>
      <c r="N92" s="80">
        <f t="shared" si="29"/>
        <v>5.1999999999999998E-3</v>
      </c>
      <c r="O92" s="178">
        <v>3379.9941503482851</v>
      </c>
      <c r="P92" s="80">
        <f t="shared" si="30"/>
        <v>5.1999999999999998E-3</v>
      </c>
      <c r="Q92" s="178">
        <v>3481.3939748587336</v>
      </c>
      <c r="R92" s="80">
        <f t="shared" si="31"/>
        <v>5.1999999999999998E-3</v>
      </c>
      <c r="S92" s="178">
        <v>3603.2427639787898</v>
      </c>
      <c r="T92" s="80">
        <f t="shared" si="32"/>
        <v>5.1999999999999998E-3</v>
      </c>
      <c r="U92" s="178">
        <v>3704.1335613701958</v>
      </c>
      <c r="V92" s="80">
        <f t="shared" si="33"/>
        <v>5.1999999999999998E-3</v>
      </c>
      <c r="X92" s="192"/>
    </row>
    <row r="93" spans="1:24" ht="12.75" customHeight="1">
      <c r="A93" s="2" t="s">
        <v>437</v>
      </c>
      <c r="B93" s="35"/>
      <c r="C93" s="178">
        <v>0</v>
      </c>
      <c r="D93" s="80">
        <f t="shared" si="24"/>
        <v>0</v>
      </c>
      <c r="E93" s="178">
        <v>0</v>
      </c>
      <c r="F93" s="80">
        <f t="shared" si="25"/>
        <v>0</v>
      </c>
      <c r="G93" s="178">
        <v>0</v>
      </c>
      <c r="H93" s="80">
        <f t="shared" si="26"/>
        <v>0</v>
      </c>
      <c r="I93" s="178">
        <v>0</v>
      </c>
      <c r="J93" s="80">
        <f t="shared" si="27"/>
        <v>0</v>
      </c>
      <c r="K93" s="178">
        <v>0</v>
      </c>
      <c r="L93" s="80">
        <f t="shared" si="28"/>
        <v>0</v>
      </c>
      <c r="M93" s="178">
        <v>0</v>
      </c>
      <c r="N93" s="80">
        <f t="shared" si="29"/>
        <v>0</v>
      </c>
      <c r="O93" s="178">
        <v>0</v>
      </c>
      <c r="P93" s="80">
        <f t="shared" si="30"/>
        <v>0</v>
      </c>
      <c r="Q93" s="178">
        <v>0</v>
      </c>
      <c r="R93" s="80">
        <f t="shared" si="31"/>
        <v>0</v>
      </c>
      <c r="S93" s="178">
        <v>0</v>
      </c>
      <c r="T93" s="80">
        <f t="shared" si="32"/>
        <v>0</v>
      </c>
      <c r="U93" s="178">
        <v>0</v>
      </c>
      <c r="V93" s="80">
        <f t="shared" si="33"/>
        <v>0</v>
      </c>
      <c r="X93" s="192"/>
    </row>
    <row r="94" spans="1:24" ht="12.75" customHeight="1">
      <c r="A94" s="2" t="s">
        <v>438</v>
      </c>
      <c r="B94" s="35"/>
      <c r="C94" s="178">
        <v>0</v>
      </c>
      <c r="D94" s="80">
        <f t="shared" si="24"/>
        <v>0</v>
      </c>
      <c r="E94" s="178">
        <v>0</v>
      </c>
      <c r="F94" s="80">
        <f t="shared" si="25"/>
        <v>0</v>
      </c>
      <c r="G94" s="178">
        <v>0</v>
      </c>
      <c r="H94" s="80">
        <f t="shared" si="26"/>
        <v>0</v>
      </c>
      <c r="I94" s="178">
        <v>0</v>
      </c>
      <c r="J94" s="80">
        <f t="shared" si="27"/>
        <v>0</v>
      </c>
      <c r="K94" s="178">
        <v>0</v>
      </c>
      <c r="L94" s="80">
        <f t="shared" si="28"/>
        <v>0</v>
      </c>
      <c r="M94" s="178">
        <v>0</v>
      </c>
      <c r="N94" s="80">
        <f t="shared" si="29"/>
        <v>0</v>
      </c>
      <c r="O94" s="178">
        <v>0</v>
      </c>
      <c r="P94" s="80">
        <f t="shared" si="30"/>
        <v>0</v>
      </c>
      <c r="Q94" s="178">
        <v>0</v>
      </c>
      <c r="R94" s="80">
        <f t="shared" si="31"/>
        <v>0</v>
      </c>
      <c r="S94" s="178">
        <v>0</v>
      </c>
      <c r="T94" s="80">
        <f t="shared" si="32"/>
        <v>0</v>
      </c>
      <c r="U94" s="178">
        <v>0</v>
      </c>
      <c r="V94" s="80">
        <f t="shared" si="33"/>
        <v>0</v>
      </c>
      <c r="X94" s="192"/>
    </row>
    <row r="95" spans="1:24" ht="12.75" customHeight="1">
      <c r="A95" s="2" t="s">
        <v>439</v>
      </c>
      <c r="B95" s="35"/>
      <c r="C95" s="178">
        <v>0</v>
      </c>
      <c r="D95" s="80">
        <f t="shared" si="24"/>
        <v>0</v>
      </c>
      <c r="E95" s="178">
        <v>0</v>
      </c>
      <c r="F95" s="80">
        <f t="shared" si="25"/>
        <v>0</v>
      </c>
      <c r="G95" s="178">
        <v>0</v>
      </c>
      <c r="H95" s="80">
        <f t="shared" si="26"/>
        <v>0</v>
      </c>
      <c r="I95" s="178">
        <v>0</v>
      </c>
      <c r="J95" s="80">
        <f t="shared" si="27"/>
        <v>0</v>
      </c>
      <c r="K95" s="178">
        <v>0</v>
      </c>
      <c r="L95" s="80">
        <f t="shared" si="28"/>
        <v>0</v>
      </c>
      <c r="M95" s="178">
        <v>0</v>
      </c>
      <c r="N95" s="80">
        <f t="shared" si="29"/>
        <v>0</v>
      </c>
      <c r="O95" s="178">
        <v>0</v>
      </c>
      <c r="P95" s="80">
        <f t="shared" si="30"/>
        <v>0</v>
      </c>
      <c r="Q95" s="178">
        <v>0</v>
      </c>
      <c r="R95" s="80">
        <f t="shared" si="31"/>
        <v>0</v>
      </c>
      <c r="S95" s="178">
        <v>0</v>
      </c>
      <c r="T95" s="80">
        <f t="shared" si="32"/>
        <v>0</v>
      </c>
      <c r="U95" s="178">
        <v>0</v>
      </c>
      <c r="V95" s="80">
        <f t="shared" si="33"/>
        <v>0</v>
      </c>
      <c r="X95" s="192"/>
    </row>
    <row r="96" spans="1:24" ht="12.75" customHeight="1">
      <c r="A96" s="2" t="s">
        <v>440</v>
      </c>
      <c r="B96" s="35"/>
      <c r="C96" s="178">
        <v>0</v>
      </c>
      <c r="D96" s="80">
        <f t="shared" si="24"/>
        <v>0</v>
      </c>
      <c r="E96" s="178">
        <v>0</v>
      </c>
      <c r="F96" s="80">
        <f t="shared" si="25"/>
        <v>0</v>
      </c>
      <c r="G96" s="178">
        <v>0</v>
      </c>
      <c r="H96" s="80">
        <f t="shared" si="26"/>
        <v>0</v>
      </c>
      <c r="I96" s="178">
        <v>0</v>
      </c>
      <c r="J96" s="80">
        <f t="shared" si="27"/>
        <v>0</v>
      </c>
      <c r="K96" s="178">
        <v>0</v>
      </c>
      <c r="L96" s="80">
        <f t="shared" si="28"/>
        <v>0</v>
      </c>
      <c r="M96" s="178">
        <v>0</v>
      </c>
      <c r="N96" s="80">
        <f t="shared" si="29"/>
        <v>0</v>
      </c>
      <c r="O96" s="178">
        <v>0</v>
      </c>
      <c r="P96" s="80">
        <f t="shared" si="30"/>
        <v>0</v>
      </c>
      <c r="Q96" s="178">
        <v>0</v>
      </c>
      <c r="R96" s="80">
        <f t="shared" si="31"/>
        <v>0</v>
      </c>
      <c r="S96" s="178">
        <v>0</v>
      </c>
      <c r="T96" s="80">
        <f t="shared" si="32"/>
        <v>0</v>
      </c>
      <c r="U96" s="178">
        <v>0</v>
      </c>
      <c r="V96" s="80">
        <f t="shared" si="33"/>
        <v>0</v>
      </c>
      <c r="X96" s="192"/>
    </row>
    <row r="97" spans="1:24" ht="12.75" customHeight="1">
      <c r="A97" s="2" t="s">
        <v>441</v>
      </c>
      <c r="B97" s="35"/>
      <c r="C97" s="178">
        <v>0</v>
      </c>
      <c r="D97" s="80">
        <f t="shared" si="24"/>
        <v>0</v>
      </c>
      <c r="E97" s="178">
        <v>8462.9766663999999</v>
      </c>
      <c r="F97" s="80">
        <f t="shared" si="25"/>
        <v>1.5373254616530427E-2</v>
      </c>
      <c r="G97" s="178">
        <v>8727.4846427239991</v>
      </c>
      <c r="H97" s="80">
        <f t="shared" si="26"/>
        <v>1.5258653901517474E-2</v>
      </c>
      <c r="I97" s="178">
        <v>8984.022122768667</v>
      </c>
      <c r="J97" s="80">
        <f t="shared" si="27"/>
        <v>1.5088539783981043E-2</v>
      </c>
      <c r="K97" s="178">
        <v>9208.6226758378834</v>
      </c>
      <c r="L97" s="80">
        <f t="shared" si="28"/>
        <v>1.5015294445223851E-2</v>
      </c>
      <c r="M97" s="178">
        <v>9438.8382427338292</v>
      </c>
      <c r="N97" s="80">
        <f t="shared" si="29"/>
        <v>1.497147549256269E-2</v>
      </c>
      <c r="O97" s="178">
        <v>9674.8091988021752</v>
      </c>
      <c r="P97" s="80">
        <f t="shared" si="30"/>
        <v>1.4884347604148165E-2</v>
      </c>
      <c r="Q97" s="178">
        <v>9886.236057236858</v>
      </c>
      <c r="R97" s="80">
        <f t="shared" si="31"/>
        <v>1.4766621608724328E-2</v>
      </c>
      <c r="S97" s="178">
        <v>10133.391958667778</v>
      </c>
      <c r="T97" s="80">
        <f t="shared" si="32"/>
        <v>1.4623948936176266E-2</v>
      </c>
      <c r="U97" s="178">
        <v>10386.726757634471</v>
      </c>
      <c r="V97" s="80">
        <f t="shared" si="33"/>
        <v>1.4581272042393647E-2</v>
      </c>
      <c r="X97" s="192"/>
    </row>
    <row r="98" spans="1:24" ht="12.75" customHeight="1">
      <c r="A98" s="117" t="s">
        <v>444</v>
      </c>
      <c r="B98" s="35"/>
      <c r="C98" s="178">
        <v>0</v>
      </c>
      <c r="D98" s="80">
        <f t="shared" si="24"/>
        <v>0</v>
      </c>
      <c r="E98" s="178">
        <v>660.59999999999991</v>
      </c>
      <c r="F98" s="80">
        <f t="shared" si="25"/>
        <v>1.1999999999999999E-3</v>
      </c>
      <c r="G98" s="178">
        <v>686.36339999999996</v>
      </c>
      <c r="H98" s="80">
        <f t="shared" si="26"/>
        <v>1.1999999999999999E-3</v>
      </c>
      <c r="I98" s="178">
        <v>714.50429939999981</v>
      </c>
      <c r="J98" s="80">
        <f t="shared" si="27"/>
        <v>1.1999999999999999E-3</v>
      </c>
      <c r="K98" s="178">
        <v>735.93942838199985</v>
      </c>
      <c r="L98" s="80">
        <f t="shared" si="28"/>
        <v>1.1999999999999999E-3</v>
      </c>
      <c r="M98" s="178">
        <v>756.54573237669592</v>
      </c>
      <c r="N98" s="80">
        <f t="shared" si="29"/>
        <v>1.1999999999999999E-3</v>
      </c>
      <c r="O98" s="178">
        <v>779.99865008037352</v>
      </c>
      <c r="P98" s="80">
        <f t="shared" si="30"/>
        <v>1.2000000000000001E-3</v>
      </c>
      <c r="Q98" s="178">
        <v>803.39860958278462</v>
      </c>
      <c r="R98" s="80">
        <f t="shared" si="31"/>
        <v>1.1999999999999997E-3</v>
      </c>
      <c r="S98" s="178">
        <v>831.51756091818208</v>
      </c>
      <c r="T98" s="80">
        <f t="shared" si="32"/>
        <v>1.1999999999999999E-3</v>
      </c>
      <c r="U98" s="178">
        <v>854.80005262389125</v>
      </c>
      <c r="V98" s="80">
        <f t="shared" si="33"/>
        <v>1.1999999999999999E-3</v>
      </c>
      <c r="X98" s="192"/>
    </row>
    <row r="99" spans="1:24" ht="12.75" customHeight="1">
      <c r="A99" s="117" t="s">
        <v>444</v>
      </c>
      <c r="B99" s="35"/>
      <c r="C99" s="178">
        <v>0</v>
      </c>
      <c r="D99" s="80">
        <f t="shared" si="24"/>
        <v>0</v>
      </c>
      <c r="E99" s="178">
        <v>0</v>
      </c>
      <c r="F99" s="80">
        <f t="shared" si="25"/>
        <v>0</v>
      </c>
      <c r="G99" s="178">
        <v>0</v>
      </c>
      <c r="H99" s="80">
        <f t="shared" si="26"/>
        <v>0</v>
      </c>
      <c r="I99" s="178">
        <v>0</v>
      </c>
      <c r="J99" s="80">
        <f t="shared" si="27"/>
        <v>0</v>
      </c>
      <c r="K99" s="178">
        <v>0</v>
      </c>
      <c r="L99" s="80">
        <f t="shared" si="28"/>
        <v>0</v>
      </c>
      <c r="M99" s="178">
        <v>0</v>
      </c>
      <c r="N99" s="80">
        <f t="shared" si="29"/>
        <v>0</v>
      </c>
      <c r="O99" s="178">
        <v>0</v>
      </c>
      <c r="P99" s="80">
        <f t="shared" si="30"/>
        <v>0</v>
      </c>
      <c r="Q99" s="178">
        <v>0</v>
      </c>
      <c r="R99" s="80">
        <f t="shared" si="31"/>
        <v>0</v>
      </c>
      <c r="S99" s="178">
        <v>0</v>
      </c>
      <c r="T99" s="80">
        <f t="shared" si="32"/>
        <v>0</v>
      </c>
      <c r="U99" s="178">
        <v>0</v>
      </c>
      <c r="V99" s="80">
        <f t="shared" si="33"/>
        <v>0</v>
      </c>
      <c r="X99" s="192"/>
    </row>
    <row r="100" spans="1:24" ht="12.75" customHeight="1">
      <c r="A100" s="117" t="s">
        <v>444</v>
      </c>
      <c r="B100" s="35"/>
      <c r="C100" s="178">
        <v>0</v>
      </c>
      <c r="D100" s="80">
        <f t="shared" si="24"/>
        <v>0</v>
      </c>
      <c r="E100" s="178">
        <v>0</v>
      </c>
      <c r="F100" s="80">
        <f t="shared" si="25"/>
        <v>0</v>
      </c>
      <c r="G100" s="178">
        <v>0</v>
      </c>
      <c r="H100" s="80">
        <f t="shared" si="26"/>
        <v>0</v>
      </c>
      <c r="I100" s="178">
        <v>0</v>
      </c>
      <c r="J100" s="80">
        <f t="shared" si="27"/>
        <v>0</v>
      </c>
      <c r="K100" s="178">
        <v>0</v>
      </c>
      <c r="L100" s="80">
        <f t="shared" si="28"/>
        <v>0</v>
      </c>
      <c r="M100" s="178">
        <v>0</v>
      </c>
      <c r="N100" s="80">
        <f t="shared" si="29"/>
        <v>0</v>
      </c>
      <c r="O100" s="178">
        <v>0</v>
      </c>
      <c r="P100" s="80">
        <f t="shared" si="30"/>
        <v>0</v>
      </c>
      <c r="Q100" s="178">
        <v>0</v>
      </c>
      <c r="R100" s="80">
        <f t="shared" si="31"/>
        <v>0</v>
      </c>
      <c r="S100" s="178">
        <v>0</v>
      </c>
      <c r="T100" s="80">
        <f t="shared" si="32"/>
        <v>0</v>
      </c>
      <c r="U100" s="178">
        <v>0</v>
      </c>
      <c r="V100" s="80">
        <f t="shared" si="33"/>
        <v>0</v>
      </c>
      <c r="X100" s="192"/>
    </row>
    <row r="101" spans="1:24" ht="12.75" customHeight="1">
      <c r="A101" s="2" t="s">
        <v>445</v>
      </c>
      <c r="B101" s="35"/>
      <c r="C101" s="178"/>
      <c r="D101" s="80">
        <f t="shared" si="24"/>
        <v>0</v>
      </c>
      <c r="E101" s="178"/>
      <c r="F101" s="80">
        <f t="shared" si="25"/>
        <v>0</v>
      </c>
      <c r="G101" s="178"/>
      <c r="H101" s="80">
        <f t="shared" si="26"/>
        <v>0</v>
      </c>
      <c r="I101" s="178">
        <v>0</v>
      </c>
      <c r="J101" s="80">
        <f t="shared" si="27"/>
        <v>0</v>
      </c>
      <c r="K101" s="178">
        <v>0</v>
      </c>
      <c r="L101" s="80">
        <f t="shared" si="28"/>
        <v>0</v>
      </c>
      <c r="M101" s="178">
        <v>0</v>
      </c>
      <c r="N101" s="80">
        <f t="shared" si="29"/>
        <v>0</v>
      </c>
      <c r="O101" s="178">
        <v>0</v>
      </c>
      <c r="P101" s="80">
        <f t="shared" si="30"/>
        <v>0</v>
      </c>
      <c r="Q101" s="178">
        <v>0</v>
      </c>
      <c r="R101" s="80">
        <f t="shared" si="31"/>
        <v>0</v>
      </c>
      <c r="S101" s="178">
        <v>0</v>
      </c>
      <c r="T101" s="80">
        <f t="shared" si="32"/>
        <v>0</v>
      </c>
      <c r="U101" s="178">
        <v>0</v>
      </c>
      <c r="V101" s="80">
        <f t="shared" si="33"/>
        <v>0</v>
      </c>
      <c r="X101" s="192"/>
    </row>
    <row r="102" spans="1:24" ht="12.75" customHeight="1">
      <c r="A102" s="117" t="s">
        <v>446</v>
      </c>
      <c r="B102" s="35"/>
      <c r="C102" s="178">
        <v>0</v>
      </c>
      <c r="D102" s="80">
        <f t="shared" si="24"/>
        <v>0</v>
      </c>
      <c r="E102" s="178">
        <v>5505</v>
      </c>
      <c r="F102" s="80">
        <f t="shared" si="25"/>
        <v>0.01</v>
      </c>
      <c r="G102" s="178">
        <v>5719.6950000000006</v>
      </c>
      <c r="H102" s="80">
        <f t="shared" si="26"/>
        <v>1.0000000000000002E-2</v>
      </c>
      <c r="I102" s="178">
        <v>5954.2024950000005</v>
      </c>
      <c r="J102" s="80">
        <f t="shared" si="27"/>
        <v>1.0000000000000002E-2</v>
      </c>
      <c r="K102" s="178">
        <v>6132.8285698499994</v>
      </c>
      <c r="L102" s="80">
        <f t="shared" si="28"/>
        <v>0.01</v>
      </c>
      <c r="M102" s="178">
        <v>6304.5477698057994</v>
      </c>
      <c r="N102" s="80">
        <f t="shared" si="29"/>
        <v>0.01</v>
      </c>
      <c r="O102" s="178">
        <v>6499.9887506697805</v>
      </c>
      <c r="P102" s="80">
        <f t="shared" si="30"/>
        <v>1.0000000000000002E-2</v>
      </c>
      <c r="Q102" s="178">
        <v>6694.9884131898734</v>
      </c>
      <c r="R102" s="80">
        <f t="shared" si="31"/>
        <v>0.01</v>
      </c>
      <c r="S102" s="178">
        <v>6929.313007651519</v>
      </c>
      <c r="T102" s="80">
        <f t="shared" si="32"/>
        <v>0.01</v>
      </c>
      <c r="U102" s="178">
        <v>7123.3337718657604</v>
      </c>
      <c r="V102" s="80">
        <f t="shared" si="33"/>
        <v>9.9999999999999985E-3</v>
      </c>
      <c r="X102" s="192"/>
    </row>
    <row r="103" spans="1:24" ht="12.75" customHeight="1">
      <c r="A103" s="117" t="s">
        <v>446</v>
      </c>
      <c r="B103" s="35"/>
      <c r="C103" s="178">
        <v>0</v>
      </c>
      <c r="D103" s="80">
        <f t="shared" si="24"/>
        <v>0</v>
      </c>
      <c r="E103" s="178">
        <v>0</v>
      </c>
      <c r="F103" s="80">
        <f t="shared" si="25"/>
        <v>0</v>
      </c>
      <c r="G103" s="178">
        <v>0</v>
      </c>
      <c r="H103" s="80">
        <f t="shared" si="26"/>
        <v>0</v>
      </c>
      <c r="I103" s="178">
        <v>0</v>
      </c>
      <c r="J103" s="80">
        <f t="shared" si="27"/>
        <v>0</v>
      </c>
      <c r="K103" s="178">
        <v>0</v>
      </c>
      <c r="L103" s="80">
        <f t="shared" si="28"/>
        <v>0</v>
      </c>
      <c r="M103" s="178">
        <v>0</v>
      </c>
      <c r="N103" s="80">
        <f t="shared" si="29"/>
        <v>0</v>
      </c>
      <c r="O103" s="178">
        <v>0</v>
      </c>
      <c r="P103" s="80">
        <f t="shared" si="30"/>
        <v>0</v>
      </c>
      <c r="Q103" s="178">
        <v>0</v>
      </c>
      <c r="R103" s="80">
        <f t="shared" si="31"/>
        <v>0</v>
      </c>
      <c r="S103" s="178">
        <v>0</v>
      </c>
      <c r="T103" s="80">
        <f t="shared" si="32"/>
        <v>0</v>
      </c>
      <c r="U103" s="178">
        <v>0</v>
      </c>
      <c r="V103" s="80">
        <f t="shared" si="33"/>
        <v>0</v>
      </c>
      <c r="X103" s="192"/>
    </row>
    <row r="104" spans="1:24" ht="12.75" customHeight="1">
      <c r="A104" s="117" t="s">
        <v>446</v>
      </c>
      <c r="B104" s="1"/>
      <c r="C104" s="178">
        <v>0</v>
      </c>
      <c r="D104" s="80">
        <f t="shared" si="24"/>
        <v>0</v>
      </c>
      <c r="E104" s="178">
        <v>0</v>
      </c>
      <c r="F104" s="80">
        <f t="shared" si="25"/>
        <v>0</v>
      </c>
      <c r="G104" s="178">
        <v>0</v>
      </c>
      <c r="H104" s="80">
        <f t="shared" si="26"/>
        <v>0</v>
      </c>
      <c r="I104" s="178">
        <v>0</v>
      </c>
      <c r="J104" s="80">
        <f t="shared" si="27"/>
        <v>0</v>
      </c>
      <c r="K104" s="178">
        <v>0</v>
      </c>
      <c r="L104" s="80">
        <f t="shared" si="28"/>
        <v>0</v>
      </c>
      <c r="M104" s="178">
        <v>0</v>
      </c>
      <c r="N104" s="80">
        <f t="shared" si="29"/>
        <v>0</v>
      </c>
      <c r="O104" s="178">
        <v>0</v>
      </c>
      <c r="P104" s="80">
        <f t="shared" si="30"/>
        <v>0</v>
      </c>
      <c r="Q104" s="178">
        <v>0</v>
      </c>
      <c r="R104" s="80">
        <f t="shared" si="31"/>
        <v>0</v>
      </c>
      <c r="S104" s="178">
        <v>0</v>
      </c>
      <c r="T104" s="80">
        <f t="shared" si="32"/>
        <v>0</v>
      </c>
      <c r="U104" s="178">
        <v>0</v>
      </c>
      <c r="V104" s="80">
        <f t="shared" si="33"/>
        <v>0</v>
      </c>
      <c r="X104" s="192"/>
    </row>
    <row r="105" spans="1:24" ht="12.75" customHeight="1">
      <c r="A105" s="1" t="s">
        <v>447</v>
      </c>
      <c r="B105" s="53"/>
      <c r="C105" s="82">
        <f>SUM(C52:C104)</f>
        <v>0</v>
      </c>
      <c r="D105" s="83">
        <f t="shared" ref="D105" si="34">IFERROR(C105/C$28,0)</f>
        <v>0</v>
      </c>
      <c r="E105" s="82">
        <f>SUM(E52:E104)</f>
        <v>114354.56437762086</v>
      </c>
      <c r="F105" s="83">
        <f t="shared" ref="F105" si="35">IFERROR(E105/E$28,0)</f>
        <v>0.20772854564508786</v>
      </c>
      <c r="G105" s="82">
        <f>SUM(G52:G104)</f>
        <v>118674.1022931764</v>
      </c>
      <c r="H105" s="83">
        <f t="shared" ref="H105" si="36">IFERROR(G105/G$28,0)</f>
        <v>0.20748327016244117</v>
      </c>
      <c r="I105" s="82">
        <f>SUM(I52:I104)</f>
        <v>123457.12608331579</v>
      </c>
      <c r="J105" s="83">
        <f t="shared" ref="J105" si="37">IFERROR(I105/I$28,0)</f>
        <v>0.20734452042399978</v>
      </c>
      <c r="K105" s="82">
        <f>SUM(K52:K104)</f>
        <v>127092.77343987381</v>
      </c>
      <c r="L105" s="83">
        <f t="shared" ref="L105" si="38">IFERROR(K105/K$28,0)</f>
        <v>0.20723353342156492</v>
      </c>
      <c r="M105" s="82">
        <f>SUM(M52:M104)</f>
        <v>130636.7211701386</v>
      </c>
      <c r="N105" s="83">
        <f t="shared" ref="N105" si="39">IFERROR(M105/M$28,0)</f>
        <v>0.20721029634479657</v>
      </c>
      <c r="O105" s="82">
        <f>SUM(O52:O104)</f>
        <v>134646.21364042812</v>
      </c>
      <c r="P105" s="83">
        <f t="shared" ref="P105" si="40">IFERROR(O105/O$28,0)</f>
        <v>0.20714837948997028</v>
      </c>
      <c r="Q105" s="82">
        <f>SUM(Q52:Q104)</f>
        <v>138630.87651351024</v>
      </c>
      <c r="R105" s="83">
        <f t="shared" ref="R105" si="41">IFERROR(Q105/Q$28,0)</f>
        <v>0.20706664143046458</v>
      </c>
      <c r="S105" s="82">
        <f>SUM(S52:S104)</f>
        <v>143408.4229606507</v>
      </c>
      <c r="T105" s="83">
        <f t="shared" ref="T105" si="42">IFERROR(S105/S$28,0)</f>
        <v>0.20695907776470132</v>
      </c>
      <c r="U105" s="82">
        <f>SUM(U52:U104)</f>
        <v>147420.18319133099</v>
      </c>
      <c r="V105" s="83">
        <f t="shared" si="33"/>
        <v>0.20695391780402048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448</v>
      </c>
      <c r="B107" s="53"/>
      <c r="C107" s="82">
        <f>C28-C33-C46-C105</f>
        <v>0</v>
      </c>
      <c r="D107" s="83">
        <f>IFERROR(C107/C$28,0)</f>
        <v>0</v>
      </c>
      <c r="E107" s="82">
        <f>E28-E33-E46-E105</f>
        <v>27301.336758379141</v>
      </c>
      <c r="F107" s="83">
        <f>IFERROR(E107/E$28,0)</f>
        <v>4.9593708916220058E-2</v>
      </c>
      <c r="G107" s="82">
        <f>G28-G33-G46-G105</f>
        <v>30308.58220258361</v>
      </c>
      <c r="H107" s="83">
        <f>IFERROR(G107/G$28,0)</f>
        <v>5.2989857330825521E-2</v>
      </c>
      <c r="I107" s="82">
        <f>I28-I33-I46-I105</f>
        <v>34418.735099658486</v>
      </c>
      <c r="J107" s="83">
        <f>IFERROR(I107/I$28,0)</f>
        <v>5.7805785289568812E-2</v>
      </c>
      <c r="K107" s="82">
        <f>K28-K33-K46-K105</f>
        <v>36754.413120974859</v>
      </c>
      <c r="L107" s="83">
        <f>IFERROR(K107/K$28,0)</f>
        <v>5.9930605759413592E-2</v>
      </c>
      <c r="M107" s="82">
        <f>M28-M33-M46-M105</f>
        <v>38557.742082980752</v>
      </c>
      <c r="N107" s="83">
        <f>IFERROR(M107/M$28,0)</f>
        <v>6.1158616749078035E-2</v>
      </c>
      <c r="O107" s="82">
        <f>O28-O33-O46-O105</f>
        <v>41350.366684099979</v>
      </c>
      <c r="P107" s="83">
        <f>IFERROR(O107/O$28,0)</f>
        <v>6.3616058842931242E-2</v>
      </c>
      <c r="Q107" s="82">
        <f>Q28-Q33-Q46-Q105</f>
        <v>44812.635409259063</v>
      </c>
      <c r="R107" s="83">
        <f>IFERROR(Q107/Q$28,0)</f>
        <v>6.69345974086724E-2</v>
      </c>
      <c r="S107" s="82">
        <f>S28-S33-S46-S105</f>
        <v>49173.768881156982</v>
      </c>
      <c r="T107" s="83">
        <f>IFERROR(S107/S$28,0)</f>
        <v>7.0964854418985104E-2</v>
      </c>
      <c r="U107" s="82">
        <f>U28-U33-U46-U105</f>
        <v>51390.143300082884</v>
      </c>
      <c r="V107" s="83">
        <f>IFERROR(U107/U$28,0)</f>
        <v>7.2143388118429616E-2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449</v>
      </c>
      <c r="B110" s="40"/>
      <c r="C110" s="86" t="str">
        <f>C50</f>
        <v>FY 2018-19</v>
      </c>
      <c r="D110" s="86" t="s">
        <v>366</v>
      </c>
      <c r="E110" s="86" t="str">
        <f>E50</f>
        <v>FY 2019-20</v>
      </c>
      <c r="F110" s="86" t="s">
        <v>366</v>
      </c>
      <c r="G110" s="86" t="str">
        <f>G50</f>
        <v>FY 2020-21</v>
      </c>
      <c r="H110" s="86" t="s">
        <v>366</v>
      </c>
      <c r="I110" s="86" t="str">
        <f>I50</f>
        <v>FY 2021-22</v>
      </c>
      <c r="J110" s="86" t="s">
        <v>366</v>
      </c>
      <c r="K110" s="86" t="str">
        <f>K50</f>
        <v>FY 2022-23</v>
      </c>
      <c r="L110" s="86" t="s">
        <v>366</v>
      </c>
      <c r="M110" s="86" t="str">
        <f>M50</f>
        <v>FY 2023-24</v>
      </c>
      <c r="N110" s="86" t="s">
        <v>366</v>
      </c>
      <c r="O110" s="86" t="str">
        <f>O50</f>
        <v>FY 2024-25</v>
      </c>
      <c r="P110" s="86" t="s">
        <v>366</v>
      </c>
      <c r="Q110" s="86" t="str">
        <f>Q50</f>
        <v>FY 2025-26</v>
      </c>
      <c r="R110" s="86" t="s">
        <v>366</v>
      </c>
      <c r="S110" s="86" t="str">
        <f>S50</f>
        <v>FY 2026-27</v>
      </c>
      <c r="T110" s="86" t="s">
        <v>366</v>
      </c>
      <c r="U110" s="86" t="str">
        <f>U50</f>
        <v>FY 2027-28</v>
      </c>
      <c r="V110" s="86" t="s">
        <v>366</v>
      </c>
    </row>
    <row r="111" spans="1:24" ht="12.75" customHeight="1">
      <c r="A111" s="2" t="s">
        <v>403</v>
      </c>
      <c r="B111" s="35"/>
      <c r="C111" s="79">
        <f>C59</f>
        <v>0</v>
      </c>
      <c r="D111" s="80">
        <f t="shared" ref="D111:D116" si="43">IFERROR(C111/C$28,0)</f>
        <v>0</v>
      </c>
      <c r="E111" s="79">
        <f>E59</f>
        <v>0</v>
      </c>
      <c r="F111" s="80">
        <f t="shared" ref="F111:F116" si="44">IFERROR(E111/E$28,0)</f>
        <v>0</v>
      </c>
      <c r="G111" s="79">
        <f>G59</f>
        <v>0</v>
      </c>
      <c r="H111" s="80">
        <f t="shared" ref="H111:H116" si="45">IFERROR(G111/G$28,0)</f>
        <v>0</v>
      </c>
      <c r="I111" s="79">
        <f>I59</f>
        <v>0</v>
      </c>
      <c r="J111" s="80">
        <f t="shared" ref="J111:J116" si="46">IFERROR(I111/I$28,0)</f>
        <v>0</v>
      </c>
      <c r="K111" s="79">
        <f>K59</f>
        <v>0</v>
      </c>
      <c r="L111" s="80">
        <f t="shared" ref="L111:L116" si="47">IFERROR(K111/K$28,0)</f>
        <v>0</v>
      </c>
      <c r="M111" s="79">
        <f>M59</f>
        <v>0</v>
      </c>
      <c r="N111" s="80">
        <f t="shared" ref="N111:N116" si="48">IFERROR(M111/M$28,0)</f>
        <v>0</v>
      </c>
      <c r="O111" s="79">
        <f>O59</f>
        <v>0</v>
      </c>
      <c r="P111" s="80">
        <f t="shared" ref="P111:P116" si="49">IFERROR(O111/O$28,0)</f>
        <v>0</v>
      </c>
      <c r="Q111" s="79">
        <f>Q59</f>
        <v>0</v>
      </c>
      <c r="R111" s="80">
        <f t="shared" ref="R111:R116" si="50">IFERROR(Q111/Q$28,0)</f>
        <v>0</v>
      </c>
      <c r="S111" s="79">
        <f>S59</f>
        <v>0</v>
      </c>
      <c r="T111" s="80">
        <f t="shared" ref="T111:T116" si="51">IFERROR(S111/S$28,0)</f>
        <v>0</v>
      </c>
      <c r="U111" s="79">
        <f>U59</f>
        <v>0</v>
      </c>
      <c r="V111" s="80">
        <f t="shared" ref="V111:V116" si="52">IFERROR(U111/U$28,0)</f>
        <v>0</v>
      </c>
    </row>
    <row r="112" spans="1:24" ht="12.75" customHeight="1">
      <c r="A112" s="2" t="s">
        <v>450</v>
      </c>
      <c r="B112" s="35"/>
      <c r="C112" s="79">
        <f>C62</f>
        <v>0</v>
      </c>
      <c r="D112" s="80">
        <f t="shared" si="43"/>
        <v>0</v>
      </c>
      <c r="E112" s="79">
        <f>E62</f>
        <v>0</v>
      </c>
      <c r="F112" s="80">
        <f t="shared" si="44"/>
        <v>0</v>
      </c>
      <c r="G112" s="79">
        <f>G62</f>
        <v>0</v>
      </c>
      <c r="H112" s="80">
        <f t="shared" si="45"/>
        <v>0</v>
      </c>
      <c r="I112" s="79">
        <f>I62</f>
        <v>0</v>
      </c>
      <c r="J112" s="80">
        <f t="shared" si="46"/>
        <v>0</v>
      </c>
      <c r="K112" s="79">
        <f>K62</f>
        <v>0</v>
      </c>
      <c r="L112" s="80">
        <f t="shared" si="47"/>
        <v>0</v>
      </c>
      <c r="M112" s="79">
        <f>M62</f>
        <v>0</v>
      </c>
      <c r="N112" s="80">
        <f t="shared" si="48"/>
        <v>0</v>
      </c>
      <c r="O112" s="79">
        <f>O62</f>
        <v>0</v>
      </c>
      <c r="P112" s="80">
        <f t="shared" si="49"/>
        <v>0</v>
      </c>
      <c r="Q112" s="79">
        <f>Q62</f>
        <v>0</v>
      </c>
      <c r="R112" s="80">
        <f t="shared" si="50"/>
        <v>0</v>
      </c>
      <c r="S112" s="79">
        <f>S62</f>
        <v>0</v>
      </c>
      <c r="T112" s="80">
        <f t="shared" si="51"/>
        <v>0</v>
      </c>
      <c r="U112" s="79">
        <f>U62</f>
        <v>0</v>
      </c>
      <c r="V112" s="80">
        <f t="shared" si="52"/>
        <v>0</v>
      </c>
    </row>
    <row r="113" spans="1:22" ht="12.75" customHeight="1">
      <c r="A113" s="117" t="s">
        <v>446</v>
      </c>
      <c r="B113" s="41"/>
      <c r="C113" s="111">
        <v>0</v>
      </c>
      <c r="D113" s="80">
        <f t="shared" si="43"/>
        <v>0</v>
      </c>
      <c r="E113" s="111">
        <v>0</v>
      </c>
      <c r="F113" s="80">
        <f t="shared" si="44"/>
        <v>0</v>
      </c>
      <c r="G113" s="111">
        <v>0</v>
      </c>
      <c r="H113" s="80">
        <f t="shared" si="45"/>
        <v>0</v>
      </c>
      <c r="I113" s="111">
        <v>0</v>
      </c>
      <c r="J113" s="80">
        <f t="shared" si="46"/>
        <v>0</v>
      </c>
      <c r="K113" s="111">
        <v>0</v>
      </c>
      <c r="L113" s="80">
        <f t="shared" si="47"/>
        <v>0</v>
      </c>
      <c r="M113" s="111">
        <v>0</v>
      </c>
      <c r="N113" s="80">
        <f t="shared" si="48"/>
        <v>0</v>
      </c>
      <c r="O113" s="111">
        <v>0</v>
      </c>
      <c r="P113" s="80">
        <f t="shared" si="49"/>
        <v>0</v>
      </c>
      <c r="Q113" s="111">
        <v>0</v>
      </c>
      <c r="R113" s="80">
        <f t="shared" si="50"/>
        <v>0</v>
      </c>
      <c r="S113" s="111">
        <v>0</v>
      </c>
      <c r="T113" s="80">
        <f t="shared" si="51"/>
        <v>0</v>
      </c>
      <c r="U113" s="111">
        <v>0</v>
      </c>
      <c r="V113" s="80">
        <f t="shared" si="52"/>
        <v>0</v>
      </c>
    </row>
    <row r="114" spans="1:22" ht="12.75" customHeight="1">
      <c r="A114" s="117" t="s">
        <v>446</v>
      </c>
      <c r="B114" s="41"/>
      <c r="C114" s="111">
        <v>0</v>
      </c>
      <c r="D114" s="80">
        <f t="shared" si="43"/>
        <v>0</v>
      </c>
      <c r="E114" s="111">
        <v>0</v>
      </c>
      <c r="F114" s="80">
        <f t="shared" si="44"/>
        <v>0</v>
      </c>
      <c r="G114" s="111">
        <v>0</v>
      </c>
      <c r="H114" s="80">
        <f t="shared" si="45"/>
        <v>0</v>
      </c>
      <c r="I114" s="111">
        <v>0</v>
      </c>
      <c r="J114" s="80">
        <f t="shared" si="46"/>
        <v>0</v>
      </c>
      <c r="K114" s="111">
        <v>0</v>
      </c>
      <c r="L114" s="80">
        <f t="shared" si="47"/>
        <v>0</v>
      </c>
      <c r="M114" s="111">
        <v>0</v>
      </c>
      <c r="N114" s="80">
        <f t="shared" si="48"/>
        <v>0</v>
      </c>
      <c r="O114" s="111">
        <v>0</v>
      </c>
      <c r="P114" s="80">
        <f t="shared" si="49"/>
        <v>0</v>
      </c>
      <c r="Q114" s="111">
        <v>0</v>
      </c>
      <c r="R114" s="80">
        <f t="shared" si="50"/>
        <v>0</v>
      </c>
      <c r="S114" s="111">
        <v>0</v>
      </c>
      <c r="T114" s="80">
        <f t="shared" si="51"/>
        <v>0</v>
      </c>
      <c r="U114" s="111">
        <v>0</v>
      </c>
      <c r="V114" s="80">
        <f t="shared" si="52"/>
        <v>0</v>
      </c>
    </row>
    <row r="115" spans="1:22" ht="12.75" customHeight="1">
      <c r="A115" s="117" t="s">
        <v>446</v>
      </c>
      <c r="B115" s="41"/>
      <c r="C115" s="112">
        <v>0</v>
      </c>
      <c r="D115" s="80">
        <f t="shared" si="43"/>
        <v>0</v>
      </c>
      <c r="E115" s="112">
        <v>0</v>
      </c>
      <c r="F115" s="80">
        <f t="shared" si="44"/>
        <v>0</v>
      </c>
      <c r="G115" s="112">
        <v>0</v>
      </c>
      <c r="H115" s="80">
        <f t="shared" si="45"/>
        <v>0</v>
      </c>
      <c r="I115" s="112">
        <v>0</v>
      </c>
      <c r="J115" s="80">
        <f t="shared" si="46"/>
        <v>0</v>
      </c>
      <c r="K115" s="112">
        <v>0</v>
      </c>
      <c r="L115" s="80">
        <f t="shared" si="47"/>
        <v>0</v>
      </c>
      <c r="M115" s="112">
        <v>0</v>
      </c>
      <c r="N115" s="80">
        <f t="shared" si="48"/>
        <v>0</v>
      </c>
      <c r="O115" s="112">
        <v>0</v>
      </c>
      <c r="P115" s="80">
        <f t="shared" si="49"/>
        <v>0</v>
      </c>
      <c r="Q115" s="112">
        <v>0</v>
      </c>
      <c r="R115" s="80">
        <f t="shared" si="50"/>
        <v>0</v>
      </c>
      <c r="S115" s="112">
        <v>0</v>
      </c>
      <c r="T115" s="80">
        <f t="shared" si="51"/>
        <v>0</v>
      </c>
      <c r="U115" s="112">
        <v>0</v>
      </c>
      <c r="V115" s="80">
        <f t="shared" si="52"/>
        <v>0</v>
      </c>
    </row>
    <row r="116" spans="1:22" ht="12.75" customHeight="1">
      <c r="A116" s="40" t="s">
        <v>451</v>
      </c>
      <c r="B116" s="42"/>
      <c r="C116" s="85">
        <f>SUM(C111:C115)</f>
        <v>0</v>
      </c>
      <c r="D116" s="83">
        <f t="shared" si="43"/>
        <v>0</v>
      </c>
      <c r="E116" s="85">
        <f>SUM(E111:E115)</f>
        <v>0</v>
      </c>
      <c r="F116" s="83">
        <f t="shared" si="44"/>
        <v>0</v>
      </c>
      <c r="G116" s="85">
        <f>SUM(G111:G115)</f>
        <v>0</v>
      </c>
      <c r="H116" s="83">
        <f t="shared" si="45"/>
        <v>0</v>
      </c>
      <c r="I116" s="85">
        <f>SUM(I111:I115)</f>
        <v>0</v>
      </c>
      <c r="J116" s="83">
        <f t="shared" si="46"/>
        <v>0</v>
      </c>
      <c r="K116" s="85">
        <f>SUM(K111:K115)</f>
        <v>0</v>
      </c>
      <c r="L116" s="83">
        <f t="shared" si="47"/>
        <v>0</v>
      </c>
      <c r="M116" s="85">
        <f>SUM(M111:M115)</f>
        <v>0</v>
      </c>
      <c r="N116" s="83">
        <f t="shared" si="48"/>
        <v>0</v>
      </c>
      <c r="O116" s="85">
        <f>SUM(O111:O115)</f>
        <v>0</v>
      </c>
      <c r="P116" s="83">
        <f t="shared" si="49"/>
        <v>0</v>
      </c>
      <c r="Q116" s="85">
        <f>SUM(Q111:Q115)</f>
        <v>0</v>
      </c>
      <c r="R116" s="83">
        <f t="shared" si="50"/>
        <v>0</v>
      </c>
      <c r="S116" s="85">
        <f>SUM(S111:S115)</f>
        <v>0</v>
      </c>
      <c r="T116" s="83">
        <f t="shared" si="51"/>
        <v>0</v>
      </c>
      <c r="U116" s="85">
        <f>SUM(U111:U115)</f>
        <v>0</v>
      </c>
      <c r="V116" s="83">
        <f t="shared" si="52"/>
        <v>0</v>
      </c>
    </row>
    <row r="118" spans="1:22" ht="12.75" customHeight="1">
      <c r="A118" s="43" t="s">
        <v>452</v>
      </c>
      <c r="B118" s="43"/>
    </row>
    <row r="119" spans="1:22" ht="12.75" customHeight="1">
      <c r="A119" s="47" t="s">
        <v>453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7" tint="0.59999389629810485"/>
  </sheetPr>
  <dimension ref="A1:X119"/>
  <sheetViews>
    <sheetView topLeftCell="B33" zoomScale="70" zoomScaleNormal="70" workbookViewId="0" xr3:uid="{22EC4E50-C5E2-5B45-B3E6-2D2467F4FBB9}">
      <selection activeCell="W59" sqref="W59"/>
    </sheetView>
  </sheetViews>
  <sheetFormatPr defaultColWidth="9.140625" defaultRowHeight="12.75" customHeight="1"/>
  <cols>
    <col min="1" max="1" width="9.5703125" style="2" customWidth="1"/>
    <col min="2" max="2" width="42.140625" style="2" customWidth="1"/>
    <col min="3" max="3" width="12.7109375" style="2" customWidth="1"/>
    <col min="4" max="4" width="8.7109375" style="2" customWidth="1"/>
    <col min="5" max="5" width="14.85546875" style="2" customWidth="1"/>
    <col min="6" max="6" width="8.7109375" style="2" customWidth="1"/>
    <col min="7" max="7" width="13.85546875" style="2" customWidth="1"/>
    <col min="8" max="8" width="8.7109375" style="2" customWidth="1"/>
    <col min="9" max="9" width="13.42578125" style="2" customWidth="1"/>
    <col min="10" max="10" width="8.7109375" style="2" customWidth="1"/>
    <col min="11" max="11" width="13.28515625" style="2" customWidth="1"/>
    <col min="12" max="12" width="8.7109375" style="2" customWidth="1"/>
    <col min="13" max="13" width="14.7109375" style="2" customWidth="1"/>
    <col min="14" max="14" width="8.7109375" style="2" customWidth="1"/>
    <col min="15" max="15" width="13.85546875" style="2" customWidth="1"/>
    <col min="16" max="16" width="8.7109375" style="2" customWidth="1"/>
    <col min="17" max="17" width="13.5703125" style="2" customWidth="1"/>
    <col min="18" max="18" width="8.7109375" style="2" customWidth="1"/>
    <col min="19" max="19" width="15.42578125" style="2" customWidth="1"/>
    <col min="20" max="20" width="8.7109375" style="2" customWidth="1"/>
    <col min="21" max="21" width="16.710937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355</v>
      </c>
      <c r="G2" s="33" t="s">
        <v>62</v>
      </c>
      <c r="H2" s="34"/>
      <c r="I2" s="34"/>
      <c r="V2" s="32"/>
    </row>
    <row r="3" spans="1:22" ht="12.75" customHeight="1">
      <c r="A3" s="1" t="s">
        <v>357</v>
      </c>
      <c r="D3" s="118" t="s">
        <v>358</v>
      </c>
      <c r="G3" s="115" t="str">
        <f>+G2</f>
        <v>Market Pavillion</v>
      </c>
      <c r="H3" s="116"/>
      <c r="I3" s="116"/>
      <c r="V3" s="32"/>
    </row>
    <row r="4" spans="1:22" ht="12.75" customHeight="1">
      <c r="A4" s="1" t="s">
        <v>359</v>
      </c>
      <c r="B4" s="109" t="s">
        <v>221</v>
      </c>
      <c r="D4" s="118" t="s">
        <v>360</v>
      </c>
      <c r="G4" s="115" t="s">
        <v>65</v>
      </c>
      <c r="H4" s="116"/>
      <c r="I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361</v>
      </c>
      <c r="B7" s="1"/>
    </row>
    <row r="8" spans="1:22" ht="12.75" customHeight="1">
      <c r="A8" s="2" t="s">
        <v>362</v>
      </c>
      <c r="C8" s="109">
        <v>228</v>
      </c>
      <c r="E8" s="109">
        <v>160</v>
      </c>
      <c r="G8" s="109">
        <f>+E8</f>
        <v>160</v>
      </c>
      <c r="I8" s="109">
        <f>+G8</f>
        <v>160</v>
      </c>
      <c r="K8" s="109">
        <f>+I8</f>
        <v>160</v>
      </c>
      <c r="M8" s="109">
        <f>+K8</f>
        <v>160</v>
      </c>
      <c r="O8" s="109">
        <f>+M8</f>
        <v>160</v>
      </c>
      <c r="Q8" s="109">
        <f>+O8</f>
        <v>160</v>
      </c>
      <c r="S8" s="109">
        <f>+Q8</f>
        <v>160</v>
      </c>
      <c r="U8" s="109">
        <f>+S8</f>
        <v>160</v>
      </c>
    </row>
    <row r="10" spans="1:22" ht="12.75" customHeight="1">
      <c r="A10" s="2" t="s">
        <v>462</v>
      </c>
      <c r="C10" s="109"/>
      <c r="E10" s="201">
        <f>+E14/E8/E12</f>
        <v>468.75</v>
      </c>
      <c r="F10" s="202"/>
      <c r="G10" s="201">
        <f>+G14/G8/G12</f>
        <v>485.07462686567163</v>
      </c>
      <c r="H10" s="202"/>
      <c r="I10" s="201">
        <f>+I14/I8/I12</f>
        <v>501.980198019802</v>
      </c>
      <c r="J10" s="202"/>
      <c r="K10" s="201">
        <f>+K14/K8/K12</f>
        <v>514.49261083743841</v>
      </c>
      <c r="L10" s="202"/>
      <c r="M10" s="201">
        <f>+M14/M8/M12</f>
        <v>527.3297058823531</v>
      </c>
      <c r="N10" s="202"/>
      <c r="O10" s="201">
        <f t="shared" ref="O10" si="0">+O14/O8/O12</f>
        <v>540.50008682926841</v>
      </c>
      <c r="P10" s="202"/>
      <c r="Q10" s="201">
        <f t="shared" ref="Q10" si="1">+Q14/Q8/Q12</f>
        <v>554.01258900000005</v>
      </c>
      <c r="R10" s="202"/>
      <c r="S10" s="201">
        <f>+S14/S8/S12</f>
        <v>567.87628567159436</v>
      </c>
      <c r="T10" s="202"/>
      <c r="U10" s="201">
        <f>+U14/U8/U12</f>
        <v>582.1004945578876</v>
      </c>
    </row>
    <row r="12" spans="1:22" ht="12.75" customHeight="1">
      <c r="A12" s="2" t="s">
        <v>463</v>
      </c>
      <c r="C12" s="110"/>
      <c r="E12" s="110">
        <v>10</v>
      </c>
      <c r="G12" s="110">
        <v>10.050000000000001</v>
      </c>
      <c r="I12" s="110">
        <v>10.1</v>
      </c>
      <c r="K12" s="110">
        <v>10.15</v>
      </c>
      <c r="M12" s="110">
        <v>10.199999999999999</v>
      </c>
      <c r="O12" s="110">
        <v>10.25</v>
      </c>
      <c r="Q12" s="110">
        <v>10.3</v>
      </c>
      <c r="S12" s="110">
        <v>10.35</v>
      </c>
      <c r="U12" s="110">
        <v>10.4</v>
      </c>
    </row>
    <row r="14" spans="1:22" ht="12.75" customHeight="1">
      <c r="A14" s="2" t="s">
        <v>464</v>
      </c>
      <c r="C14" s="121"/>
      <c r="E14" s="121">
        <v>750000</v>
      </c>
      <c r="G14" s="121">
        <f>+E14*1.04</f>
        <v>780000</v>
      </c>
      <c r="I14" s="121">
        <f>+G14*1.04</f>
        <v>811200</v>
      </c>
      <c r="K14" s="121">
        <f>+I14*1.03</f>
        <v>835536</v>
      </c>
      <c r="M14" s="121">
        <f>+K14*1.03</f>
        <v>860602.08000000007</v>
      </c>
      <c r="O14" s="121">
        <f>+M14*1.03</f>
        <v>886420.14240000013</v>
      </c>
      <c r="Q14" s="121">
        <f>+O14*1.03</f>
        <v>913012.74667200015</v>
      </c>
      <c r="S14" s="121">
        <f>+Q14*1.03</f>
        <v>940403.12907216023</v>
      </c>
      <c r="U14" s="121">
        <f>+S14*1.03</f>
        <v>968615.22294432507</v>
      </c>
    </row>
    <row r="15" spans="1:22" ht="12.75" customHeight="1">
      <c r="A15" s="39">
        <v>0.1</v>
      </c>
    </row>
    <row r="16" spans="1:22" ht="12.75" customHeight="1">
      <c r="B16" s="35"/>
      <c r="C16" s="86" t="str">
        <f>C6</f>
        <v>FY 2018-19</v>
      </c>
      <c r="D16" s="86" t="s">
        <v>366</v>
      </c>
      <c r="E16" s="86" t="str">
        <f>E6</f>
        <v>FY 2019-20</v>
      </c>
      <c r="F16" s="86" t="s">
        <v>366</v>
      </c>
      <c r="G16" s="86" t="str">
        <f>G6</f>
        <v>FY 2020-21</v>
      </c>
      <c r="H16" s="86" t="s">
        <v>366</v>
      </c>
      <c r="I16" s="86" t="str">
        <f>I6</f>
        <v>FY 2021-22</v>
      </c>
      <c r="J16" s="86" t="s">
        <v>366</v>
      </c>
      <c r="K16" s="86" t="str">
        <f>K6</f>
        <v>FY 2022-23</v>
      </c>
      <c r="L16" s="86" t="s">
        <v>366</v>
      </c>
      <c r="M16" s="86" t="str">
        <f>M6</f>
        <v>FY 2023-24</v>
      </c>
      <c r="N16" s="86" t="s">
        <v>366</v>
      </c>
      <c r="O16" s="86" t="str">
        <f>O6</f>
        <v>FY 2024-25</v>
      </c>
      <c r="P16" s="86" t="s">
        <v>366</v>
      </c>
      <c r="Q16" s="86" t="str">
        <f>Q6</f>
        <v>FY 2025-26</v>
      </c>
      <c r="R16" s="86" t="s">
        <v>366</v>
      </c>
      <c r="S16" s="86" t="str">
        <f>S6</f>
        <v>FY 2026-27</v>
      </c>
      <c r="T16" s="86" t="s">
        <v>366</v>
      </c>
      <c r="U16" s="86" t="str">
        <f>U6</f>
        <v>FY 2027-28</v>
      </c>
      <c r="V16" s="86" t="s">
        <v>366</v>
      </c>
    </row>
    <row r="17" spans="1:24" ht="12.75" customHeight="1">
      <c r="A17" s="1" t="s">
        <v>367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368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369</v>
      </c>
      <c r="B19" s="35"/>
      <c r="C19" s="200">
        <f>+C14-C20</f>
        <v>0</v>
      </c>
      <c r="D19" s="80">
        <f>IFERROR(C19/C$28,0)</f>
        <v>0</v>
      </c>
      <c r="E19" s="200">
        <f>+E14-E20</f>
        <v>350474.99999999994</v>
      </c>
      <c r="F19" s="80">
        <f>IFERROR(E19/E$28,0)</f>
        <v>0.35519914867740948</v>
      </c>
      <c r="G19" s="200">
        <f>+G14-G20</f>
        <v>372484.49999999994</v>
      </c>
      <c r="H19" s="80">
        <f>IFERROR(G19/G$28,0)</f>
        <v>0.36466820176340314</v>
      </c>
      <c r="I19" s="200">
        <f>+I14-I20</f>
        <v>395534.18999999994</v>
      </c>
      <c r="J19" s="80">
        <f>IFERROR(I19/I$28,0)</f>
        <v>0.37404080302862319</v>
      </c>
      <c r="K19" s="200">
        <f>+K14-K20</f>
        <v>411556.87379999994</v>
      </c>
      <c r="L19" s="80">
        <f>IFERROR(K19/K$28,0)</f>
        <v>0.37785709883241403</v>
      </c>
      <c r="M19" s="200">
        <f>+M14-M20</f>
        <v>428143.37127599999</v>
      </c>
      <c r="N19" s="80">
        <f>IFERROR(M19/M$28,0)</f>
        <v>0.38163634322063422</v>
      </c>
      <c r="O19" s="200">
        <f>+O14-O20</f>
        <v>445312.25950152002</v>
      </c>
      <c r="P19" s="80">
        <f>IFERROR(O19/O$28,0)</f>
        <v>0.38537889591576485</v>
      </c>
      <c r="Q19" s="200">
        <f>+Q14-Q20</f>
        <v>463082.70611555042</v>
      </c>
      <c r="R19" s="80">
        <f>IFERROR(Q19/Q$28,0)</f>
        <v>0.38908511314783595</v>
      </c>
      <c r="S19" s="200">
        <f>+S14-S20</f>
        <v>481474.48770458146</v>
      </c>
      <c r="T19" s="80">
        <f>IFERROR(S19/S$28,0)</f>
        <v>0.39275534768833359</v>
      </c>
      <c r="U19" s="200">
        <f>+U14-U20</f>
        <v>500508.00874939474</v>
      </c>
      <c r="V19" s="80">
        <f>IFERROR(U19/U$28,0)</f>
        <v>0.39638994888377782</v>
      </c>
    </row>
    <row r="20" spans="1:24" ht="12.75" customHeight="1">
      <c r="A20" s="2" t="s">
        <v>370</v>
      </c>
      <c r="B20" s="35"/>
      <c r="C20" s="111">
        <f>+C14*12.38%</f>
        <v>0</v>
      </c>
      <c r="D20" s="80">
        <f>IFERROR(C20/C$28,0)</f>
        <v>0</v>
      </c>
      <c r="E20" s="111">
        <f>+E14*53.27%</f>
        <v>399525.00000000006</v>
      </c>
      <c r="F20" s="80">
        <f>IFERROR(E20/E$28,0)</f>
        <v>0.40491030708422021</v>
      </c>
      <c r="G20" s="111">
        <f t="shared" ref="G20:U21" si="2">E20*1.02</f>
        <v>407515.50000000006</v>
      </c>
      <c r="H20" s="80">
        <f>IFERROR(G20/G$28,0)</f>
        <v>0.39896410340756239</v>
      </c>
      <c r="I20" s="111">
        <f t="shared" si="2"/>
        <v>415665.81000000006</v>
      </c>
      <c r="J20" s="80">
        <f>IFERROR(I20/I$28,0)</f>
        <v>0.39307846779046623</v>
      </c>
      <c r="K20" s="111">
        <f t="shared" si="2"/>
        <v>423979.12620000006</v>
      </c>
      <c r="L20" s="80">
        <f>IFERROR(K20/K$28,0)</f>
        <v>0.38926217198667523</v>
      </c>
      <c r="M20" s="111">
        <f t="shared" si="2"/>
        <v>432458.70872400008</v>
      </c>
      <c r="N20" s="80">
        <f>IFERROR(M20/M$28,0)</f>
        <v>0.38548292759845509</v>
      </c>
      <c r="O20" s="111">
        <f t="shared" si="2"/>
        <v>441107.88289848011</v>
      </c>
      <c r="P20" s="80">
        <f>IFERROR(O20/O$28,0)</f>
        <v>0.38174037490332446</v>
      </c>
      <c r="Q20" s="111">
        <f t="shared" si="2"/>
        <v>449930.04055644973</v>
      </c>
      <c r="R20" s="80">
        <f>IFERROR(Q20/Q$28,0)</f>
        <v>0.37803415767125331</v>
      </c>
      <c r="S20" s="111">
        <f t="shared" si="2"/>
        <v>458928.64136757876</v>
      </c>
      <c r="T20" s="80">
        <f>IFERROR(S20/S$28,0)</f>
        <v>0.37436392313075578</v>
      </c>
      <c r="U20" s="111">
        <f t="shared" si="2"/>
        <v>468107.21419493033</v>
      </c>
      <c r="V20" s="80">
        <f>IFERROR(U20/U$28,0)</f>
        <v>0.3707293219353115</v>
      </c>
    </row>
    <row r="21" spans="1:24" ht="12.75" customHeight="1">
      <c r="A21" s="2" t="s">
        <v>371</v>
      </c>
      <c r="B21" s="35"/>
      <c r="C21" s="111"/>
      <c r="D21" s="80">
        <f>IFERROR(C21/C$28,0)</f>
        <v>0</v>
      </c>
      <c r="E21" s="111">
        <v>0</v>
      </c>
      <c r="F21" s="80">
        <f>IFERROR(E21/E$28,0)</f>
        <v>0</v>
      </c>
      <c r="G21" s="111">
        <f t="shared" si="2"/>
        <v>0</v>
      </c>
      <c r="H21" s="80">
        <f>IFERROR(G21/G$28,0)</f>
        <v>0</v>
      </c>
      <c r="I21" s="111">
        <f t="shared" si="2"/>
        <v>0</v>
      </c>
      <c r="J21" s="80">
        <f>IFERROR(I21/I$28,0)</f>
        <v>0</v>
      </c>
      <c r="K21" s="111">
        <f t="shared" si="2"/>
        <v>0</v>
      </c>
      <c r="L21" s="80">
        <f>IFERROR(K21/K$28,0)</f>
        <v>0</v>
      </c>
      <c r="M21" s="111">
        <f t="shared" si="2"/>
        <v>0</v>
      </c>
      <c r="N21" s="80">
        <f>IFERROR(M21/M$28,0)</f>
        <v>0</v>
      </c>
      <c r="O21" s="111">
        <f t="shared" si="2"/>
        <v>0</v>
      </c>
      <c r="P21" s="80">
        <f>IFERROR(O21/O$28,0)</f>
        <v>0</v>
      </c>
      <c r="Q21" s="111">
        <f t="shared" si="2"/>
        <v>0</v>
      </c>
      <c r="R21" s="80">
        <f>IFERROR(Q21/Q$28,0)</f>
        <v>0</v>
      </c>
      <c r="S21" s="111">
        <f t="shared" si="2"/>
        <v>0</v>
      </c>
      <c r="T21" s="80">
        <f>IFERROR(S21/S$28,0)</f>
        <v>0</v>
      </c>
      <c r="U21" s="111">
        <f t="shared" si="2"/>
        <v>0</v>
      </c>
      <c r="V21" s="80">
        <f>IFERROR(U21/U$28,0)</f>
        <v>0</v>
      </c>
    </row>
    <row r="22" spans="1:24" ht="12.75" customHeight="1">
      <c r="A22" s="2" t="s">
        <v>372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373</v>
      </c>
      <c r="B23" s="123"/>
      <c r="C23" s="79"/>
      <c r="D23" s="80">
        <f t="shared" ref="D23:D28" si="3">IFERROR(C23/C$28,0)</f>
        <v>0</v>
      </c>
      <c r="E23" s="79"/>
      <c r="F23" s="80">
        <f t="shared" ref="F23:F28" si="4">IFERROR(E23/E$28,0)</f>
        <v>0</v>
      </c>
      <c r="G23" s="79"/>
      <c r="H23" s="80">
        <f t="shared" ref="H23:H28" si="5">IFERROR(G23/G$28,0)</f>
        <v>0</v>
      </c>
      <c r="I23" s="79"/>
      <c r="J23" s="80">
        <f t="shared" ref="J23:J28" si="6">IFERROR(I23/I$28,0)</f>
        <v>0</v>
      </c>
      <c r="K23" s="79"/>
      <c r="L23" s="80">
        <f t="shared" ref="L23:L28" si="7">IFERROR(K23/K$28,0)</f>
        <v>0</v>
      </c>
      <c r="M23" s="79"/>
      <c r="N23" s="80">
        <f t="shared" ref="N23:N28" si="8">IFERROR(M23/M$28,0)</f>
        <v>0</v>
      </c>
      <c r="O23" s="79"/>
      <c r="P23" s="80">
        <f t="shared" ref="P23:P28" si="9">IFERROR(O23/O$28,0)</f>
        <v>0</v>
      </c>
      <c r="Q23" s="79"/>
      <c r="R23" s="80">
        <f t="shared" ref="R23:R28" si="10">IFERROR(Q23/Q$28,0)</f>
        <v>0</v>
      </c>
      <c r="S23" s="79"/>
      <c r="T23" s="80">
        <f t="shared" ref="T23:T28" si="11">IFERROR(S23/S$28,0)</f>
        <v>0</v>
      </c>
      <c r="U23" s="79"/>
      <c r="V23" s="80">
        <f t="shared" ref="V23:V28" si="12">IFERROR(U23/U$28,0)</f>
        <v>0</v>
      </c>
    </row>
    <row r="24" spans="1:24" ht="12.75" customHeight="1">
      <c r="A24" s="122" t="s">
        <v>374</v>
      </c>
      <c r="B24" s="123"/>
      <c r="C24" s="79"/>
      <c r="D24" s="80">
        <f t="shared" si="3"/>
        <v>0</v>
      </c>
      <c r="E24" s="79"/>
      <c r="F24" s="80">
        <f t="shared" si="4"/>
        <v>0</v>
      </c>
      <c r="G24" s="79"/>
      <c r="H24" s="80">
        <f t="shared" si="5"/>
        <v>0</v>
      </c>
      <c r="I24" s="79"/>
      <c r="J24" s="80">
        <f t="shared" si="6"/>
        <v>0</v>
      </c>
      <c r="K24" s="79"/>
      <c r="L24" s="80">
        <f t="shared" si="7"/>
        <v>0</v>
      </c>
      <c r="M24" s="79"/>
      <c r="N24" s="80">
        <f t="shared" si="8"/>
        <v>0</v>
      </c>
      <c r="O24" s="79"/>
      <c r="P24" s="80">
        <f t="shared" si="9"/>
        <v>0</v>
      </c>
      <c r="Q24" s="79"/>
      <c r="R24" s="80">
        <f t="shared" si="10"/>
        <v>0</v>
      </c>
      <c r="S24" s="79"/>
      <c r="T24" s="80">
        <f t="shared" si="11"/>
        <v>0</v>
      </c>
      <c r="U24" s="79"/>
      <c r="V24" s="80">
        <f t="shared" si="12"/>
        <v>0</v>
      </c>
      <c r="X24" s="79"/>
    </row>
    <row r="25" spans="1:24" ht="12.75" customHeight="1">
      <c r="A25" s="2" t="s">
        <v>375</v>
      </c>
      <c r="B25" s="35"/>
      <c r="C25" s="111"/>
      <c r="D25" s="80">
        <f t="shared" si="3"/>
        <v>0</v>
      </c>
      <c r="E25" s="111"/>
      <c r="F25" s="80">
        <f t="shared" si="4"/>
        <v>0</v>
      </c>
      <c r="G25" s="111"/>
      <c r="H25" s="80">
        <f t="shared" si="5"/>
        <v>0</v>
      </c>
      <c r="I25" s="111"/>
      <c r="J25" s="80">
        <f t="shared" si="6"/>
        <v>0</v>
      </c>
      <c r="K25" s="111"/>
      <c r="L25" s="80">
        <f t="shared" si="7"/>
        <v>0</v>
      </c>
      <c r="M25" s="111"/>
      <c r="N25" s="80">
        <f t="shared" si="8"/>
        <v>0</v>
      </c>
      <c r="O25" s="111"/>
      <c r="P25" s="80">
        <f t="shared" si="9"/>
        <v>0</v>
      </c>
      <c r="Q25" s="111"/>
      <c r="R25" s="80">
        <f t="shared" si="10"/>
        <v>0</v>
      </c>
      <c r="S25" s="111"/>
      <c r="T25" s="80">
        <f t="shared" si="11"/>
        <v>0</v>
      </c>
      <c r="U25" s="111"/>
      <c r="V25" s="80">
        <f t="shared" si="12"/>
        <v>0</v>
      </c>
      <c r="X25" s="79"/>
    </row>
    <row r="26" spans="1:24" ht="12.75" customHeight="1">
      <c r="A26" s="122" t="s">
        <v>376</v>
      </c>
      <c r="B26" s="35"/>
      <c r="C26" s="79"/>
      <c r="D26" s="80">
        <f t="shared" si="3"/>
        <v>0</v>
      </c>
      <c r="E26" s="79"/>
      <c r="F26" s="80">
        <f t="shared" si="4"/>
        <v>0</v>
      </c>
      <c r="G26" s="79"/>
      <c r="H26" s="80">
        <f t="shared" si="5"/>
        <v>0</v>
      </c>
      <c r="I26" s="79"/>
      <c r="J26" s="80">
        <f t="shared" si="6"/>
        <v>0</v>
      </c>
      <c r="K26" s="79"/>
      <c r="L26" s="80">
        <f t="shared" si="7"/>
        <v>0</v>
      </c>
      <c r="M26" s="79"/>
      <c r="N26" s="80">
        <f t="shared" si="8"/>
        <v>0</v>
      </c>
      <c r="O26" s="79"/>
      <c r="P26" s="80">
        <f t="shared" si="9"/>
        <v>0</v>
      </c>
      <c r="Q26" s="79"/>
      <c r="R26" s="80">
        <f t="shared" si="10"/>
        <v>0</v>
      </c>
      <c r="S26" s="79"/>
      <c r="T26" s="80">
        <f t="shared" si="11"/>
        <v>0</v>
      </c>
      <c r="U26" s="79"/>
      <c r="V26" s="80">
        <f t="shared" si="12"/>
        <v>0</v>
      </c>
    </row>
    <row r="27" spans="1:24" ht="12.75" customHeight="1">
      <c r="A27" s="2" t="s">
        <v>377</v>
      </c>
      <c r="B27" s="35"/>
      <c r="C27" s="112"/>
      <c r="D27" s="80">
        <f t="shared" si="3"/>
        <v>0</v>
      </c>
      <c r="E27" s="112">
        <v>236700</v>
      </c>
      <c r="F27" s="80">
        <f t="shared" si="4"/>
        <v>0.23989054423837033</v>
      </c>
      <c r="G27" s="112">
        <f>+E27*1.02</f>
        <v>241434</v>
      </c>
      <c r="H27" s="80">
        <f t="shared" si="5"/>
        <v>0.23636769482903447</v>
      </c>
      <c r="I27" s="112">
        <f>+G27*1.02</f>
        <v>246262.68</v>
      </c>
      <c r="J27" s="80">
        <f t="shared" si="6"/>
        <v>0.23288072918091068</v>
      </c>
      <c r="K27" s="112">
        <f>+I27*1.03</f>
        <v>253650.56039999999</v>
      </c>
      <c r="L27" s="80">
        <f t="shared" si="7"/>
        <v>0.23288072918091063</v>
      </c>
      <c r="M27" s="112">
        <f>+K27*1.03</f>
        <v>261260.077212</v>
      </c>
      <c r="N27" s="80">
        <f t="shared" si="8"/>
        <v>0.23288072918091066</v>
      </c>
      <c r="O27" s="112">
        <f>+M27*1.03</f>
        <v>269097.87952836003</v>
      </c>
      <c r="P27" s="80">
        <f t="shared" si="9"/>
        <v>0.23288072918091066</v>
      </c>
      <c r="Q27" s="112">
        <f>+O27*1.03</f>
        <v>277170.81591421086</v>
      </c>
      <c r="R27" s="80">
        <f t="shared" si="10"/>
        <v>0.23288072918091066</v>
      </c>
      <c r="S27" s="112">
        <f>+Q27*1.03</f>
        <v>285485.94039163721</v>
      </c>
      <c r="T27" s="80">
        <f t="shared" si="11"/>
        <v>0.23288072918091068</v>
      </c>
      <c r="U27" s="112">
        <f>+S27*1.03</f>
        <v>294050.51860338636</v>
      </c>
      <c r="V27" s="80">
        <f t="shared" si="12"/>
        <v>0.23288072918091068</v>
      </c>
    </row>
    <row r="28" spans="1:24" ht="12.75" customHeight="1">
      <c r="A28" s="1" t="s">
        <v>378</v>
      </c>
      <c r="B28" s="53"/>
      <c r="C28" s="82">
        <f>SUM(C19:C27)</f>
        <v>0</v>
      </c>
      <c r="D28" s="83">
        <f t="shared" si="3"/>
        <v>0</v>
      </c>
      <c r="E28" s="82">
        <f>SUM(E19:E27)</f>
        <v>986700</v>
      </c>
      <c r="F28" s="83">
        <f t="shared" si="4"/>
        <v>1</v>
      </c>
      <c r="G28" s="82">
        <f>SUM(G19:G27)</f>
        <v>1021434</v>
      </c>
      <c r="H28" s="83">
        <f t="shared" si="5"/>
        <v>1</v>
      </c>
      <c r="I28" s="82">
        <f>SUM(I19:I27)</f>
        <v>1057462.68</v>
      </c>
      <c r="J28" s="83">
        <f t="shared" si="6"/>
        <v>1</v>
      </c>
      <c r="K28" s="82">
        <f>SUM(K19:K27)</f>
        <v>1089186.5604000001</v>
      </c>
      <c r="L28" s="83">
        <f t="shared" si="7"/>
        <v>1</v>
      </c>
      <c r="M28" s="82">
        <f>SUM(M19:M27)</f>
        <v>1121862.1572120001</v>
      </c>
      <c r="N28" s="83">
        <f t="shared" si="8"/>
        <v>1</v>
      </c>
      <c r="O28" s="82">
        <f>SUM(O19:O27)</f>
        <v>1155518.0219283602</v>
      </c>
      <c r="P28" s="83">
        <f t="shared" si="9"/>
        <v>1</v>
      </c>
      <c r="Q28" s="82">
        <f>SUM(Q19:Q27)</f>
        <v>1190183.5625862111</v>
      </c>
      <c r="R28" s="83">
        <f t="shared" si="10"/>
        <v>1</v>
      </c>
      <c r="S28" s="82">
        <f>SUM(S19:S27)</f>
        <v>1225889.0694637974</v>
      </c>
      <c r="T28" s="83">
        <f t="shared" si="11"/>
        <v>1</v>
      </c>
      <c r="U28" s="82">
        <f>SUM(U19:U27)</f>
        <v>1262665.7415477114</v>
      </c>
      <c r="V28" s="83">
        <f t="shared" si="12"/>
        <v>1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379</v>
      </c>
      <c r="B30" s="53"/>
      <c r="C30" s="197">
        <v>0.33</v>
      </c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380</v>
      </c>
      <c r="B31" s="35"/>
      <c r="C31" s="178">
        <f>$C$30*C14</f>
        <v>0</v>
      </c>
      <c r="D31" s="80">
        <f>IFERROR(C31/C$28,0)</f>
        <v>0</v>
      </c>
      <c r="E31" s="178">
        <f>$C$30*E14</f>
        <v>247500</v>
      </c>
      <c r="F31" s="80">
        <f>IFERROR(E31/E$28,0)</f>
        <v>0.25083612040133779</v>
      </c>
      <c r="G31" s="178">
        <f>$C$30*G14</f>
        <v>257400</v>
      </c>
      <c r="H31" s="80">
        <f>IFERROR(G31/G$28,0)</f>
        <v>0.25199866070641863</v>
      </c>
      <c r="I31" s="178">
        <f>$C$30*I14</f>
        <v>267696</v>
      </c>
      <c r="J31" s="80">
        <f>IFERROR(I31/I$28,0)</f>
        <v>0.25314935937029948</v>
      </c>
      <c r="K31" s="178">
        <f>$C$30*K14</f>
        <v>275726.88</v>
      </c>
      <c r="L31" s="80">
        <f>IFERROR(K31/K$28,0)</f>
        <v>0.25314935937029948</v>
      </c>
      <c r="M31" s="178">
        <f>$C$30*M14</f>
        <v>283998.68640000006</v>
      </c>
      <c r="N31" s="80">
        <f>IFERROR(M31/M$28,0)</f>
        <v>0.25314935937029953</v>
      </c>
      <c r="O31" s="178">
        <f>$C$30*O14</f>
        <v>292518.64699200005</v>
      </c>
      <c r="P31" s="80">
        <f>IFERROR(O31/O$28,0)</f>
        <v>0.25314935937029948</v>
      </c>
      <c r="Q31" s="178">
        <f>$C$30*Q14</f>
        <v>301294.20640176005</v>
      </c>
      <c r="R31" s="80">
        <f>IFERROR(Q31/Q$28,0)</f>
        <v>0.25314935937029948</v>
      </c>
      <c r="S31" s="178">
        <f>$C$30*S14</f>
        <v>310333.03259381291</v>
      </c>
      <c r="T31" s="80">
        <f>IFERROR(S31/S$28,0)</f>
        <v>0.25314935937029953</v>
      </c>
      <c r="U31" s="178">
        <f>$C$30*U14</f>
        <v>319643.02357162727</v>
      </c>
      <c r="V31" s="80">
        <f>IFERROR(U31/U$28,0)</f>
        <v>0.25314935937029948</v>
      </c>
    </row>
    <row r="32" spans="1:24" ht="12.75" customHeight="1">
      <c r="A32" s="8" t="s">
        <v>381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382</v>
      </c>
      <c r="B33" s="53"/>
      <c r="C33" s="82">
        <f>SUM(C31:C32)</f>
        <v>0</v>
      </c>
      <c r="D33" s="83">
        <f>IFERROR(C33/C$28,0)</f>
        <v>0</v>
      </c>
      <c r="E33" s="82">
        <f>SUM(E31:E32)</f>
        <v>247500</v>
      </c>
      <c r="F33" s="83">
        <f>IFERROR(E33/E$28,0)</f>
        <v>0.25083612040133779</v>
      </c>
      <c r="G33" s="82">
        <f>SUM(G31:G32)</f>
        <v>257400</v>
      </c>
      <c r="H33" s="83">
        <f>IFERROR(G33/G$28,0)</f>
        <v>0.25199866070641863</v>
      </c>
      <c r="I33" s="82">
        <f>SUM(I31:I32)</f>
        <v>267696</v>
      </c>
      <c r="J33" s="83">
        <f>IFERROR(I33/I$28,0)</f>
        <v>0.25314935937029948</v>
      </c>
      <c r="K33" s="82">
        <f>SUM(K31:K32)</f>
        <v>275726.88</v>
      </c>
      <c r="L33" s="83">
        <f>IFERROR(K33/K$28,0)</f>
        <v>0.25314935937029948</v>
      </c>
      <c r="M33" s="82">
        <f>SUM(M31:M32)</f>
        <v>283998.68640000006</v>
      </c>
      <c r="N33" s="83">
        <f>IFERROR(M33/M$28,0)</f>
        <v>0.25314935937029953</v>
      </c>
      <c r="O33" s="82">
        <f>SUM(O31:O32)</f>
        <v>292518.64699200005</v>
      </c>
      <c r="P33" s="83">
        <f>IFERROR(O33/O$28,0)</f>
        <v>0.25314935937029948</v>
      </c>
      <c r="Q33" s="82">
        <f>SUM(Q31:Q32)</f>
        <v>301294.20640176005</v>
      </c>
      <c r="R33" s="83">
        <f>IFERROR(Q33/Q$28,0)</f>
        <v>0.25314935937029948</v>
      </c>
      <c r="S33" s="82">
        <f>SUM(S31:S32)</f>
        <v>310333.03259381291</v>
      </c>
      <c r="T33" s="83">
        <f>IFERROR(S33/S$28,0)</f>
        <v>0.25314935937029953</v>
      </c>
      <c r="U33" s="82">
        <f>SUM(U31:U32)</f>
        <v>319643.02357162727</v>
      </c>
      <c r="V33" s="83">
        <f>IFERROR(U33/U$28,0)</f>
        <v>0.25314935937029948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383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384</v>
      </c>
      <c r="B36" s="35"/>
      <c r="C36" s="178"/>
      <c r="D36" s="80">
        <f t="shared" ref="D36:D46" si="13">IFERROR(C36/C$28,0)</f>
        <v>0</v>
      </c>
      <c r="E36" s="178">
        <v>72000</v>
      </c>
      <c r="F36" s="80">
        <f t="shared" ref="F36:F46" si="14">IFERROR(E36/E$28,0)</f>
        <v>7.2970507753116448E-2</v>
      </c>
      <c r="G36" s="178">
        <f>+E36*1.02</f>
        <v>73440</v>
      </c>
      <c r="H36" s="80">
        <f t="shared" ref="H36:H46" si="15">IFERROR(G36/G$28,0)</f>
        <v>7.1898918579173979E-2</v>
      </c>
      <c r="I36" s="178">
        <f>+G36*1.02</f>
        <v>74908.800000000003</v>
      </c>
      <c r="J36" s="80">
        <f t="shared" ref="J36:J46" si="16">IFERROR(I36/I$28,0)</f>
        <v>7.0838244617767512E-2</v>
      </c>
      <c r="K36" s="178">
        <f>+I36*1.02</f>
        <v>76406.97600000001</v>
      </c>
      <c r="L36" s="80">
        <f t="shared" ref="L36:L46" si="17">IFERROR(K36/K$28,0)</f>
        <v>7.0150494670022198E-2</v>
      </c>
      <c r="M36" s="178">
        <f>+K36*1.02</f>
        <v>77935.115520000007</v>
      </c>
      <c r="N36" s="80">
        <f t="shared" ref="N36:N46" si="18">IFERROR(M36/M$28,0)</f>
        <v>6.9469421906235562E-2</v>
      </c>
      <c r="O36" s="178">
        <f>+M36*1.02</f>
        <v>79493.817830400003</v>
      </c>
      <c r="P36" s="80">
        <f t="shared" ref="P36:P46" si="19">IFERROR(O36/O$28,0)</f>
        <v>6.8794961499378901E-2</v>
      </c>
      <c r="Q36" s="178">
        <f>+O36*1.02</f>
        <v>81083.694187008005</v>
      </c>
      <c r="R36" s="80">
        <f t="shared" ref="R36:R46" si="20">IFERROR(Q36/Q$28,0)</f>
        <v>6.8127049251812108E-2</v>
      </c>
      <c r="S36" s="178">
        <f>+Q36*1.02</f>
        <v>82705.368070748169</v>
      </c>
      <c r="T36" s="80">
        <f t="shared" ref="T36:T46" si="21">IFERROR(S36/S$28,0)</f>
        <v>6.7465621589173158E-2</v>
      </c>
      <c r="U36" s="178">
        <f>+S36*1.02</f>
        <v>84359.475432163134</v>
      </c>
      <c r="V36" s="80">
        <f t="shared" ref="V36:V46" si="22">IFERROR(U36/U$28,0)</f>
        <v>6.681061555432681E-2</v>
      </c>
    </row>
    <row r="37" spans="1:22" ht="12.75" customHeight="1">
      <c r="A37" s="2" t="s">
        <v>385</v>
      </c>
      <c r="B37" s="35"/>
      <c r="C37" s="178"/>
      <c r="D37" s="80">
        <f t="shared" si="13"/>
        <v>0</v>
      </c>
      <c r="E37" s="178">
        <v>154000</v>
      </c>
      <c r="F37" s="80">
        <f t="shared" si="14"/>
        <v>0.15607580824972128</v>
      </c>
      <c r="G37" s="178">
        <f>+E37*1.035</f>
        <v>159390</v>
      </c>
      <c r="H37" s="80">
        <f t="shared" si="15"/>
        <v>0.15604532451435923</v>
      </c>
      <c r="I37" s="178">
        <f>+G37*1.032</f>
        <v>164490.48000000001</v>
      </c>
      <c r="J37" s="80">
        <f t="shared" si="16"/>
        <v>0.15555204274443049</v>
      </c>
      <c r="K37" s="178">
        <f>+I37*1.02</f>
        <v>167780.28960000002</v>
      </c>
      <c r="L37" s="80">
        <f t="shared" si="17"/>
        <v>0.15404182873720298</v>
      </c>
      <c r="M37" s="178">
        <f>+K37*1.025</f>
        <v>171974.79684</v>
      </c>
      <c r="N37" s="80">
        <f t="shared" si="18"/>
        <v>0.15329405286954664</v>
      </c>
      <c r="O37" s="178">
        <f>+M37*1.025</f>
        <v>176274.16676099997</v>
      </c>
      <c r="P37" s="80">
        <f t="shared" si="19"/>
        <v>0.15254990698183035</v>
      </c>
      <c r="Q37" s="178">
        <f>+O37*1.02</f>
        <v>179799.65009621996</v>
      </c>
      <c r="R37" s="80">
        <f t="shared" si="20"/>
        <v>0.15106883992375433</v>
      </c>
      <c r="S37" s="178">
        <f>+Q37*1.02</f>
        <v>183395.64309814436</v>
      </c>
      <c r="T37" s="80">
        <f t="shared" si="21"/>
        <v>0.14960215215750428</v>
      </c>
      <c r="U37" s="178">
        <f>+S37*1.025</f>
        <v>187980.53417559795</v>
      </c>
      <c r="V37" s="80">
        <f t="shared" si="22"/>
        <v>0.14887592811790473</v>
      </c>
    </row>
    <row r="38" spans="1:22" ht="12.75" customHeight="1">
      <c r="A38" s="2" t="s">
        <v>386</v>
      </c>
      <c r="B38" s="35"/>
      <c r="C38" s="178"/>
      <c r="D38" s="80">
        <f t="shared" si="13"/>
        <v>0</v>
      </c>
      <c r="E38" s="178">
        <v>46000</v>
      </c>
      <c r="F38" s="80">
        <f t="shared" si="14"/>
        <v>4.6620046620046623E-2</v>
      </c>
      <c r="G38" s="178">
        <f>+E38*1.035</f>
        <v>47609.999999999993</v>
      </c>
      <c r="H38" s="80">
        <f t="shared" si="15"/>
        <v>4.6610941088704699E-2</v>
      </c>
      <c r="I38" s="178">
        <f>+G38*1.032</f>
        <v>49133.52</v>
      </c>
      <c r="J38" s="80">
        <f t="shared" si="16"/>
        <v>4.646359718340131E-2</v>
      </c>
      <c r="K38" s="178">
        <f>+I38*1.02</f>
        <v>50116.190399999999</v>
      </c>
      <c r="L38" s="80">
        <f t="shared" si="17"/>
        <v>4.6012494298125567E-2</v>
      </c>
      <c r="M38" s="178">
        <f>+K38*1.025</f>
        <v>51369.095159999997</v>
      </c>
      <c r="N38" s="80">
        <f t="shared" si="18"/>
        <v>4.5789132675319123E-2</v>
      </c>
      <c r="O38" s="178">
        <f>+M38*1.025</f>
        <v>52653.322538999993</v>
      </c>
      <c r="P38" s="80">
        <f t="shared" si="19"/>
        <v>4.5566855332235048E-2</v>
      </c>
      <c r="Q38" s="178">
        <f>+O38*1.02</f>
        <v>53706.388989779996</v>
      </c>
      <c r="R38" s="80">
        <f t="shared" si="20"/>
        <v>4.5124458678524021E-2</v>
      </c>
      <c r="S38" s="178">
        <f>+Q38*1.02</f>
        <v>54780.516769575595</v>
      </c>
      <c r="T38" s="80">
        <f t="shared" si="21"/>
        <v>4.468635713795583E-2</v>
      </c>
      <c r="U38" s="178">
        <f>+S38*1.025</f>
        <v>56150.029688814982</v>
      </c>
      <c r="V38" s="80">
        <f t="shared" si="22"/>
        <v>4.4469433074179339E-2</v>
      </c>
    </row>
    <row r="39" spans="1:22" ht="12.75" customHeight="1">
      <c r="A39" s="2" t="s">
        <v>387</v>
      </c>
      <c r="B39" s="35"/>
      <c r="C39" s="178"/>
      <c r="D39" s="80">
        <f t="shared" si="13"/>
        <v>0</v>
      </c>
      <c r="E39" s="178">
        <v>20000</v>
      </c>
      <c r="F39" s="80">
        <f t="shared" si="14"/>
        <v>2.0269585486976792E-2</v>
      </c>
      <c r="G39" s="178">
        <f>+E39*1.035</f>
        <v>20700</v>
      </c>
      <c r="H39" s="80">
        <f t="shared" si="15"/>
        <v>2.0265626560306393E-2</v>
      </c>
      <c r="I39" s="178">
        <f>+G39*1.032</f>
        <v>21362.400000000001</v>
      </c>
      <c r="J39" s="80">
        <f t="shared" si="16"/>
        <v>2.0201563992783181E-2</v>
      </c>
      <c r="K39" s="178">
        <f>+I39*1.02</f>
        <v>21789.648000000001</v>
      </c>
      <c r="L39" s="80">
        <f t="shared" si="17"/>
        <v>2.0005432303532855E-2</v>
      </c>
      <c r="M39" s="178">
        <f>+K39*1.025</f>
        <v>22334.389199999998</v>
      </c>
      <c r="N39" s="80">
        <f t="shared" si="18"/>
        <v>1.9908318554486576E-2</v>
      </c>
      <c r="O39" s="178">
        <f>+M39*1.025</f>
        <v>22892.748929999994</v>
      </c>
      <c r="P39" s="80">
        <f t="shared" si="19"/>
        <v>1.981167623140654E-2</v>
      </c>
      <c r="Q39" s="178">
        <f>+O39*1.02</f>
        <v>23350.603908599995</v>
      </c>
      <c r="R39" s="80">
        <f t="shared" si="20"/>
        <v>1.9619329860227835E-2</v>
      </c>
      <c r="S39" s="178">
        <f>+Q39*1.025</f>
        <v>23934.369006314992</v>
      </c>
      <c r="T39" s="80">
        <f t="shared" si="21"/>
        <v>1.9524090394886919E-2</v>
      </c>
      <c r="U39" s="178">
        <f>+S39*1.025</f>
        <v>24532.728231472865</v>
      </c>
      <c r="V39" s="80">
        <f t="shared" si="22"/>
        <v>1.9429313257047661E-2</v>
      </c>
    </row>
    <row r="40" spans="1:22" ht="12.75" customHeight="1">
      <c r="A40" s="2" t="s">
        <v>388</v>
      </c>
      <c r="B40" s="35"/>
      <c r="C40" s="178">
        <f>C36*0.124</f>
        <v>0</v>
      </c>
      <c r="D40" s="80">
        <f t="shared" si="13"/>
        <v>0</v>
      </c>
      <c r="E40" s="178">
        <f>E36*0.124</f>
        <v>8928</v>
      </c>
      <c r="F40" s="80">
        <f t="shared" si="14"/>
        <v>9.0483429613864401E-3</v>
      </c>
      <c r="G40" s="178">
        <f>G36*0.124</f>
        <v>9106.56</v>
      </c>
      <c r="H40" s="80">
        <f t="shared" si="15"/>
        <v>8.9154659038175738E-3</v>
      </c>
      <c r="I40" s="178">
        <f>I36*0.124</f>
        <v>9288.6912000000011</v>
      </c>
      <c r="J40" s="80">
        <f t="shared" si="16"/>
        <v>8.7839423326031719E-3</v>
      </c>
      <c r="K40" s="178">
        <f>K36*0.124</f>
        <v>9474.465024000001</v>
      </c>
      <c r="L40" s="80">
        <f t="shared" si="17"/>
        <v>8.6986613390827514E-3</v>
      </c>
      <c r="M40" s="178">
        <f>M36*0.124</f>
        <v>9663.9543244800007</v>
      </c>
      <c r="N40" s="80">
        <f t="shared" si="18"/>
        <v>8.6142083163732105E-3</v>
      </c>
      <c r="O40" s="178">
        <f>O36*0.124</f>
        <v>9857.2334109696003</v>
      </c>
      <c r="P40" s="80">
        <f t="shared" si="19"/>
        <v>8.5305752259229838E-3</v>
      </c>
      <c r="Q40" s="178">
        <f>Q36*0.124</f>
        <v>10054.378079188993</v>
      </c>
      <c r="R40" s="80">
        <f t="shared" si="20"/>
        <v>8.4477541072247014E-3</v>
      </c>
      <c r="S40" s="178">
        <f>S36*0.124</f>
        <v>10255.465640772773</v>
      </c>
      <c r="T40" s="80">
        <f t="shared" si="21"/>
        <v>8.3657370770574713E-3</v>
      </c>
      <c r="U40" s="178">
        <f>U36*0.124</f>
        <v>10460.574953588228</v>
      </c>
      <c r="V40" s="80">
        <f t="shared" si="22"/>
        <v>8.2845163287365246E-3</v>
      </c>
    </row>
    <row r="41" spans="1:22" ht="12.75" customHeight="1">
      <c r="A41" s="2" t="s">
        <v>389</v>
      </c>
      <c r="B41" s="35"/>
      <c r="C41" s="178">
        <f>C37*0.124</f>
        <v>0</v>
      </c>
      <c r="D41" s="80">
        <f t="shared" si="13"/>
        <v>0</v>
      </c>
      <c r="E41" s="178">
        <f>E37*0.124</f>
        <v>19096</v>
      </c>
      <c r="F41" s="80">
        <f t="shared" si="14"/>
        <v>1.9353400222965441E-2</v>
      </c>
      <c r="G41" s="178">
        <f>G37*0.124</f>
        <v>19764.36</v>
      </c>
      <c r="H41" s="80">
        <f t="shared" si="15"/>
        <v>1.9349620239780544E-2</v>
      </c>
      <c r="I41" s="178">
        <f>I37*0.124</f>
        <v>20396.819520000001</v>
      </c>
      <c r="J41" s="80">
        <f t="shared" si="16"/>
        <v>1.9288453300309382E-2</v>
      </c>
      <c r="K41" s="178">
        <f>K37*0.124</f>
        <v>20804.755910400003</v>
      </c>
      <c r="L41" s="80">
        <f t="shared" si="17"/>
        <v>1.9101186763413172E-2</v>
      </c>
      <c r="M41" s="178">
        <f>M37*0.124</f>
        <v>21324.874808159999</v>
      </c>
      <c r="N41" s="80">
        <f t="shared" si="18"/>
        <v>1.9008462555823783E-2</v>
      </c>
      <c r="O41" s="178">
        <f>O37*0.124</f>
        <v>21857.996678363997</v>
      </c>
      <c r="P41" s="80">
        <f t="shared" si="19"/>
        <v>1.8916188465746966E-2</v>
      </c>
      <c r="Q41" s="178">
        <f>Q37*0.124</f>
        <v>22295.156611931274</v>
      </c>
      <c r="R41" s="80">
        <f t="shared" si="20"/>
        <v>1.8732536150545535E-2</v>
      </c>
      <c r="S41" s="178">
        <f>S37*0.124</f>
        <v>22741.059744169899</v>
      </c>
      <c r="T41" s="80">
        <f t="shared" si="21"/>
        <v>1.855066686753053E-2</v>
      </c>
      <c r="U41" s="178">
        <f>U37*0.124</f>
        <v>23309.586237774147</v>
      </c>
      <c r="V41" s="80">
        <f t="shared" si="22"/>
        <v>1.8460615086620186E-2</v>
      </c>
    </row>
    <row r="42" spans="1:22" ht="12.75" customHeight="1">
      <c r="A42" s="2" t="s">
        <v>390</v>
      </c>
      <c r="B42" s="35"/>
      <c r="C42" s="178"/>
      <c r="D42" s="80">
        <f t="shared" si="13"/>
        <v>0</v>
      </c>
      <c r="E42" s="178"/>
      <c r="F42" s="80">
        <f t="shared" si="14"/>
        <v>0</v>
      </c>
      <c r="G42" s="178"/>
      <c r="H42" s="80">
        <f t="shared" si="15"/>
        <v>0</v>
      </c>
      <c r="I42" s="178"/>
      <c r="J42" s="80">
        <f t="shared" si="16"/>
        <v>0</v>
      </c>
      <c r="K42" s="178"/>
      <c r="L42" s="80">
        <f t="shared" si="17"/>
        <v>0</v>
      </c>
      <c r="M42" s="178"/>
      <c r="N42" s="80">
        <f t="shared" si="18"/>
        <v>0</v>
      </c>
      <c r="O42" s="178"/>
      <c r="P42" s="80">
        <f t="shared" si="19"/>
        <v>0</v>
      </c>
      <c r="Q42" s="178"/>
      <c r="R42" s="80">
        <f t="shared" si="20"/>
        <v>0</v>
      </c>
      <c r="S42" s="178"/>
      <c r="T42" s="80">
        <f t="shared" si="21"/>
        <v>0</v>
      </c>
      <c r="U42" s="178"/>
      <c r="V42" s="80">
        <f t="shared" si="22"/>
        <v>0</v>
      </c>
    </row>
    <row r="43" spans="1:22" ht="12.75" customHeight="1">
      <c r="A43" s="2" t="s">
        <v>391</v>
      </c>
      <c r="B43" s="35"/>
      <c r="C43" s="178"/>
      <c r="D43" s="80">
        <f t="shared" si="13"/>
        <v>0</v>
      </c>
      <c r="E43" s="178"/>
      <c r="F43" s="80">
        <f t="shared" si="14"/>
        <v>0</v>
      </c>
      <c r="G43" s="178"/>
      <c r="H43" s="80">
        <f t="shared" si="15"/>
        <v>0</v>
      </c>
      <c r="I43" s="178"/>
      <c r="J43" s="80">
        <f t="shared" si="16"/>
        <v>0</v>
      </c>
      <c r="K43" s="178"/>
      <c r="L43" s="80">
        <f t="shared" si="17"/>
        <v>0</v>
      </c>
      <c r="M43" s="178"/>
      <c r="N43" s="80">
        <f t="shared" si="18"/>
        <v>0</v>
      </c>
      <c r="O43" s="178"/>
      <c r="P43" s="80">
        <f t="shared" si="19"/>
        <v>0</v>
      </c>
      <c r="Q43" s="178"/>
      <c r="R43" s="80">
        <f t="shared" si="20"/>
        <v>0</v>
      </c>
      <c r="S43" s="178"/>
      <c r="T43" s="80">
        <f t="shared" si="21"/>
        <v>0</v>
      </c>
      <c r="U43" s="178"/>
      <c r="V43" s="80">
        <f t="shared" si="22"/>
        <v>0</v>
      </c>
    </row>
    <row r="44" spans="1:22" ht="12.75" customHeight="1">
      <c r="A44" s="2" t="s">
        <v>392</v>
      </c>
      <c r="B44" s="35"/>
      <c r="C44" s="178"/>
      <c r="D44" s="80">
        <f t="shared" si="13"/>
        <v>0</v>
      </c>
      <c r="E44" s="178"/>
      <c r="F44" s="80">
        <f t="shared" si="14"/>
        <v>0</v>
      </c>
      <c r="G44" s="178"/>
      <c r="H44" s="80">
        <f t="shared" si="15"/>
        <v>0</v>
      </c>
      <c r="I44" s="178"/>
      <c r="J44" s="80">
        <f t="shared" si="16"/>
        <v>0</v>
      </c>
      <c r="K44" s="178"/>
      <c r="L44" s="80">
        <f t="shared" si="17"/>
        <v>0</v>
      </c>
      <c r="M44" s="178"/>
      <c r="N44" s="80">
        <f t="shared" si="18"/>
        <v>0</v>
      </c>
      <c r="O44" s="178"/>
      <c r="P44" s="80">
        <f t="shared" si="19"/>
        <v>0</v>
      </c>
      <c r="Q44" s="178"/>
      <c r="R44" s="80">
        <f t="shared" si="20"/>
        <v>0</v>
      </c>
      <c r="S44" s="178"/>
      <c r="T44" s="80">
        <f t="shared" si="21"/>
        <v>0</v>
      </c>
      <c r="U44" s="178"/>
      <c r="V44" s="80">
        <f t="shared" si="22"/>
        <v>0</v>
      </c>
    </row>
    <row r="45" spans="1:22" ht="12.75" customHeight="1">
      <c r="A45" s="2" t="s">
        <v>393</v>
      </c>
      <c r="B45" s="35"/>
      <c r="C45" s="181">
        <f>SUM(C36:C39)*0.094</f>
        <v>0</v>
      </c>
      <c r="D45" s="80">
        <f t="shared" si="13"/>
        <v>0</v>
      </c>
      <c r="E45" s="181">
        <f>SUM(E36:E39)*0.094</f>
        <v>27448</v>
      </c>
      <c r="F45" s="80">
        <f t="shared" si="14"/>
        <v>2.7817979122326947E-2</v>
      </c>
      <c r="G45" s="181">
        <f>SUM(G36:G39)*0.094</f>
        <v>28307.16</v>
      </c>
      <c r="H45" s="80">
        <f t="shared" si="15"/>
        <v>2.7713156209799163E-2</v>
      </c>
      <c r="I45" s="181">
        <f>SUM(I36:I39)*0.094</f>
        <v>29130.148800000006</v>
      </c>
      <c r="J45" s="80">
        <f t="shared" si="16"/>
        <v>2.754721216260796E-2</v>
      </c>
      <c r="K45" s="181">
        <f>SUM(K36:K39)*0.094</f>
        <v>29712.751776000005</v>
      </c>
      <c r="L45" s="80">
        <f t="shared" si="17"/>
        <v>2.7279763500835059E-2</v>
      </c>
      <c r="M45" s="181">
        <f>SUM(M36:M39)*0.094</f>
        <v>30419.659291679996</v>
      </c>
      <c r="N45" s="80">
        <f t="shared" si="18"/>
        <v>2.711532704452526E-2</v>
      </c>
      <c r="O45" s="181">
        <f>SUM(O36:O39)*0.094</f>
        <v>31143.521269677596</v>
      </c>
      <c r="P45" s="80">
        <f t="shared" si="19"/>
        <v>2.695199960421598E-2</v>
      </c>
      <c r="Q45" s="181">
        <f>SUM(Q36:Q39)*0.094</f>
        <v>31766.39169507115</v>
      </c>
      <c r="R45" s="80">
        <f t="shared" si="20"/>
        <v>2.669032970514592E-2</v>
      </c>
      <c r="S45" s="181">
        <f>SUM(S36:S39)*0.094</f>
        <v>32412.694312809614</v>
      </c>
      <c r="T45" s="80">
        <f t="shared" si="21"/>
        <v>2.64401528002749E-2</v>
      </c>
      <c r="U45" s="181">
        <f>SUM(U36:U39)*0.094</f>
        <v>33184.140147636601</v>
      </c>
      <c r="V45" s="80">
        <f t="shared" si="22"/>
        <v>2.6281017260325105E-2</v>
      </c>
    </row>
    <row r="46" spans="1:22" ht="12.75" customHeight="1">
      <c r="A46" s="1" t="s">
        <v>394</v>
      </c>
      <c r="B46" s="53"/>
      <c r="C46" s="82">
        <f>SUM(C36:C45)</f>
        <v>0</v>
      </c>
      <c r="D46" s="83">
        <f t="shared" si="13"/>
        <v>0</v>
      </c>
      <c r="E46" s="82">
        <f>SUM(E36:E45)</f>
        <v>347472</v>
      </c>
      <c r="F46" s="83">
        <f t="shared" si="14"/>
        <v>0.35215567041654</v>
      </c>
      <c r="G46" s="82">
        <f>SUM(G36:G45)</f>
        <v>358318.07999999996</v>
      </c>
      <c r="H46" s="83">
        <f t="shared" si="15"/>
        <v>0.35079905309594156</v>
      </c>
      <c r="I46" s="82">
        <f>SUM(I36:I45)</f>
        <v>368710.85952000011</v>
      </c>
      <c r="J46" s="83">
        <f t="shared" si="16"/>
        <v>0.34867505633390311</v>
      </c>
      <c r="K46" s="82">
        <f>SUM(K36:K45)</f>
        <v>376085.07671040006</v>
      </c>
      <c r="L46" s="83">
        <f t="shared" si="17"/>
        <v>0.34528986161221459</v>
      </c>
      <c r="M46" s="82">
        <f>SUM(M36:M45)</f>
        <v>385021.88514431997</v>
      </c>
      <c r="N46" s="83">
        <f t="shared" si="18"/>
        <v>0.34319892392231016</v>
      </c>
      <c r="O46" s="82">
        <f>SUM(O36:O45)</f>
        <v>394172.8074194112</v>
      </c>
      <c r="P46" s="83">
        <f t="shared" si="19"/>
        <v>0.34112216334073681</v>
      </c>
      <c r="Q46" s="82">
        <f>SUM(Q36:Q45)</f>
        <v>402056.26356779935</v>
      </c>
      <c r="R46" s="83">
        <f t="shared" si="20"/>
        <v>0.33781029767723442</v>
      </c>
      <c r="S46" s="82">
        <f>SUM(S36:S45)</f>
        <v>410225.11664253537</v>
      </c>
      <c r="T46" s="83">
        <f t="shared" si="21"/>
        <v>0.33463477802438307</v>
      </c>
      <c r="U46" s="82">
        <f>SUM(U36:U45)</f>
        <v>419977.06886704796</v>
      </c>
      <c r="V46" s="83">
        <f t="shared" si="22"/>
        <v>0.33261143867914039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366</v>
      </c>
      <c r="E50" s="86" t="str">
        <f>E6</f>
        <v>FY 2019-20</v>
      </c>
      <c r="F50" s="86" t="s">
        <v>366</v>
      </c>
      <c r="G50" s="86" t="str">
        <f>G6</f>
        <v>FY 2020-21</v>
      </c>
      <c r="H50" s="86" t="s">
        <v>366</v>
      </c>
      <c r="I50" s="86" t="str">
        <f>I6</f>
        <v>FY 2021-22</v>
      </c>
      <c r="J50" s="86" t="s">
        <v>366</v>
      </c>
      <c r="K50" s="86" t="str">
        <f>K6</f>
        <v>FY 2022-23</v>
      </c>
      <c r="L50" s="86" t="s">
        <v>366</v>
      </c>
      <c r="M50" s="86" t="str">
        <f>M6</f>
        <v>FY 2023-24</v>
      </c>
      <c r="N50" s="86" t="s">
        <v>366</v>
      </c>
      <c r="O50" s="86" t="str">
        <f>O6</f>
        <v>FY 2024-25</v>
      </c>
      <c r="P50" s="86" t="s">
        <v>366</v>
      </c>
      <c r="Q50" s="86" t="str">
        <f>Q6</f>
        <v>FY 2025-26</v>
      </c>
      <c r="R50" s="86" t="s">
        <v>366</v>
      </c>
      <c r="S50" s="86" t="str">
        <f>S6</f>
        <v>FY 2026-27</v>
      </c>
      <c r="T50" s="86" t="s">
        <v>366</v>
      </c>
      <c r="U50" s="86" t="str">
        <f>U6</f>
        <v>FY 2027-28</v>
      </c>
      <c r="V50" s="86" t="s">
        <v>366</v>
      </c>
    </row>
    <row r="51" spans="1:24" ht="12.75" customHeight="1">
      <c r="A51" s="1" t="s">
        <v>395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396</v>
      </c>
      <c r="B52" s="35"/>
      <c r="C52" s="178">
        <v>0</v>
      </c>
      <c r="D52" s="80">
        <f t="shared" ref="D52:D104" si="23">IFERROR(C52/C$28,0)</f>
        <v>0</v>
      </c>
      <c r="E52" s="178">
        <v>0</v>
      </c>
      <c r="F52" s="80">
        <f t="shared" ref="F52:F104" si="24">IFERROR(E52/E$28,0)</f>
        <v>0</v>
      </c>
      <c r="G52" s="178">
        <v>0</v>
      </c>
      <c r="H52" s="80">
        <f t="shared" ref="H52:H104" si="25">IFERROR(G52/G$28,0)</f>
        <v>0</v>
      </c>
      <c r="I52" s="178">
        <v>0</v>
      </c>
      <c r="J52" s="80">
        <f t="shared" ref="J52:J104" si="26">IFERROR(I52/I$28,0)</f>
        <v>0</v>
      </c>
      <c r="K52" s="178">
        <v>0</v>
      </c>
      <c r="L52" s="80">
        <f t="shared" ref="L52:L104" si="27">IFERROR(K52/K$28,0)</f>
        <v>0</v>
      </c>
      <c r="M52" s="178">
        <v>0</v>
      </c>
      <c r="N52" s="80">
        <f t="shared" ref="N52:N104" si="28">IFERROR(M52/M$28,0)</f>
        <v>0</v>
      </c>
      <c r="O52" s="178">
        <v>0</v>
      </c>
      <c r="P52" s="80">
        <f t="shared" ref="P52:P104" si="29">IFERROR(O52/O$28,0)</f>
        <v>0</v>
      </c>
      <c r="Q52" s="178">
        <v>0</v>
      </c>
      <c r="R52" s="80">
        <f t="shared" ref="R52:R104" si="30">IFERROR(Q52/Q$28,0)</f>
        <v>0</v>
      </c>
      <c r="S52" s="178">
        <v>0</v>
      </c>
      <c r="T52" s="80">
        <f t="shared" ref="T52:T104" si="31">IFERROR(S52/S$28,0)</f>
        <v>0</v>
      </c>
      <c r="U52" s="178">
        <v>0</v>
      </c>
      <c r="V52" s="80">
        <f t="shared" ref="V52:V105" si="32">IFERROR(U52/U$28,0)</f>
        <v>0</v>
      </c>
      <c r="X52" s="192"/>
    </row>
    <row r="53" spans="1:24" ht="12.75" customHeight="1">
      <c r="A53" s="2" t="s">
        <v>397</v>
      </c>
      <c r="B53" s="35"/>
      <c r="C53" s="178">
        <v>0</v>
      </c>
      <c r="D53" s="80">
        <f t="shared" si="23"/>
        <v>0</v>
      </c>
      <c r="E53" s="178">
        <v>0</v>
      </c>
      <c r="F53" s="80">
        <f t="shared" si="24"/>
        <v>0</v>
      </c>
      <c r="G53" s="178">
        <v>0</v>
      </c>
      <c r="H53" s="80">
        <f t="shared" si="25"/>
        <v>0</v>
      </c>
      <c r="I53" s="178">
        <v>0</v>
      </c>
      <c r="J53" s="80">
        <f t="shared" si="26"/>
        <v>0</v>
      </c>
      <c r="K53" s="178">
        <v>0</v>
      </c>
      <c r="L53" s="80">
        <f t="shared" si="27"/>
        <v>0</v>
      </c>
      <c r="M53" s="178">
        <v>0</v>
      </c>
      <c r="N53" s="80">
        <f t="shared" si="28"/>
        <v>0</v>
      </c>
      <c r="O53" s="178">
        <v>0</v>
      </c>
      <c r="P53" s="80">
        <f t="shared" si="29"/>
        <v>0</v>
      </c>
      <c r="Q53" s="178">
        <v>0</v>
      </c>
      <c r="R53" s="80">
        <f t="shared" si="30"/>
        <v>0</v>
      </c>
      <c r="S53" s="178">
        <v>0</v>
      </c>
      <c r="T53" s="80">
        <f t="shared" si="31"/>
        <v>0</v>
      </c>
      <c r="U53" s="178">
        <v>0</v>
      </c>
      <c r="V53" s="80">
        <f t="shared" si="32"/>
        <v>0</v>
      </c>
      <c r="X53" s="192"/>
    </row>
    <row r="54" spans="1:24" ht="12.75" customHeight="1">
      <c r="A54" s="2" t="s">
        <v>398</v>
      </c>
      <c r="B54" s="35"/>
      <c r="C54" s="178">
        <v>0</v>
      </c>
      <c r="D54" s="80">
        <f t="shared" si="23"/>
        <v>0</v>
      </c>
      <c r="E54" s="178">
        <v>690.69</v>
      </c>
      <c r="F54" s="80">
        <f t="shared" si="24"/>
        <v>7.000000000000001E-4</v>
      </c>
      <c r="G54" s="178">
        <v>715.00379999999996</v>
      </c>
      <c r="H54" s="80">
        <f t="shared" si="25"/>
        <v>6.9999999999999999E-4</v>
      </c>
      <c r="I54" s="178">
        <v>740.22387600000002</v>
      </c>
      <c r="J54" s="80">
        <f t="shared" si="26"/>
        <v>7.000000000000001E-4</v>
      </c>
      <c r="K54" s="178">
        <v>762.43059228000004</v>
      </c>
      <c r="L54" s="80">
        <f t="shared" si="27"/>
        <v>6.9999999999999999E-4</v>
      </c>
      <c r="M54" s="178">
        <v>785.30351004840008</v>
      </c>
      <c r="N54" s="80">
        <f t="shared" si="28"/>
        <v>6.9999999999999999E-4</v>
      </c>
      <c r="O54" s="178">
        <v>808.86261534985215</v>
      </c>
      <c r="P54" s="80">
        <f t="shared" si="29"/>
        <v>6.9999999999999999E-4</v>
      </c>
      <c r="Q54" s="178">
        <v>833.12849381034778</v>
      </c>
      <c r="R54" s="80">
        <f t="shared" si="30"/>
        <v>6.9999999999999999E-4</v>
      </c>
      <c r="S54" s="178">
        <v>858.12234862465812</v>
      </c>
      <c r="T54" s="80">
        <f t="shared" si="31"/>
        <v>6.9999999999999999E-4</v>
      </c>
      <c r="U54" s="178">
        <v>883.86601908339799</v>
      </c>
      <c r="V54" s="80">
        <f t="shared" si="32"/>
        <v>6.9999999999999999E-4</v>
      </c>
      <c r="X54" s="192"/>
    </row>
    <row r="55" spans="1:24" ht="12.75" customHeight="1">
      <c r="A55" s="2" t="s">
        <v>399</v>
      </c>
      <c r="B55" s="35"/>
      <c r="C55" s="178">
        <v>0</v>
      </c>
      <c r="D55" s="80">
        <f t="shared" si="23"/>
        <v>0</v>
      </c>
      <c r="E55" s="178"/>
      <c r="F55" s="80">
        <f t="shared" si="24"/>
        <v>0</v>
      </c>
      <c r="G55" s="178"/>
      <c r="H55" s="80">
        <f t="shared" si="25"/>
        <v>0</v>
      </c>
      <c r="I55" s="178"/>
      <c r="J55" s="80">
        <f t="shared" si="26"/>
        <v>0</v>
      </c>
      <c r="K55" s="178"/>
      <c r="L55" s="80">
        <f t="shared" si="27"/>
        <v>0</v>
      </c>
      <c r="M55" s="178"/>
      <c r="N55" s="80">
        <f t="shared" si="28"/>
        <v>0</v>
      </c>
      <c r="O55" s="178"/>
      <c r="P55" s="80">
        <f t="shared" si="29"/>
        <v>0</v>
      </c>
      <c r="Q55" s="178"/>
      <c r="R55" s="80">
        <f t="shared" si="30"/>
        <v>0</v>
      </c>
      <c r="S55" s="178"/>
      <c r="T55" s="80">
        <f t="shared" si="31"/>
        <v>0</v>
      </c>
      <c r="U55" s="178"/>
      <c r="V55" s="80">
        <f t="shared" si="32"/>
        <v>0</v>
      </c>
      <c r="X55" s="192"/>
    </row>
    <row r="56" spans="1:24" ht="12.75" customHeight="1">
      <c r="A56" s="2" t="s">
        <v>400</v>
      </c>
      <c r="B56" s="35"/>
      <c r="C56" s="178">
        <v>0</v>
      </c>
      <c r="D56" s="80">
        <f t="shared" si="23"/>
        <v>0</v>
      </c>
      <c r="E56" s="178">
        <v>503.21700000000004</v>
      </c>
      <c r="F56" s="80">
        <f t="shared" si="24"/>
        <v>5.1000000000000004E-4</v>
      </c>
      <c r="G56" s="178">
        <v>520.93133999999998</v>
      </c>
      <c r="H56" s="80">
        <f t="shared" si="25"/>
        <v>5.0999999999999993E-4</v>
      </c>
      <c r="I56" s="178">
        <v>539.30596680000008</v>
      </c>
      <c r="J56" s="80">
        <f t="shared" si="26"/>
        <v>5.1000000000000015E-4</v>
      </c>
      <c r="K56" s="178">
        <v>555.48514580400001</v>
      </c>
      <c r="L56" s="80">
        <f t="shared" si="27"/>
        <v>5.0999999999999993E-4</v>
      </c>
      <c r="M56" s="178">
        <v>572.14970017812004</v>
      </c>
      <c r="N56" s="80">
        <f t="shared" si="28"/>
        <v>5.1000000000000004E-4</v>
      </c>
      <c r="O56" s="178">
        <v>589.31419118346378</v>
      </c>
      <c r="P56" s="80">
        <f t="shared" si="29"/>
        <v>5.1000000000000004E-4</v>
      </c>
      <c r="Q56" s="178">
        <v>606.99361691896775</v>
      </c>
      <c r="R56" s="80">
        <f t="shared" si="30"/>
        <v>5.1000000000000004E-4</v>
      </c>
      <c r="S56" s="178">
        <v>625.20342542653668</v>
      </c>
      <c r="T56" s="80">
        <f t="shared" si="31"/>
        <v>5.1000000000000004E-4</v>
      </c>
      <c r="U56" s="178">
        <v>643.95952818933279</v>
      </c>
      <c r="V56" s="80">
        <f t="shared" si="32"/>
        <v>5.0999999999999993E-4</v>
      </c>
      <c r="X56" s="192"/>
    </row>
    <row r="57" spans="1:24" ht="12.75" customHeight="1">
      <c r="A57" s="2" t="s">
        <v>401</v>
      </c>
      <c r="B57" s="35"/>
      <c r="C57" s="178">
        <v>0</v>
      </c>
      <c r="D57" s="80">
        <f t="shared" si="23"/>
        <v>0</v>
      </c>
      <c r="E57" s="178">
        <v>0</v>
      </c>
      <c r="F57" s="80">
        <f t="shared" si="24"/>
        <v>0</v>
      </c>
      <c r="G57" s="178">
        <v>0</v>
      </c>
      <c r="H57" s="80">
        <f t="shared" si="25"/>
        <v>0</v>
      </c>
      <c r="I57" s="178">
        <v>0</v>
      </c>
      <c r="J57" s="80">
        <f t="shared" si="26"/>
        <v>0</v>
      </c>
      <c r="K57" s="178">
        <v>0</v>
      </c>
      <c r="L57" s="80">
        <f t="shared" si="27"/>
        <v>0</v>
      </c>
      <c r="M57" s="178">
        <v>0</v>
      </c>
      <c r="N57" s="80">
        <f t="shared" si="28"/>
        <v>0</v>
      </c>
      <c r="O57" s="178">
        <v>0</v>
      </c>
      <c r="P57" s="80">
        <f t="shared" si="29"/>
        <v>0</v>
      </c>
      <c r="Q57" s="178">
        <v>0</v>
      </c>
      <c r="R57" s="80">
        <f t="shared" si="30"/>
        <v>0</v>
      </c>
      <c r="S57" s="178">
        <v>0</v>
      </c>
      <c r="T57" s="80">
        <f t="shared" si="31"/>
        <v>0</v>
      </c>
      <c r="U57" s="178">
        <v>0</v>
      </c>
      <c r="V57" s="80">
        <f t="shared" si="32"/>
        <v>0</v>
      </c>
      <c r="X57" s="192"/>
    </row>
    <row r="58" spans="1:24" ht="12.75" customHeight="1">
      <c r="A58" s="2" t="s">
        <v>402</v>
      </c>
      <c r="B58" s="35"/>
      <c r="C58" s="178">
        <v>0</v>
      </c>
      <c r="D58" s="80">
        <f t="shared" si="23"/>
        <v>0</v>
      </c>
      <c r="E58" s="178">
        <v>0</v>
      </c>
      <c r="F58" s="80">
        <f t="shared" si="24"/>
        <v>0</v>
      </c>
      <c r="G58" s="178">
        <v>0</v>
      </c>
      <c r="H58" s="80">
        <f t="shared" si="25"/>
        <v>0</v>
      </c>
      <c r="I58" s="178">
        <v>0</v>
      </c>
      <c r="J58" s="80">
        <f t="shared" si="26"/>
        <v>0</v>
      </c>
      <c r="K58" s="178">
        <v>0</v>
      </c>
      <c r="L58" s="80">
        <f t="shared" si="27"/>
        <v>0</v>
      </c>
      <c r="M58" s="178">
        <v>0</v>
      </c>
      <c r="N58" s="80">
        <f t="shared" si="28"/>
        <v>0</v>
      </c>
      <c r="O58" s="178">
        <v>0</v>
      </c>
      <c r="P58" s="80">
        <f t="shared" si="29"/>
        <v>0</v>
      </c>
      <c r="Q58" s="178">
        <v>0</v>
      </c>
      <c r="R58" s="80">
        <f t="shared" si="30"/>
        <v>0</v>
      </c>
      <c r="S58" s="178">
        <v>0</v>
      </c>
      <c r="T58" s="80">
        <f t="shared" si="31"/>
        <v>0</v>
      </c>
      <c r="U58" s="178">
        <v>0</v>
      </c>
      <c r="V58" s="80">
        <f t="shared" si="32"/>
        <v>0</v>
      </c>
      <c r="X58" s="192"/>
    </row>
    <row r="59" spans="1:24" ht="12.75" customHeight="1">
      <c r="A59" s="2" t="s">
        <v>403</v>
      </c>
      <c r="B59" s="35"/>
      <c r="C59" s="178"/>
      <c r="D59" s="80">
        <f t="shared" si="23"/>
        <v>0</v>
      </c>
      <c r="E59" s="178"/>
      <c r="F59" s="80">
        <f t="shared" si="24"/>
        <v>0</v>
      </c>
      <c r="G59" s="178"/>
      <c r="H59" s="80">
        <f t="shared" si="25"/>
        <v>0</v>
      </c>
      <c r="I59" s="178"/>
      <c r="J59" s="80">
        <f t="shared" si="26"/>
        <v>0</v>
      </c>
      <c r="K59" s="178"/>
      <c r="L59" s="80">
        <f t="shared" si="27"/>
        <v>0</v>
      </c>
      <c r="M59" s="178"/>
      <c r="N59" s="80">
        <f t="shared" si="28"/>
        <v>0</v>
      </c>
      <c r="O59" s="178"/>
      <c r="P59" s="80">
        <f t="shared" si="29"/>
        <v>0</v>
      </c>
      <c r="Q59" s="178"/>
      <c r="R59" s="80">
        <f t="shared" si="30"/>
        <v>0</v>
      </c>
      <c r="S59" s="178"/>
      <c r="T59" s="80">
        <f t="shared" si="31"/>
        <v>0</v>
      </c>
      <c r="U59" s="178"/>
      <c r="V59" s="80">
        <f t="shared" si="32"/>
        <v>0</v>
      </c>
      <c r="X59" s="192"/>
    </row>
    <row r="60" spans="1:24" ht="12.75" customHeight="1">
      <c r="A60" s="2" t="s">
        <v>404</v>
      </c>
      <c r="B60" s="35"/>
      <c r="C60" s="178">
        <v>0</v>
      </c>
      <c r="D60" s="80">
        <f t="shared" si="23"/>
        <v>0</v>
      </c>
      <c r="E60" s="178">
        <v>0</v>
      </c>
      <c r="F60" s="80">
        <f t="shared" si="24"/>
        <v>0</v>
      </c>
      <c r="G60" s="178">
        <v>0</v>
      </c>
      <c r="H60" s="80">
        <f t="shared" si="25"/>
        <v>0</v>
      </c>
      <c r="I60" s="178">
        <v>0</v>
      </c>
      <c r="J60" s="80">
        <f t="shared" si="26"/>
        <v>0</v>
      </c>
      <c r="K60" s="178">
        <v>0</v>
      </c>
      <c r="L60" s="80">
        <f t="shared" si="27"/>
        <v>0</v>
      </c>
      <c r="M60" s="178">
        <v>0</v>
      </c>
      <c r="N60" s="80">
        <f t="shared" si="28"/>
        <v>0</v>
      </c>
      <c r="O60" s="178">
        <v>0</v>
      </c>
      <c r="P60" s="80">
        <f t="shared" si="29"/>
        <v>0</v>
      </c>
      <c r="Q60" s="178">
        <v>0</v>
      </c>
      <c r="R60" s="80">
        <f t="shared" si="30"/>
        <v>0</v>
      </c>
      <c r="S60" s="178">
        <v>0</v>
      </c>
      <c r="T60" s="80">
        <f t="shared" si="31"/>
        <v>0</v>
      </c>
      <c r="U60" s="178">
        <v>0</v>
      </c>
      <c r="V60" s="80">
        <f t="shared" si="32"/>
        <v>0</v>
      </c>
      <c r="X60" s="192"/>
    </row>
    <row r="61" spans="1:24" ht="12.75" customHeight="1">
      <c r="A61" s="2" t="s">
        <v>405</v>
      </c>
      <c r="B61" s="35"/>
      <c r="C61" s="178">
        <v>0</v>
      </c>
      <c r="D61" s="80">
        <f t="shared" si="23"/>
        <v>0</v>
      </c>
      <c r="E61" s="178">
        <v>0</v>
      </c>
      <c r="F61" s="80">
        <f t="shared" si="24"/>
        <v>0</v>
      </c>
      <c r="G61" s="178">
        <v>0</v>
      </c>
      <c r="H61" s="80">
        <f t="shared" si="25"/>
        <v>0</v>
      </c>
      <c r="I61" s="178">
        <v>0</v>
      </c>
      <c r="J61" s="80">
        <f t="shared" si="26"/>
        <v>0</v>
      </c>
      <c r="K61" s="178">
        <v>0</v>
      </c>
      <c r="L61" s="80">
        <f t="shared" si="27"/>
        <v>0</v>
      </c>
      <c r="M61" s="178">
        <v>0</v>
      </c>
      <c r="N61" s="80">
        <f t="shared" si="28"/>
        <v>0</v>
      </c>
      <c r="O61" s="178">
        <v>0</v>
      </c>
      <c r="P61" s="80">
        <f t="shared" si="29"/>
        <v>0</v>
      </c>
      <c r="Q61" s="178">
        <v>0</v>
      </c>
      <c r="R61" s="80">
        <f t="shared" si="30"/>
        <v>0</v>
      </c>
      <c r="S61" s="178">
        <v>0</v>
      </c>
      <c r="T61" s="80">
        <f t="shared" si="31"/>
        <v>0</v>
      </c>
      <c r="U61" s="178">
        <v>0</v>
      </c>
      <c r="V61" s="80">
        <f t="shared" si="32"/>
        <v>0</v>
      </c>
      <c r="X61" s="192"/>
    </row>
    <row r="62" spans="1:24" ht="12.75" customHeight="1">
      <c r="A62" s="2" t="s">
        <v>406</v>
      </c>
      <c r="B62" s="35"/>
      <c r="C62" s="178">
        <v>0</v>
      </c>
      <c r="D62" s="80">
        <f t="shared" si="23"/>
        <v>0</v>
      </c>
      <c r="E62" s="178">
        <v>0</v>
      </c>
      <c r="F62" s="80">
        <f t="shared" si="24"/>
        <v>0</v>
      </c>
      <c r="G62" s="178">
        <v>0</v>
      </c>
      <c r="H62" s="80">
        <f t="shared" si="25"/>
        <v>0</v>
      </c>
      <c r="I62" s="178">
        <v>0</v>
      </c>
      <c r="J62" s="80">
        <f t="shared" si="26"/>
        <v>0</v>
      </c>
      <c r="K62" s="178">
        <v>0</v>
      </c>
      <c r="L62" s="80">
        <f t="shared" si="27"/>
        <v>0</v>
      </c>
      <c r="M62" s="178">
        <v>0</v>
      </c>
      <c r="N62" s="80">
        <f t="shared" si="28"/>
        <v>0</v>
      </c>
      <c r="O62" s="178">
        <v>0</v>
      </c>
      <c r="P62" s="80">
        <f t="shared" si="29"/>
        <v>0</v>
      </c>
      <c r="Q62" s="178">
        <v>0</v>
      </c>
      <c r="R62" s="80">
        <f t="shared" si="30"/>
        <v>0</v>
      </c>
      <c r="S62" s="178">
        <v>0</v>
      </c>
      <c r="T62" s="80">
        <f t="shared" si="31"/>
        <v>0</v>
      </c>
      <c r="U62" s="178">
        <v>0</v>
      </c>
      <c r="V62" s="80">
        <f t="shared" si="32"/>
        <v>0</v>
      </c>
      <c r="X62" s="192"/>
    </row>
    <row r="63" spans="1:24" ht="12.75" customHeight="1">
      <c r="A63" s="2" t="s">
        <v>407</v>
      </c>
      <c r="B63" s="35"/>
      <c r="C63" s="178">
        <v>0</v>
      </c>
      <c r="D63" s="80">
        <f t="shared" si="23"/>
        <v>0</v>
      </c>
      <c r="E63" s="178">
        <v>12181.098657877572</v>
      </c>
      <c r="F63" s="80">
        <f t="shared" si="24"/>
        <v>1.2345291028557385E-2</v>
      </c>
      <c r="G63" s="178">
        <v>12476.424345860332</v>
      </c>
      <c r="H63" s="80">
        <f t="shared" si="25"/>
        <v>1.2214616260923693E-2</v>
      </c>
      <c r="I63" s="178">
        <v>12949.667506822312</v>
      </c>
      <c r="J63" s="80">
        <f t="shared" si="26"/>
        <v>1.2245980640018722E-2</v>
      </c>
      <c r="K63" s="178">
        <v>13297.049819182188</v>
      </c>
      <c r="L63" s="80">
        <f t="shared" si="27"/>
        <v>1.2208238976341107E-2</v>
      </c>
      <c r="M63" s="178">
        <v>13719.051341446106</v>
      </c>
      <c r="N63" s="80">
        <f t="shared" si="28"/>
        <v>1.2228820852233804E-2</v>
      </c>
      <c r="O63" s="178">
        <v>14159.754685352191</v>
      </c>
      <c r="P63" s="80">
        <f t="shared" si="29"/>
        <v>1.2254031885822086E-2</v>
      </c>
      <c r="Q63" s="178">
        <v>14627.379575693954</v>
      </c>
      <c r="R63" s="80">
        <f t="shared" si="30"/>
        <v>1.2290019821740243E-2</v>
      </c>
      <c r="S63" s="178">
        <v>15109.240710622043</v>
      </c>
      <c r="T63" s="80">
        <f t="shared" si="31"/>
        <v>1.2325128828525088E-2</v>
      </c>
      <c r="U63" s="178">
        <v>15609.889278096189</v>
      </c>
      <c r="V63" s="80">
        <f t="shared" si="32"/>
        <v>1.236264576162681E-2</v>
      </c>
      <c r="X63" s="192"/>
    </row>
    <row r="64" spans="1:24" ht="12.75" customHeight="1">
      <c r="A64" s="2" t="s">
        <v>408</v>
      </c>
      <c r="B64" s="35"/>
      <c r="C64" s="178">
        <v>0</v>
      </c>
      <c r="D64" s="80">
        <f t="shared" si="23"/>
        <v>0</v>
      </c>
      <c r="E64" s="178">
        <v>4736.16</v>
      </c>
      <c r="F64" s="80">
        <f t="shared" si="24"/>
        <v>4.7999999999999996E-3</v>
      </c>
      <c r="G64" s="178">
        <v>4902.8831999999993</v>
      </c>
      <c r="H64" s="80">
        <f t="shared" si="25"/>
        <v>4.7999999999999996E-3</v>
      </c>
      <c r="I64" s="178">
        <v>5075.8208639999993</v>
      </c>
      <c r="J64" s="80">
        <f t="shared" si="26"/>
        <v>4.7999999999999996E-3</v>
      </c>
      <c r="K64" s="178">
        <v>5228.0954899199996</v>
      </c>
      <c r="L64" s="80">
        <f t="shared" si="27"/>
        <v>4.7999999999999996E-3</v>
      </c>
      <c r="M64" s="178">
        <v>5384.9383546175995</v>
      </c>
      <c r="N64" s="80">
        <f t="shared" si="28"/>
        <v>4.7999999999999987E-3</v>
      </c>
      <c r="O64" s="178">
        <v>5546.486505256129</v>
      </c>
      <c r="P64" s="80">
        <f t="shared" si="29"/>
        <v>4.7999999999999996E-3</v>
      </c>
      <c r="Q64" s="178">
        <v>5712.8811004138124</v>
      </c>
      <c r="R64" s="80">
        <f t="shared" si="30"/>
        <v>4.7999999999999987E-3</v>
      </c>
      <c r="S64" s="178">
        <v>5884.2675334262267</v>
      </c>
      <c r="T64" s="80">
        <f t="shared" si="31"/>
        <v>4.7999999999999996E-3</v>
      </c>
      <c r="U64" s="178">
        <v>6060.7955594290142</v>
      </c>
      <c r="V64" s="80">
        <f t="shared" si="32"/>
        <v>4.7999999999999996E-3</v>
      </c>
      <c r="X64" s="192"/>
    </row>
    <row r="65" spans="1:24" ht="12.75" customHeight="1">
      <c r="A65" s="2" t="s">
        <v>409</v>
      </c>
      <c r="B65" s="35"/>
      <c r="C65" s="178">
        <v>0</v>
      </c>
      <c r="D65" s="80">
        <f t="shared" si="23"/>
        <v>0</v>
      </c>
      <c r="E65" s="178">
        <v>493.35</v>
      </c>
      <c r="F65" s="80">
        <f t="shared" si="24"/>
        <v>5.0000000000000001E-4</v>
      </c>
      <c r="G65" s="178">
        <v>510.71700000000004</v>
      </c>
      <c r="H65" s="80">
        <f t="shared" si="25"/>
        <v>5.0000000000000001E-4</v>
      </c>
      <c r="I65" s="178">
        <v>528.73134000000005</v>
      </c>
      <c r="J65" s="80">
        <f t="shared" si="26"/>
        <v>5.0000000000000012E-4</v>
      </c>
      <c r="K65" s="178">
        <v>544.59328019999998</v>
      </c>
      <c r="L65" s="80">
        <f t="shared" si="27"/>
        <v>4.999999999999999E-4</v>
      </c>
      <c r="M65" s="178">
        <v>560.93107860600003</v>
      </c>
      <c r="N65" s="80">
        <f t="shared" si="28"/>
        <v>5.0000000000000001E-4</v>
      </c>
      <c r="O65" s="178">
        <v>577.75901096418011</v>
      </c>
      <c r="P65" s="80">
        <f t="shared" si="29"/>
        <v>5.0000000000000001E-4</v>
      </c>
      <c r="Q65" s="178">
        <v>595.09178129310556</v>
      </c>
      <c r="R65" s="80">
        <f t="shared" si="30"/>
        <v>5.0000000000000001E-4</v>
      </c>
      <c r="S65" s="178">
        <v>612.94453473189867</v>
      </c>
      <c r="T65" s="80">
        <f t="shared" si="31"/>
        <v>5.0000000000000001E-4</v>
      </c>
      <c r="U65" s="178">
        <v>631.33287077385569</v>
      </c>
      <c r="V65" s="80">
        <f t="shared" si="32"/>
        <v>5.0000000000000001E-4</v>
      </c>
      <c r="X65" s="192"/>
    </row>
    <row r="66" spans="1:24" ht="12.75" customHeight="1">
      <c r="A66" s="2" t="s">
        <v>410</v>
      </c>
      <c r="B66" s="35"/>
      <c r="C66" s="178">
        <v>0</v>
      </c>
      <c r="D66" s="80">
        <f t="shared" si="23"/>
        <v>0</v>
      </c>
      <c r="E66" s="178">
        <v>2762.76</v>
      </c>
      <c r="F66" s="80">
        <f t="shared" si="24"/>
        <v>2.8000000000000004E-3</v>
      </c>
      <c r="G66" s="178">
        <v>2860.0151999999998</v>
      </c>
      <c r="H66" s="80">
        <f t="shared" si="25"/>
        <v>2.8E-3</v>
      </c>
      <c r="I66" s="178">
        <v>2960.8955040000001</v>
      </c>
      <c r="J66" s="80">
        <f t="shared" si="26"/>
        <v>2.8000000000000004E-3</v>
      </c>
      <c r="K66" s="178">
        <v>3049.7223691200002</v>
      </c>
      <c r="L66" s="80">
        <f t="shared" si="27"/>
        <v>2.8E-3</v>
      </c>
      <c r="M66" s="178">
        <v>3141.2140401936003</v>
      </c>
      <c r="N66" s="80">
        <f t="shared" si="28"/>
        <v>2.8E-3</v>
      </c>
      <c r="O66" s="178">
        <v>3235.4504613994086</v>
      </c>
      <c r="P66" s="80">
        <f t="shared" si="29"/>
        <v>2.8E-3</v>
      </c>
      <c r="Q66" s="178">
        <v>3332.5139752413911</v>
      </c>
      <c r="R66" s="80">
        <f t="shared" si="30"/>
        <v>2.8E-3</v>
      </c>
      <c r="S66" s="178">
        <v>3432.4893944986325</v>
      </c>
      <c r="T66" s="80">
        <f t="shared" si="31"/>
        <v>2.8E-3</v>
      </c>
      <c r="U66" s="178">
        <v>3535.4640763335919</v>
      </c>
      <c r="V66" s="80">
        <f t="shared" si="32"/>
        <v>2.8E-3</v>
      </c>
      <c r="X66" s="192"/>
    </row>
    <row r="67" spans="1:24" ht="12.75" customHeight="1">
      <c r="A67" s="2" t="s">
        <v>411</v>
      </c>
      <c r="B67" s="35"/>
      <c r="C67" s="178">
        <v>0</v>
      </c>
      <c r="D67" s="80">
        <f t="shared" si="23"/>
        <v>0</v>
      </c>
      <c r="E67" s="178">
        <v>14800.500000000002</v>
      </c>
      <c r="F67" s="80">
        <f t="shared" si="24"/>
        <v>1.5000000000000001E-2</v>
      </c>
      <c r="G67" s="178">
        <v>15321.51</v>
      </c>
      <c r="H67" s="80">
        <f t="shared" si="25"/>
        <v>1.4999999999999999E-2</v>
      </c>
      <c r="I67" s="178">
        <v>15861.940199999999</v>
      </c>
      <c r="J67" s="80">
        <f t="shared" si="26"/>
        <v>1.4999999999999999E-2</v>
      </c>
      <c r="K67" s="178">
        <v>16337.798405999998</v>
      </c>
      <c r="L67" s="80">
        <f t="shared" si="27"/>
        <v>1.4999999999999998E-2</v>
      </c>
      <c r="M67" s="178">
        <v>16827.932358179998</v>
      </c>
      <c r="N67" s="80">
        <f t="shared" si="28"/>
        <v>1.4999999999999998E-2</v>
      </c>
      <c r="O67" s="178">
        <v>17332.770328925402</v>
      </c>
      <c r="P67" s="80">
        <f t="shared" si="29"/>
        <v>1.4999999999999999E-2</v>
      </c>
      <c r="Q67" s="178">
        <v>17852.753438793163</v>
      </c>
      <c r="R67" s="80">
        <f t="shared" si="30"/>
        <v>1.4999999999999996E-2</v>
      </c>
      <c r="S67" s="178">
        <v>18388.336041956962</v>
      </c>
      <c r="T67" s="80">
        <f t="shared" si="31"/>
        <v>1.5000000000000001E-2</v>
      </c>
      <c r="U67" s="178">
        <v>18939.986123215669</v>
      </c>
      <c r="V67" s="80">
        <f t="shared" si="32"/>
        <v>1.4999999999999998E-2</v>
      </c>
      <c r="X67" s="192"/>
    </row>
    <row r="68" spans="1:24" ht="12.75" customHeight="1">
      <c r="A68" s="2" t="s">
        <v>412</v>
      </c>
      <c r="B68" s="35"/>
      <c r="C68" s="178">
        <v>0</v>
      </c>
      <c r="D68" s="80">
        <f t="shared" si="23"/>
        <v>0</v>
      </c>
      <c r="E68" s="178">
        <v>1677.3899999999999</v>
      </c>
      <c r="F68" s="80">
        <f t="shared" si="24"/>
        <v>1.6999999999999999E-3</v>
      </c>
      <c r="G68" s="178">
        <v>1736.4377999999999</v>
      </c>
      <c r="H68" s="80">
        <f t="shared" si="25"/>
        <v>1.6999999999999999E-3</v>
      </c>
      <c r="I68" s="178">
        <v>1797.6865559999999</v>
      </c>
      <c r="J68" s="80">
        <f t="shared" si="26"/>
        <v>1.6999999999999999E-3</v>
      </c>
      <c r="K68" s="178">
        <v>1851.6171526799999</v>
      </c>
      <c r="L68" s="80">
        <f t="shared" si="27"/>
        <v>1.6999999999999997E-3</v>
      </c>
      <c r="M68" s="178">
        <v>1907.1656672603999</v>
      </c>
      <c r="N68" s="80">
        <f t="shared" si="28"/>
        <v>1.6999999999999997E-3</v>
      </c>
      <c r="O68" s="178">
        <v>1964.3806372782121</v>
      </c>
      <c r="P68" s="80">
        <f t="shared" si="29"/>
        <v>1.6999999999999997E-3</v>
      </c>
      <c r="Q68" s="178">
        <v>2023.3120563965588</v>
      </c>
      <c r="R68" s="80">
        <f t="shared" si="30"/>
        <v>1.6999999999999999E-3</v>
      </c>
      <c r="S68" s="178">
        <v>2084.0114180884552</v>
      </c>
      <c r="T68" s="80">
        <f t="shared" si="31"/>
        <v>1.6999999999999997E-3</v>
      </c>
      <c r="U68" s="178">
        <v>2146.5317606311091</v>
      </c>
      <c r="V68" s="80">
        <f t="shared" si="32"/>
        <v>1.6999999999999997E-3</v>
      </c>
      <c r="X68" s="192"/>
    </row>
    <row r="69" spans="1:24" ht="12.75" customHeight="1">
      <c r="A69" s="2" t="s">
        <v>413</v>
      </c>
      <c r="B69" s="35"/>
      <c r="C69" s="178">
        <v>0</v>
      </c>
      <c r="D69" s="80">
        <f t="shared" si="23"/>
        <v>0</v>
      </c>
      <c r="E69" s="178">
        <v>0</v>
      </c>
      <c r="F69" s="80">
        <f t="shared" si="24"/>
        <v>0</v>
      </c>
      <c r="G69" s="178">
        <v>0</v>
      </c>
      <c r="H69" s="80">
        <f t="shared" si="25"/>
        <v>0</v>
      </c>
      <c r="I69" s="178">
        <v>0</v>
      </c>
      <c r="J69" s="80">
        <f t="shared" si="26"/>
        <v>0</v>
      </c>
      <c r="K69" s="178">
        <v>0</v>
      </c>
      <c r="L69" s="80">
        <f t="shared" si="27"/>
        <v>0</v>
      </c>
      <c r="M69" s="178">
        <v>0</v>
      </c>
      <c r="N69" s="80">
        <f t="shared" si="28"/>
        <v>0</v>
      </c>
      <c r="O69" s="178">
        <v>0</v>
      </c>
      <c r="P69" s="80">
        <f t="shared" si="29"/>
        <v>0</v>
      </c>
      <c r="Q69" s="178">
        <v>0</v>
      </c>
      <c r="R69" s="80">
        <f t="shared" si="30"/>
        <v>0</v>
      </c>
      <c r="S69" s="178">
        <v>0</v>
      </c>
      <c r="T69" s="80">
        <f t="shared" si="31"/>
        <v>0</v>
      </c>
      <c r="U69" s="178">
        <v>0</v>
      </c>
      <c r="V69" s="80">
        <f t="shared" si="32"/>
        <v>0</v>
      </c>
      <c r="X69" s="192"/>
    </row>
    <row r="70" spans="1:24" ht="12.75" customHeight="1">
      <c r="A70" s="2" t="s">
        <v>414</v>
      </c>
      <c r="B70" s="35"/>
      <c r="C70" s="178">
        <v>0</v>
      </c>
      <c r="D70" s="80">
        <f t="shared" si="23"/>
        <v>0</v>
      </c>
      <c r="E70" s="178">
        <v>98.670000000000016</v>
      </c>
      <c r="F70" s="80">
        <f t="shared" si="24"/>
        <v>1.0000000000000002E-4</v>
      </c>
      <c r="G70" s="178">
        <v>102.14340000000001</v>
      </c>
      <c r="H70" s="80">
        <f t="shared" si="25"/>
        <v>1.0000000000000002E-4</v>
      </c>
      <c r="I70" s="178">
        <v>105.746268</v>
      </c>
      <c r="J70" s="80">
        <f t="shared" si="26"/>
        <v>1E-4</v>
      </c>
      <c r="K70" s="178">
        <v>108.91865604</v>
      </c>
      <c r="L70" s="80">
        <f t="shared" si="27"/>
        <v>9.9999999999999991E-5</v>
      </c>
      <c r="M70" s="178">
        <v>112.1862157212</v>
      </c>
      <c r="N70" s="80">
        <f t="shared" si="28"/>
        <v>9.9999999999999991E-5</v>
      </c>
      <c r="O70" s="178">
        <v>115.55180219283602</v>
      </c>
      <c r="P70" s="80">
        <f t="shared" si="29"/>
        <v>1E-4</v>
      </c>
      <c r="Q70" s="178">
        <v>119.01835625862113</v>
      </c>
      <c r="R70" s="80">
        <f t="shared" si="30"/>
        <v>1E-4</v>
      </c>
      <c r="S70" s="178">
        <v>122.58890694637975</v>
      </c>
      <c r="T70" s="80">
        <f t="shared" si="31"/>
        <v>1E-4</v>
      </c>
      <c r="U70" s="178">
        <v>126.26657415477113</v>
      </c>
      <c r="V70" s="80">
        <f t="shared" si="32"/>
        <v>9.9999999999999991E-5</v>
      </c>
      <c r="X70" s="192"/>
    </row>
    <row r="71" spans="1:24" ht="12.75" customHeight="1">
      <c r="A71" s="2" t="s">
        <v>415</v>
      </c>
      <c r="B71" s="35"/>
      <c r="C71" s="178">
        <v>0</v>
      </c>
      <c r="D71" s="80">
        <f t="shared" si="23"/>
        <v>0</v>
      </c>
      <c r="E71" s="178">
        <v>0</v>
      </c>
      <c r="F71" s="80">
        <f t="shared" si="24"/>
        <v>0</v>
      </c>
      <c r="G71" s="178">
        <v>0</v>
      </c>
      <c r="H71" s="80">
        <f t="shared" si="25"/>
        <v>0</v>
      </c>
      <c r="I71" s="178">
        <v>0</v>
      </c>
      <c r="J71" s="80">
        <f t="shared" si="26"/>
        <v>0</v>
      </c>
      <c r="K71" s="178">
        <v>0</v>
      </c>
      <c r="L71" s="80">
        <f t="shared" si="27"/>
        <v>0</v>
      </c>
      <c r="M71" s="178">
        <v>0</v>
      </c>
      <c r="N71" s="80">
        <f t="shared" si="28"/>
        <v>0</v>
      </c>
      <c r="O71" s="178">
        <v>0</v>
      </c>
      <c r="P71" s="80">
        <f t="shared" si="29"/>
        <v>0</v>
      </c>
      <c r="Q71" s="178">
        <v>0</v>
      </c>
      <c r="R71" s="80">
        <f t="shared" si="30"/>
        <v>0</v>
      </c>
      <c r="S71" s="178">
        <v>0</v>
      </c>
      <c r="T71" s="80">
        <f t="shared" si="31"/>
        <v>0</v>
      </c>
      <c r="U71" s="178">
        <v>0</v>
      </c>
      <c r="V71" s="80">
        <f t="shared" si="32"/>
        <v>0</v>
      </c>
      <c r="X71" s="192"/>
    </row>
    <row r="72" spans="1:24" ht="12.75" customHeight="1">
      <c r="A72" s="2" t="s">
        <v>416</v>
      </c>
      <c r="B72" s="35"/>
      <c r="C72" s="178">
        <v>0</v>
      </c>
      <c r="D72" s="80">
        <f t="shared" si="23"/>
        <v>0</v>
      </c>
      <c r="E72" s="178">
        <v>0</v>
      </c>
      <c r="F72" s="80">
        <f t="shared" si="24"/>
        <v>0</v>
      </c>
      <c r="G72" s="178">
        <v>0</v>
      </c>
      <c r="H72" s="80">
        <f t="shared" si="25"/>
        <v>0</v>
      </c>
      <c r="I72" s="178">
        <v>0</v>
      </c>
      <c r="J72" s="80">
        <f t="shared" si="26"/>
        <v>0</v>
      </c>
      <c r="K72" s="178">
        <v>0</v>
      </c>
      <c r="L72" s="80">
        <f t="shared" si="27"/>
        <v>0</v>
      </c>
      <c r="M72" s="178">
        <v>0</v>
      </c>
      <c r="N72" s="80">
        <f t="shared" si="28"/>
        <v>0</v>
      </c>
      <c r="O72" s="178">
        <v>0</v>
      </c>
      <c r="P72" s="80">
        <f t="shared" si="29"/>
        <v>0</v>
      </c>
      <c r="Q72" s="178">
        <v>0</v>
      </c>
      <c r="R72" s="80">
        <f t="shared" si="30"/>
        <v>0</v>
      </c>
      <c r="S72" s="178">
        <v>0</v>
      </c>
      <c r="T72" s="80">
        <f t="shared" si="31"/>
        <v>0</v>
      </c>
      <c r="U72" s="178">
        <v>0</v>
      </c>
      <c r="V72" s="80">
        <f t="shared" si="32"/>
        <v>0</v>
      </c>
      <c r="X72" s="192"/>
    </row>
    <row r="73" spans="1:24" ht="12.75" customHeight="1">
      <c r="A73" s="2" t="s">
        <v>417</v>
      </c>
      <c r="B73" s="35"/>
      <c r="C73" s="178">
        <v>0</v>
      </c>
      <c r="D73" s="80">
        <f t="shared" si="23"/>
        <v>0</v>
      </c>
      <c r="E73" s="178">
        <v>0</v>
      </c>
      <c r="F73" s="80">
        <f t="shared" si="24"/>
        <v>0</v>
      </c>
      <c r="G73" s="178">
        <v>0</v>
      </c>
      <c r="H73" s="80">
        <f t="shared" si="25"/>
        <v>0</v>
      </c>
      <c r="I73" s="178">
        <v>0</v>
      </c>
      <c r="J73" s="80">
        <f t="shared" si="26"/>
        <v>0</v>
      </c>
      <c r="K73" s="178">
        <v>0</v>
      </c>
      <c r="L73" s="80">
        <f t="shared" si="27"/>
        <v>0</v>
      </c>
      <c r="M73" s="178">
        <v>0</v>
      </c>
      <c r="N73" s="80">
        <f t="shared" si="28"/>
        <v>0</v>
      </c>
      <c r="O73" s="178">
        <v>0</v>
      </c>
      <c r="P73" s="80">
        <f t="shared" si="29"/>
        <v>0</v>
      </c>
      <c r="Q73" s="178">
        <v>0</v>
      </c>
      <c r="R73" s="80">
        <f t="shared" si="30"/>
        <v>0</v>
      </c>
      <c r="S73" s="178">
        <v>0</v>
      </c>
      <c r="T73" s="80">
        <f t="shared" si="31"/>
        <v>0</v>
      </c>
      <c r="U73" s="178">
        <v>0</v>
      </c>
      <c r="V73" s="80">
        <f t="shared" si="32"/>
        <v>0</v>
      </c>
      <c r="X73" s="192"/>
    </row>
    <row r="74" spans="1:24" ht="12.75" customHeight="1">
      <c r="A74" s="2" t="s">
        <v>418</v>
      </c>
      <c r="B74" s="35"/>
      <c r="C74" s="178">
        <v>0</v>
      </c>
      <c r="D74" s="80">
        <f t="shared" si="23"/>
        <v>0</v>
      </c>
      <c r="E74" s="178">
        <v>0</v>
      </c>
      <c r="F74" s="80">
        <f t="shared" si="24"/>
        <v>0</v>
      </c>
      <c r="G74" s="178">
        <v>0</v>
      </c>
      <c r="H74" s="80">
        <f t="shared" si="25"/>
        <v>0</v>
      </c>
      <c r="I74" s="178">
        <v>0</v>
      </c>
      <c r="J74" s="80">
        <f t="shared" si="26"/>
        <v>0</v>
      </c>
      <c r="K74" s="178">
        <v>0</v>
      </c>
      <c r="L74" s="80">
        <f t="shared" si="27"/>
        <v>0</v>
      </c>
      <c r="M74" s="178">
        <v>0</v>
      </c>
      <c r="N74" s="80">
        <f t="shared" si="28"/>
        <v>0</v>
      </c>
      <c r="O74" s="178">
        <v>0</v>
      </c>
      <c r="P74" s="80">
        <f t="shared" si="29"/>
        <v>0</v>
      </c>
      <c r="Q74" s="178">
        <v>0</v>
      </c>
      <c r="R74" s="80">
        <f t="shared" si="30"/>
        <v>0</v>
      </c>
      <c r="S74" s="178">
        <v>0</v>
      </c>
      <c r="T74" s="80">
        <f t="shared" si="31"/>
        <v>0</v>
      </c>
      <c r="U74" s="178">
        <v>0</v>
      </c>
      <c r="V74" s="80">
        <f t="shared" si="32"/>
        <v>0</v>
      </c>
      <c r="X74" s="192"/>
    </row>
    <row r="75" spans="1:24" ht="12.75" customHeight="1">
      <c r="A75" s="2" t="s">
        <v>419</v>
      </c>
      <c r="B75" s="35"/>
      <c r="C75" s="178">
        <v>0</v>
      </c>
      <c r="D75" s="80">
        <f t="shared" si="23"/>
        <v>0</v>
      </c>
      <c r="E75" s="178">
        <v>4440.1499999999996</v>
      </c>
      <c r="F75" s="80">
        <f t="shared" si="24"/>
        <v>4.4999999999999997E-3</v>
      </c>
      <c r="G75" s="178">
        <v>4596.4529999999995</v>
      </c>
      <c r="H75" s="80">
        <f t="shared" si="25"/>
        <v>4.4999999999999997E-3</v>
      </c>
      <c r="I75" s="178">
        <v>4758.5820599999997</v>
      </c>
      <c r="J75" s="80">
        <f t="shared" si="26"/>
        <v>4.4999999999999997E-3</v>
      </c>
      <c r="K75" s="178">
        <v>4901.3395217999996</v>
      </c>
      <c r="L75" s="80">
        <f t="shared" si="27"/>
        <v>4.4999999999999997E-3</v>
      </c>
      <c r="M75" s="178">
        <v>5048.3797074539998</v>
      </c>
      <c r="N75" s="80">
        <f t="shared" si="28"/>
        <v>4.4999999999999997E-3</v>
      </c>
      <c r="O75" s="178">
        <v>5199.8310986776205</v>
      </c>
      <c r="P75" s="80">
        <f t="shared" si="29"/>
        <v>4.4999999999999997E-3</v>
      </c>
      <c r="Q75" s="178">
        <v>5355.8260316379501</v>
      </c>
      <c r="R75" s="80">
        <f t="shared" si="30"/>
        <v>4.4999999999999997E-3</v>
      </c>
      <c r="S75" s="178">
        <v>5516.5008125870881</v>
      </c>
      <c r="T75" s="80">
        <f t="shared" si="31"/>
        <v>4.4999999999999997E-3</v>
      </c>
      <c r="U75" s="178">
        <v>5681.9958369647011</v>
      </c>
      <c r="V75" s="80">
        <f t="shared" si="32"/>
        <v>4.4999999999999997E-3</v>
      </c>
      <c r="X75" s="192"/>
    </row>
    <row r="76" spans="1:24" ht="12.75" customHeight="1">
      <c r="A76" s="2" t="s">
        <v>420</v>
      </c>
      <c r="B76" s="35"/>
      <c r="C76" s="178">
        <v>0</v>
      </c>
      <c r="D76" s="80">
        <f t="shared" si="23"/>
        <v>0</v>
      </c>
      <c r="E76" s="178">
        <v>394.68000000000006</v>
      </c>
      <c r="F76" s="80">
        <f t="shared" si="24"/>
        <v>4.0000000000000007E-4</v>
      </c>
      <c r="G76" s="178">
        <v>408.57360000000006</v>
      </c>
      <c r="H76" s="80">
        <f t="shared" si="25"/>
        <v>4.0000000000000007E-4</v>
      </c>
      <c r="I76" s="178">
        <v>422.985072</v>
      </c>
      <c r="J76" s="80">
        <f t="shared" si="26"/>
        <v>4.0000000000000002E-4</v>
      </c>
      <c r="K76" s="178">
        <v>435.67462416000001</v>
      </c>
      <c r="L76" s="80">
        <f t="shared" si="27"/>
        <v>3.9999999999999996E-4</v>
      </c>
      <c r="M76" s="178">
        <v>448.7448628848</v>
      </c>
      <c r="N76" s="80">
        <f t="shared" si="28"/>
        <v>3.9999999999999996E-4</v>
      </c>
      <c r="O76" s="178">
        <v>462.20720877134409</v>
      </c>
      <c r="P76" s="80">
        <f t="shared" si="29"/>
        <v>4.0000000000000002E-4</v>
      </c>
      <c r="Q76" s="178">
        <v>476.0734250344845</v>
      </c>
      <c r="R76" s="80">
        <f t="shared" si="30"/>
        <v>4.0000000000000002E-4</v>
      </c>
      <c r="S76" s="178">
        <v>490.355627785519</v>
      </c>
      <c r="T76" s="80">
        <f t="shared" si="31"/>
        <v>4.0000000000000002E-4</v>
      </c>
      <c r="U76" s="178">
        <v>505.06629661908454</v>
      </c>
      <c r="V76" s="80">
        <f t="shared" si="32"/>
        <v>3.9999999999999996E-4</v>
      </c>
      <c r="X76" s="192"/>
    </row>
    <row r="77" spans="1:24" ht="12.75" customHeight="1">
      <c r="A77" s="2" t="s">
        <v>421</v>
      </c>
      <c r="B77" s="35"/>
      <c r="C77" s="178">
        <v>0</v>
      </c>
      <c r="D77" s="80">
        <f t="shared" si="23"/>
        <v>0</v>
      </c>
      <c r="E77" s="178">
        <v>1282.71</v>
      </c>
      <c r="F77" s="80">
        <f t="shared" si="24"/>
        <v>1.2999999999999999E-3</v>
      </c>
      <c r="G77" s="178">
        <v>1327.8642</v>
      </c>
      <c r="H77" s="80">
        <f t="shared" si="25"/>
        <v>1.2999999999999999E-3</v>
      </c>
      <c r="I77" s="178">
        <v>1374.7014840000002</v>
      </c>
      <c r="J77" s="80">
        <f t="shared" si="26"/>
        <v>1.3000000000000002E-3</v>
      </c>
      <c r="K77" s="178">
        <v>1415.9425285199998</v>
      </c>
      <c r="L77" s="80">
        <f t="shared" si="27"/>
        <v>1.2999999999999997E-3</v>
      </c>
      <c r="M77" s="178">
        <v>1458.4208043756</v>
      </c>
      <c r="N77" s="80">
        <f t="shared" si="28"/>
        <v>1.2999999999999999E-3</v>
      </c>
      <c r="O77" s="178">
        <v>1502.173428506868</v>
      </c>
      <c r="P77" s="80">
        <f t="shared" si="29"/>
        <v>1.2999999999999997E-3</v>
      </c>
      <c r="Q77" s="178">
        <v>1547.2386313620741</v>
      </c>
      <c r="R77" s="80">
        <f t="shared" si="30"/>
        <v>1.2999999999999997E-3</v>
      </c>
      <c r="S77" s="178">
        <v>1593.6557903029366</v>
      </c>
      <c r="T77" s="80">
        <f t="shared" si="31"/>
        <v>1.2999999999999999E-3</v>
      </c>
      <c r="U77" s="178">
        <v>1641.4654640120248</v>
      </c>
      <c r="V77" s="80">
        <f t="shared" si="32"/>
        <v>1.2999999999999999E-3</v>
      </c>
      <c r="X77" s="192"/>
    </row>
    <row r="78" spans="1:24" ht="12.75" customHeight="1">
      <c r="A78" s="2" t="s">
        <v>422</v>
      </c>
      <c r="B78" s="35"/>
      <c r="C78" s="178">
        <v>0</v>
      </c>
      <c r="D78" s="80">
        <f t="shared" si="23"/>
        <v>0</v>
      </c>
      <c r="E78" s="178">
        <v>21707.399999999998</v>
      </c>
      <c r="F78" s="80">
        <f t="shared" si="24"/>
        <v>2.1999999999999999E-2</v>
      </c>
      <c r="G78" s="178">
        <v>22471.547999999999</v>
      </c>
      <c r="H78" s="80">
        <f t="shared" si="25"/>
        <v>2.1999999999999999E-2</v>
      </c>
      <c r="I78" s="178">
        <v>23264.178959999997</v>
      </c>
      <c r="J78" s="80">
        <f t="shared" si="26"/>
        <v>2.1999999999999999E-2</v>
      </c>
      <c r="K78" s="178">
        <v>23962.1043288</v>
      </c>
      <c r="L78" s="80">
        <f t="shared" si="27"/>
        <v>2.1999999999999999E-2</v>
      </c>
      <c r="M78" s="178">
        <v>24680.967458663999</v>
      </c>
      <c r="N78" s="80">
        <f t="shared" si="28"/>
        <v>2.1999999999999999E-2</v>
      </c>
      <c r="O78" s="178">
        <v>25421.396482423923</v>
      </c>
      <c r="P78" s="80">
        <f t="shared" si="29"/>
        <v>2.1999999999999999E-2</v>
      </c>
      <c r="Q78" s="178">
        <v>26184.038376896642</v>
      </c>
      <c r="R78" s="80">
        <f t="shared" si="30"/>
        <v>2.1999999999999999E-2</v>
      </c>
      <c r="S78" s="178">
        <v>26969.559528203543</v>
      </c>
      <c r="T78" s="80">
        <f t="shared" si="31"/>
        <v>2.1999999999999999E-2</v>
      </c>
      <c r="U78" s="178">
        <v>27778.646314049649</v>
      </c>
      <c r="V78" s="80">
        <f t="shared" si="32"/>
        <v>2.1999999999999999E-2</v>
      </c>
      <c r="X78" s="192"/>
    </row>
    <row r="79" spans="1:24" ht="12.75" customHeight="1">
      <c r="A79" s="2" t="s">
        <v>423</v>
      </c>
      <c r="B79" s="35"/>
      <c r="C79" s="178">
        <v>0</v>
      </c>
      <c r="D79" s="80">
        <f t="shared" si="23"/>
        <v>0</v>
      </c>
      <c r="E79" s="178">
        <v>0</v>
      </c>
      <c r="F79" s="80">
        <f t="shared" si="24"/>
        <v>0</v>
      </c>
      <c r="G79" s="178">
        <v>0</v>
      </c>
      <c r="H79" s="80">
        <f t="shared" si="25"/>
        <v>0</v>
      </c>
      <c r="I79" s="178">
        <v>0</v>
      </c>
      <c r="J79" s="80">
        <f t="shared" si="26"/>
        <v>0</v>
      </c>
      <c r="K79" s="178">
        <v>0</v>
      </c>
      <c r="L79" s="80">
        <f t="shared" si="27"/>
        <v>0</v>
      </c>
      <c r="M79" s="178">
        <v>0</v>
      </c>
      <c r="N79" s="80">
        <f t="shared" si="28"/>
        <v>0</v>
      </c>
      <c r="O79" s="178">
        <v>0</v>
      </c>
      <c r="P79" s="80">
        <f t="shared" si="29"/>
        <v>0</v>
      </c>
      <c r="Q79" s="178">
        <v>0</v>
      </c>
      <c r="R79" s="80">
        <f t="shared" si="30"/>
        <v>0</v>
      </c>
      <c r="S79" s="178">
        <v>0</v>
      </c>
      <c r="T79" s="80">
        <f t="shared" si="31"/>
        <v>0</v>
      </c>
      <c r="U79" s="178">
        <v>0</v>
      </c>
      <c r="V79" s="80">
        <f t="shared" si="32"/>
        <v>0</v>
      </c>
      <c r="X79" s="192"/>
    </row>
    <row r="80" spans="1:24" ht="12.75" customHeight="1">
      <c r="A80" s="2" t="s">
        <v>424</v>
      </c>
      <c r="B80" s="35"/>
      <c r="C80" s="178">
        <v>0</v>
      </c>
      <c r="D80" s="80">
        <f t="shared" si="23"/>
        <v>0</v>
      </c>
      <c r="E80" s="178">
        <v>0</v>
      </c>
      <c r="F80" s="80">
        <f t="shared" si="24"/>
        <v>0</v>
      </c>
      <c r="G80" s="178">
        <v>0</v>
      </c>
      <c r="H80" s="80">
        <f t="shared" si="25"/>
        <v>0</v>
      </c>
      <c r="I80" s="178">
        <v>0</v>
      </c>
      <c r="J80" s="80">
        <f t="shared" si="26"/>
        <v>0</v>
      </c>
      <c r="K80" s="178">
        <v>0</v>
      </c>
      <c r="L80" s="80">
        <f t="shared" si="27"/>
        <v>0</v>
      </c>
      <c r="M80" s="178">
        <v>0</v>
      </c>
      <c r="N80" s="80">
        <f t="shared" si="28"/>
        <v>0</v>
      </c>
      <c r="O80" s="178">
        <v>0</v>
      </c>
      <c r="P80" s="80">
        <f t="shared" si="29"/>
        <v>0</v>
      </c>
      <c r="Q80" s="178">
        <v>0</v>
      </c>
      <c r="R80" s="80">
        <f t="shared" si="30"/>
        <v>0</v>
      </c>
      <c r="S80" s="178">
        <v>0</v>
      </c>
      <c r="T80" s="80">
        <f t="shared" si="31"/>
        <v>0</v>
      </c>
      <c r="U80" s="178">
        <v>0</v>
      </c>
      <c r="V80" s="80">
        <f t="shared" si="32"/>
        <v>0</v>
      </c>
      <c r="X80" s="192"/>
    </row>
    <row r="81" spans="1:24" ht="12.75" customHeight="1">
      <c r="A81" s="2" t="s">
        <v>425</v>
      </c>
      <c r="B81" s="35"/>
      <c r="C81" s="178">
        <v>0</v>
      </c>
      <c r="D81" s="80">
        <f t="shared" si="23"/>
        <v>0</v>
      </c>
      <c r="E81" s="178">
        <v>0</v>
      </c>
      <c r="F81" s="80">
        <f t="shared" si="24"/>
        <v>0</v>
      </c>
      <c r="G81" s="178">
        <v>0</v>
      </c>
      <c r="H81" s="80">
        <f t="shared" si="25"/>
        <v>0</v>
      </c>
      <c r="I81" s="178">
        <v>0</v>
      </c>
      <c r="J81" s="80">
        <f t="shared" si="26"/>
        <v>0</v>
      </c>
      <c r="K81" s="178">
        <v>0</v>
      </c>
      <c r="L81" s="80">
        <f t="shared" si="27"/>
        <v>0</v>
      </c>
      <c r="M81" s="178">
        <v>0</v>
      </c>
      <c r="N81" s="80">
        <f t="shared" si="28"/>
        <v>0</v>
      </c>
      <c r="O81" s="178">
        <v>0</v>
      </c>
      <c r="P81" s="80">
        <f t="shared" si="29"/>
        <v>0</v>
      </c>
      <c r="Q81" s="178">
        <v>0</v>
      </c>
      <c r="R81" s="80">
        <f t="shared" si="30"/>
        <v>0</v>
      </c>
      <c r="S81" s="178">
        <v>0</v>
      </c>
      <c r="T81" s="80">
        <f t="shared" si="31"/>
        <v>0</v>
      </c>
      <c r="U81" s="178">
        <v>0</v>
      </c>
      <c r="V81" s="80">
        <f t="shared" si="32"/>
        <v>0</v>
      </c>
      <c r="X81" s="192"/>
    </row>
    <row r="82" spans="1:24" ht="12.75" customHeight="1">
      <c r="A82" s="2" t="s">
        <v>426</v>
      </c>
      <c r="B82" s="35"/>
      <c r="C82" s="178">
        <v>0</v>
      </c>
      <c r="D82" s="80">
        <f t="shared" si="23"/>
        <v>0</v>
      </c>
      <c r="E82" s="178">
        <v>0</v>
      </c>
      <c r="F82" s="80">
        <f t="shared" si="24"/>
        <v>0</v>
      </c>
      <c r="G82" s="178">
        <v>0</v>
      </c>
      <c r="H82" s="80">
        <f t="shared" si="25"/>
        <v>0</v>
      </c>
      <c r="I82" s="178">
        <v>0</v>
      </c>
      <c r="J82" s="80">
        <f t="shared" si="26"/>
        <v>0</v>
      </c>
      <c r="K82" s="178">
        <v>0</v>
      </c>
      <c r="L82" s="80">
        <f t="shared" si="27"/>
        <v>0</v>
      </c>
      <c r="M82" s="178">
        <v>0</v>
      </c>
      <c r="N82" s="80">
        <f t="shared" si="28"/>
        <v>0</v>
      </c>
      <c r="O82" s="178">
        <v>0</v>
      </c>
      <c r="P82" s="80">
        <f t="shared" si="29"/>
        <v>0</v>
      </c>
      <c r="Q82" s="178">
        <v>0</v>
      </c>
      <c r="R82" s="80">
        <f t="shared" si="30"/>
        <v>0</v>
      </c>
      <c r="S82" s="178">
        <v>0</v>
      </c>
      <c r="T82" s="80">
        <f t="shared" si="31"/>
        <v>0</v>
      </c>
      <c r="U82" s="178">
        <v>0</v>
      </c>
      <c r="V82" s="80">
        <f t="shared" si="32"/>
        <v>0</v>
      </c>
      <c r="X82" s="192"/>
    </row>
    <row r="83" spans="1:24" ht="12.75" customHeight="1">
      <c r="A83" s="2" t="s">
        <v>427</v>
      </c>
      <c r="B83" s="35"/>
      <c r="C83" s="178">
        <v>0</v>
      </c>
      <c r="D83" s="80">
        <f t="shared" si="23"/>
        <v>0</v>
      </c>
      <c r="E83" s="178">
        <v>0</v>
      </c>
      <c r="F83" s="80">
        <f t="shared" si="24"/>
        <v>0</v>
      </c>
      <c r="G83" s="178">
        <v>0</v>
      </c>
      <c r="H83" s="80">
        <f t="shared" si="25"/>
        <v>0</v>
      </c>
      <c r="I83" s="178">
        <v>0</v>
      </c>
      <c r="J83" s="80">
        <f t="shared" si="26"/>
        <v>0</v>
      </c>
      <c r="K83" s="178">
        <v>0</v>
      </c>
      <c r="L83" s="80">
        <f t="shared" si="27"/>
        <v>0</v>
      </c>
      <c r="M83" s="178">
        <v>0</v>
      </c>
      <c r="N83" s="80">
        <f t="shared" si="28"/>
        <v>0</v>
      </c>
      <c r="O83" s="178">
        <v>0</v>
      </c>
      <c r="P83" s="80">
        <f t="shared" si="29"/>
        <v>0</v>
      </c>
      <c r="Q83" s="178">
        <v>0</v>
      </c>
      <c r="R83" s="80">
        <f t="shared" si="30"/>
        <v>0</v>
      </c>
      <c r="S83" s="178">
        <v>0</v>
      </c>
      <c r="T83" s="80">
        <f t="shared" si="31"/>
        <v>0</v>
      </c>
      <c r="U83" s="178">
        <v>0</v>
      </c>
      <c r="V83" s="80">
        <f t="shared" si="32"/>
        <v>0</v>
      </c>
      <c r="X83" s="192"/>
    </row>
    <row r="84" spans="1:24" ht="12.75" customHeight="1">
      <c r="A84" s="2" t="s">
        <v>428</v>
      </c>
      <c r="B84" s="35"/>
      <c r="C84" s="178">
        <v>0</v>
      </c>
      <c r="D84" s="80">
        <f t="shared" si="23"/>
        <v>0</v>
      </c>
      <c r="E84" s="178">
        <v>0</v>
      </c>
      <c r="F84" s="80">
        <f t="shared" si="24"/>
        <v>0</v>
      </c>
      <c r="G84" s="178">
        <v>0</v>
      </c>
      <c r="H84" s="80">
        <f t="shared" si="25"/>
        <v>0</v>
      </c>
      <c r="I84" s="178">
        <v>0</v>
      </c>
      <c r="J84" s="80">
        <f t="shared" si="26"/>
        <v>0</v>
      </c>
      <c r="K84" s="178">
        <v>0</v>
      </c>
      <c r="L84" s="80">
        <f t="shared" si="27"/>
        <v>0</v>
      </c>
      <c r="M84" s="178">
        <v>0</v>
      </c>
      <c r="N84" s="80">
        <f t="shared" si="28"/>
        <v>0</v>
      </c>
      <c r="O84" s="178">
        <v>0</v>
      </c>
      <c r="P84" s="80">
        <f t="shared" si="29"/>
        <v>0</v>
      </c>
      <c r="Q84" s="178">
        <v>0</v>
      </c>
      <c r="R84" s="80">
        <f t="shared" si="30"/>
        <v>0</v>
      </c>
      <c r="S84" s="178">
        <v>0</v>
      </c>
      <c r="T84" s="80">
        <f t="shared" si="31"/>
        <v>0</v>
      </c>
      <c r="U84" s="178">
        <v>0</v>
      </c>
      <c r="V84" s="80">
        <f t="shared" si="32"/>
        <v>0</v>
      </c>
      <c r="X84" s="192"/>
    </row>
    <row r="85" spans="1:24" ht="12.75" customHeight="1">
      <c r="A85" s="2" t="s">
        <v>429</v>
      </c>
      <c r="B85" s="35"/>
      <c r="C85" s="178">
        <v>0</v>
      </c>
      <c r="D85" s="80">
        <f t="shared" si="23"/>
        <v>0</v>
      </c>
      <c r="E85" s="178">
        <v>0</v>
      </c>
      <c r="F85" s="80">
        <f t="shared" si="24"/>
        <v>0</v>
      </c>
      <c r="G85" s="178">
        <v>0</v>
      </c>
      <c r="H85" s="80">
        <f t="shared" si="25"/>
        <v>0</v>
      </c>
      <c r="I85" s="178">
        <v>0</v>
      </c>
      <c r="J85" s="80">
        <f t="shared" si="26"/>
        <v>0</v>
      </c>
      <c r="K85" s="178">
        <v>0</v>
      </c>
      <c r="L85" s="80">
        <f t="shared" si="27"/>
        <v>0</v>
      </c>
      <c r="M85" s="178">
        <v>0</v>
      </c>
      <c r="N85" s="80">
        <f t="shared" si="28"/>
        <v>0</v>
      </c>
      <c r="O85" s="178">
        <v>0</v>
      </c>
      <c r="P85" s="80">
        <f t="shared" si="29"/>
        <v>0</v>
      </c>
      <c r="Q85" s="178">
        <v>0</v>
      </c>
      <c r="R85" s="80">
        <f t="shared" si="30"/>
        <v>0</v>
      </c>
      <c r="S85" s="178">
        <v>0</v>
      </c>
      <c r="T85" s="80">
        <f t="shared" si="31"/>
        <v>0</v>
      </c>
      <c r="U85" s="178">
        <v>0</v>
      </c>
      <c r="V85" s="80">
        <f t="shared" si="32"/>
        <v>0</v>
      </c>
      <c r="X85" s="192"/>
    </row>
    <row r="86" spans="1:24" ht="12.75" customHeight="1">
      <c r="A86" s="2" t="s">
        <v>430</v>
      </c>
      <c r="B86" s="35"/>
      <c r="C86" s="178">
        <v>0</v>
      </c>
      <c r="D86" s="80">
        <f t="shared" si="23"/>
        <v>0</v>
      </c>
      <c r="E86" s="178">
        <v>3946.8</v>
      </c>
      <c r="F86" s="80">
        <f t="shared" si="24"/>
        <v>4.0000000000000001E-3</v>
      </c>
      <c r="G86" s="178">
        <v>4085.7360000000003</v>
      </c>
      <c r="H86" s="80">
        <f t="shared" si="25"/>
        <v>4.0000000000000001E-3</v>
      </c>
      <c r="I86" s="178">
        <v>4229.8507200000004</v>
      </c>
      <c r="J86" s="80">
        <f t="shared" si="26"/>
        <v>4.000000000000001E-3</v>
      </c>
      <c r="K86" s="178">
        <v>4356.7462415999998</v>
      </c>
      <c r="L86" s="80">
        <f t="shared" si="27"/>
        <v>3.9999999999999992E-3</v>
      </c>
      <c r="M86" s="178">
        <v>4487.4486288480002</v>
      </c>
      <c r="N86" s="80">
        <f t="shared" si="28"/>
        <v>4.0000000000000001E-3</v>
      </c>
      <c r="O86" s="178">
        <v>4622.0720877134409</v>
      </c>
      <c r="P86" s="80">
        <f t="shared" si="29"/>
        <v>4.0000000000000001E-3</v>
      </c>
      <c r="Q86" s="178">
        <v>4760.7342503448444</v>
      </c>
      <c r="R86" s="80">
        <f t="shared" si="30"/>
        <v>4.0000000000000001E-3</v>
      </c>
      <c r="S86" s="178">
        <v>4903.5562778551894</v>
      </c>
      <c r="T86" s="80">
        <f t="shared" si="31"/>
        <v>4.0000000000000001E-3</v>
      </c>
      <c r="U86" s="178">
        <v>5050.6629661908455</v>
      </c>
      <c r="V86" s="80">
        <f t="shared" si="32"/>
        <v>4.0000000000000001E-3</v>
      </c>
      <c r="X86" s="192"/>
    </row>
    <row r="87" spans="1:24" ht="12.75" customHeight="1">
      <c r="A87" s="2" t="s">
        <v>431</v>
      </c>
      <c r="B87" s="35"/>
      <c r="C87" s="178">
        <v>0</v>
      </c>
      <c r="D87" s="80">
        <f t="shared" si="23"/>
        <v>0</v>
      </c>
      <c r="E87" s="178">
        <v>0</v>
      </c>
      <c r="F87" s="80">
        <f t="shared" si="24"/>
        <v>0</v>
      </c>
      <c r="G87" s="178">
        <v>0</v>
      </c>
      <c r="H87" s="80">
        <f t="shared" si="25"/>
        <v>0</v>
      </c>
      <c r="I87" s="178">
        <v>0</v>
      </c>
      <c r="J87" s="80">
        <f t="shared" si="26"/>
        <v>0</v>
      </c>
      <c r="K87" s="178">
        <v>0</v>
      </c>
      <c r="L87" s="80">
        <f t="shared" si="27"/>
        <v>0</v>
      </c>
      <c r="M87" s="178">
        <v>0</v>
      </c>
      <c r="N87" s="80">
        <f t="shared" si="28"/>
        <v>0</v>
      </c>
      <c r="O87" s="178">
        <v>0</v>
      </c>
      <c r="P87" s="80">
        <f t="shared" si="29"/>
        <v>0</v>
      </c>
      <c r="Q87" s="178">
        <v>0</v>
      </c>
      <c r="R87" s="80">
        <f t="shared" si="30"/>
        <v>0</v>
      </c>
      <c r="S87" s="178">
        <v>0</v>
      </c>
      <c r="T87" s="80">
        <f t="shared" si="31"/>
        <v>0</v>
      </c>
      <c r="U87" s="178">
        <v>0</v>
      </c>
      <c r="V87" s="80">
        <f t="shared" si="32"/>
        <v>0</v>
      </c>
      <c r="X87" s="192"/>
    </row>
    <row r="88" spans="1:24" ht="12.75" customHeight="1">
      <c r="A88" s="2" t="s">
        <v>432</v>
      </c>
      <c r="B88" s="35"/>
      <c r="C88" s="178">
        <v>0</v>
      </c>
      <c r="D88" s="80">
        <f t="shared" si="23"/>
        <v>0</v>
      </c>
      <c r="E88" s="178">
        <v>5032.17</v>
      </c>
      <c r="F88" s="80">
        <f t="shared" si="24"/>
        <v>5.1000000000000004E-3</v>
      </c>
      <c r="G88" s="178">
        <v>5209.3134000000009</v>
      </c>
      <c r="H88" s="80">
        <f t="shared" si="25"/>
        <v>5.1000000000000012E-3</v>
      </c>
      <c r="I88" s="178">
        <v>5393.0596680000008</v>
      </c>
      <c r="J88" s="80">
        <f t="shared" si="26"/>
        <v>5.1000000000000012E-3</v>
      </c>
      <c r="K88" s="178">
        <v>5554.8514580400006</v>
      </c>
      <c r="L88" s="80">
        <f t="shared" si="27"/>
        <v>5.1000000000000004E-3</v>
      </c>
      <c r="M88" s="178">
        <v>5721.4970017812002</v>
      </c>
      <c r="N88" s="80">
        <f t="shared" si="28"/>
        <v>5.0999999999999995E-3</v>
      </c>
      <c r="O88" s="178">
        <v>5893.1419118346366</v>
      </c>
      <c r="P88" s="80">
        <f t="shared" si="29"/>
        <v>5.0999999999999995E-3</v>
      </c>
      <c r="Q88" s="178">
        <v>6069.9361691896765</v>
      </c>
      <c r="R88" s="80">
        <f t="shared" si="30"/>
        <v>5.0999999999999995E-3</v>
      </c>
      <c r="S88" s="178">
        <v>6252.0342542653671</v>
      </c>
      <c r="T88" s="80">
        <f t="shared" si="31"/>
        <v>5.1000000000000004E-3</v>
      </c>
      <c r="U88" s="178">
        <v>6439.5952818933283</v>
      </c>
      <c r="V88" s="80">
        <f t="shared" si="32"/>
        <v>5.1000000000000004E-3</v>
      </c>
      <c r="X88" s="192"/>
    </row>
    <row r="89" spans="1:24" ht="12.75" customHeight="1">
      <c r="A89" s="2" t="s">
        <v>433</v>
      </c>
      <c r="B89" s="35"/>
      <c r="C89" s="178">
        <v>0</v>
      </c>
      <c r="D89" s="80">
        <f t="shared" si="23"/>
        <v>0</v>
      </c>
      <c r="E89" s="178">
        <v>0</v>
      </c>
      <c r="F89" s="80">
        <f t="shared" si="24"/>
        <v>0</v>
      </c>
      <c r="G89" s="178">
        <v>0</v>
      </c>
      <c r="H89" s="80">
        <f t="shared" si="25"/>
        <v>0</v>
      </c>
      <c r="I89" s="178">
        <v>0</v>
      </c>
      <c r="J89" s="80">
        <f t="shared" si="26"/>
        <v>0</v>
      </c>
      <c r="K89" s="178">
        <v>0</v>
      </c>
      <c r="L89" s="80">
        <f t="shared" si="27"/>
        <v>0</v>
      </c>
      <c r="M89" s="178">
        <v>0</v>
      </c>
      <c r="N89" s="80">
        <f t="shared" si="28"/>
        <v>0</v>
      </c>
      <c r="O89" s="178">
        <v>0</v>
      </c>
      <c r="P89" s="80">
        <f t="shared" si="29"/>
        <v>0</v>
      </c>
      <c r="Q89" s="178">
        <v>0</v>
      </c>
      <c r="R89" s="80">
        <f t="shared" si="30"/>
        <v>0</v>
      </c>
      <c r="S89" s="178">
        <v>0</v>
      </c>
      <c r="T89" s="80">
        <f t="shared" si="31"/>
        <v>0</v>
      </c>
      <c r="U89" s="178">
        <v>0</v>
      </c>
      <c r="V89" s="80">
        <f t="shared" si="32"/>
        <v>0</v>
      </c>
      <c r="X89" s="192"/>
    </row>
    <row r="90" spans="1:24" ht="12.75" customHeight="1">
      <c r="A90" s="2" t="s">
        <v>434</v>
      </c>
      <c r="B90" s="35"/>
      <c r="C90" s="178">
        <v>0</v>
      </c>
      <c r="D90" s="80">
        <f t="shared" si="23"/>
        <v>0</v>
      </c>
      <c r="E90" s="178">
        <v>197.34000000000003</v>
      </c>
      <c r="F90" s="80">
        <f t="shared" si="24"/>
        <v>2.0000000000000004E-4</v>
      </c>
      <c r="G90" s="178">
        <v>204.28680000000003</v>
      </c>
      <c r="H90" s="80">
        <f t="shared" si="25"/>
        <v>2.0000000000000004E-4</v>
      </c>
      <c r="I90" s="178">
        <v>211.492536</v>
      </c>
      <c r="J90" s="80">
        <f t="shared" si="26"/>
        <v>2.0000000000000001E-4</v>
      </c>
      <c r="K90" s="178">
        <v>217.83731208</v>
      </c>
      <c r="L90" s="80">
        <f t="shared" si="27"/>
        <v>1.9999999999999998E-4</v>
      </c>
      <c r="M90" s="178">
        <v>224.3724314424</v>
      </c>
      <c r="N90" s="80">
        <f t="shared" si="28"/>
        <v>1.9999999999999998E-4</v>
      </c>
      <c r="O90" s="178">
        <v>231.10360438567204</v>
      </c>
      <c r="P90" s="80">
        <f t="shared" si="29"/>
        <v>2.0000000000000001E-4</v>
      </c>
      <c r="Q90" s="178">
        <v>238.03671251724225</v>
      </c>
      <c r="R90" s="80">
        <f t="shared" si="30"/>
        <v>2.0000000000000001E-4</v>
      </c>
      <c r="S90" s="178">
        <v>245.1778138927595</v>
      </c>
      <c r="T90" s="80">
        <f t="shared" si="31"/>
        <v>2.0000000000000001E-4</v>
      </c>
      <c r="U90" s="178">
        <v>252.53314830954227</v>
      </c>
      <c r="V90" s="80">
        <f t="shared" si="32"/>
        <v>1.9999999999999998E-4</v>
      </c>
      <c r="X90" s="192"/>
    </row>
    <row r="91" spans="1:24" ht="12.75" customHeight="1">
      <c r="A91" s="2" t="s">
        <v>435</v>
      </c>
      <c r="C91" s="178">
        <v>0</v>
      </c>
      <c r="D91" s="80">
        <f t="shared" si="23"/>
        <v>0</v>
      </c>
      <c r="E91" s="178">
        <v>0</v>
      </c>
      <c r="F91" s="80">
        <f t="shared" si="24"/>
        <v>0</v>
      </c>
      <c r="G91" s="178">
        <v>0</v>
      </c>
      <c r="H91" s="80">
        <f t="shared" si="25"/>
        <v>0</v>
      </c>
      <c r="I91" s="178">
        <v>0</v>
      </c>
      <c r="J91" s="80">
        <f t="shared" si="26"/>
        <v>0</v>
      </c>
      <c r="K91" s="178">
        <v>0</v>
      </c>
      <c r="L91" s="80">
        <f t="shared" si="27"/>
        <v>0</v>
      </c>
      <c r="M91" s="178">
        <v>0</v>
      </c>
      <c r="N91" s="80">
        <f t="shared" si="28"/>
        <v>0</v>
      </c>
      <c r="O91" s="178">
        <v>0</v>
      </c>
      <c r="P91" s="80">
        <f t="shared" si="29"/>
        <v>0</v>
      </c>
      <c r="Q91" s="178">
        <v>0</v>
      </c>
      <c r="R91" s="80">
        <f t="shared" si="30"/>
        <v>0</v>
      </c>
      <c r="S91" s="178">
        <v>0</v>
      </c>
      <c r="T91" s="80">
        <f t="shared" si="31"/>
        <v>0</v>
      </c>
      <c r="U91" s="178">
        <v>0</v>
      </c>
      <c r="V91" s="80">
        <f t="shared" si="32"/>
        <v>0</v>
      </c>
      <c r="X91" s="192"/>
    </row>
    <row r="92" spans="1:24" ht="12.75" customHeight="1">
      <c r="A92" s="2" t="s">
        <v>436</v>
      </c>
      <c r="B92" s="35"/>
      <c r="C92" s="178">
        <v>0</v>
      </c>
      <c r="D92" s="80">
        <f t="shared" si="23"/>
        <v>0</v>
      </c>
      <c r="E92" s="178">
        <v>5130.84</v>
      </c>
      <c r="F92" s="80">
        <f t="shared" si="24"/>
        <v>5.1999999999999998E-3</v>
      </c>
      <c r="G92" s="178">
        <v>5311.4567999999999</v>
      </c>
      <c r="H92" s="80">
        <f t="shared" si="25"/>
        <v>5.1999999999999998E-3</v>
      </c>
      <c r="I92" s="178">
        <v>5498.8059360000007</v>
      </c>
      <c r="J92" s="80">
        <f t="shared" si="26"/>
        <v>5.2000000000000006E-3</v>
      </c>
      <c r="K92" s="178">
        <v>5663.7701140799991</v>
      </c>
      <c r="L92" s="80">
        <f t="shared" si="27"/>
        <v>5.1999999999999989E-3</v>
      </c>
      <c r="M92" s="178">
        <v>5833.6832175024001</v>
      </c>
      <c r="N92" s="80">
        <f t="shared" si="28"/>
        <v>5.1999999999999998E-3</v>
      </c>
      <c r="O92" s="178">
        <v>6008.6937140274722</v>
      </c>
      <c r="P92" s="80">
        <f t="shared" si="29"/>
        <v>5.1999999999999989E-3</v>
      </c>
      <c r="Q92" s="178">
        <v>6188.9545254482964</v>
      </c>
      <c r="R92" s="80">
        <f t="shared" si="30"/>
        <v>5.1999999999999989E-3</v>
      </c>
      <c r="S92" s="178">
        <v>6374.6231612117463</v>
      </c>
      <c r="T92" s="80">
        <f t="shared" si="31"/>
        <v>5.1999999999999998E-3</v>
      </c>
      <c r="U92" s="178">
        <v>6565.8618560480991</v>
      </c>
      <c r="V92" s="80">
        <f t="shared" si="32"/>
        <v>5.1999999999999998E-3</v>
      </c>
      <c r="X92" s="192"/>
    </row>
    <row r="93" spans="1:24" ht="12.75" customHeight="1">
      <c r="A93" s="2" t="s">
        <v>437</v>
      </c>
      <c r="B93" s="35"/>
      <c r="C93" s="178">
        <v>0</v>
      </c>
      <c r="D93" s="80">
        <f t="shared" si="23"/>
        <v>0</v>
      </c>
      <c r="E93" s="178">
        <v>0</v>
      </c>
      <c r="F93" s="80">
        <f t="shared" si="24"/>
        <v>0</v>
      </c>
      <c r="G93" s="178">
        <v>0</v>
      </c>
      <c r="H93" s="80">
        <f t="shared" si="25"/>
        <v>0</v>
      </c>
      <c r="I93" s="178">
        <v>0</v>
      </c>
      <c r="J93" s="80">
        <f t="shared" si="26"/>
        <v>0</v>
      </c>
      <c r="K93" s="178">
        <v>0</v>
      </c>
      <c r="L93" s="80">
        <f t="shared" si="27"/>
        <v>0</v>
      </c>
      <c r="M93" s="178">
        <v>0</v>
      </c>
      <c r="N93" s="80">
        <f t="shared" si="28"/>
        <v>0</v>
      </c>
      <c r="O93" s="178">
        <v>0</v>
      </c>
      <c r="P93" s="80">
        <f t="shared" si="29"/>
        <v>0</v>
      </c>
      <c r="Q93" s="178">
        <v>0</v>
      </c>
      <c r="R93" s="80">
        <f t="shared" si="30"/>
        <v>0</v>
      </c>
      <c r="S93" s="178">
        <v>0</v>
      </c>
      <c r="T93" s="80">
        <f t="shared" si="31"/>
        <v>0</v>
      </c>
      <c r="U93" s="178">
        <v>0</v>
      </c>
      <c r="V93" s="80">
        <f t="shared" si="32"/>
        <v>0</v>
      </c>
      <c r="X93" s="192"/>
    </row>
    <row r="94" spans="1:24" ht="12.75" customHeight="1">
      <c r="A94" s="2" t="s">
        <v>438</v>
      </c>
      <c r="B94" s="35"/>
      <c r="C94" s="178">
        <v>0</v>
      </c>
      <c r="D94" s="80">
        <f t="shared" si="23"/>
        <v>0</v>
      </c>
      <c r="E94" s="178">
        <v>0</v>
      </c>
      <c r="F94" s="80">
        <f t="shared" si="24"/>
        <v>0</v>
      </c>
      <c r="G94" s="178">
        <v>0</v>
      </c>
      <c r="H94" s="80">
        <f t="shared" si="25"/>
        <v>0</v>
      </c>
      <c r="I94" s="178">
        <v>0</v>
      </c>
      <c r="J94" s="80">
        <f t="shared" si="26"/>
        <v>0</v>
      </c>
      <c r="K94" s="178">
        <v>0</v>
      </c>
      <c r="L94" s="80">
        <f t="shared" si="27"/>
        <v>0</v>
      </c>
      <c r="M94" s="178">
        <v>0</v>
      </c>
      <c r="N94" s="80">
        <f t="shared" si="28"/>
        <v>0</v>
      </c>
      <c r="O94" s="178">
        <v>0</v>
      </c>
      <c r="P94" s="80">
        <f t="shared" si="29"/>
        <v>0</v>
      </c>
      <c r="Q94" s="178">
        <v>0</v>
      </c>
      <c r="R94" s="80">
        <f t="shared" si="30"/>
        <v>0</v>
      </c>
      <c r="S94" s="178">
        <v>0</v>
      </c>
      <c r="T94" s="80">
        <f t="shared" si="31"/>
        <v>0</v>
      </c>
      <c r="U94" s="178">
        <v>0</v>
      </c>
      <c r="V94" s="80">
        <f t="shared" si="32"/>
        <v>0</v>
      </c>
      <c r="X94" s="192"/>
    </row>
    <row r="95" spans="1:24" ht="12.75" customHeight="1">
      <c r="A95" s="2" t="s">
        <v>439</v>
      </c>
      <c r="B95" s="35"/>
      <c r="C95" s="178">
        <v>0</v>
      </c>
      <c r="D95" s="80">
        <f t="shared" si="23"/>
        <v>0</v>
      </c>
      <c r="E95" s="178">
        <v>0</v>
      </c>
      <c r="F95" s="80">
        <f t="shared" si="24"/>
        <v>0</v>
      </c>
      <c r="G95" s="178">
        <v>0</v>
      </c>
      <c r="H95" s="80">
        <f t="shared" si="25"/>
        <v>0</v>
      </c>
      <c r="I95" s="178">
        <v>0</v>
      </c>
      <c r="J95" s="80">
        <f t="shared" si="26"/>
        <v>0</v>
      </c>
      <c r="K95" s="178">
        <v>0</v>
      </c>
      <c r="L95" s="80">
        <f t="shared" si="27"/>
        <v>0</v>
      </c>
      <c r="M95" s="178">
        <v>0</v>
      </c>
      <c r="N95" s="80">
        <f t="shared" si="28"/>
        <v>0</v>
      </c>
      <c r="O95" s="178">
        <v>0</v>
      </c>
      <c r="P95" s="80">
        <f t="shared" si="29"/>
        <v>0</v>
      </c>
      <c r="Q95" s="178">
        <v>0</v>
      </c>
      <c r="R95" s="80">
        <f t="shared" si="30"/>
        <v>0</v>
      </c>
      <c r="S95" s="178">
        <v>0</v>
      </c>
      <c r="T95" s="80">
        <f t="shared" si="31"/>
        <v>0</v>
      </c>
      <c r="U95" s="178">
        <v>0</v>
      </c>
      <c r="V95" s="80">
        <f t="shared" si="32"/>
        <v>0</v>
      </c>
      <c r="X95" s="192"/>
    </row>
    <row r="96" spans="1:24" ht="12.75" customHeight="1">
      <c r="A96" s="2" t="s">
        <v>440</v>
      </c>
      <c r="B96" s="35"/>
      <c r="C96" s="178">
        <v>0</v>
      </c>
      <c r="D96" s="80">
        <f t="shared" si="23"/>
        <v>0</v>
      </c>
      <c r="E96" s="178">
        <v>0</v>
      </c>
      <c r="F96" s="80">
        <f t="shared" si="24"/>
        <v>0</v>
      </c>
      <c r="G96" s="178">
        <v>0</v>
      </c>
      <c r="H96" s="80">
        <f t="shared" si="25"/>
        <v>0</v>
      </c>
      <c r="I96" s="178">
        <v>0</v>
      </c>
      <c r="J96" s="80">
        <f t="shared" si="26"/>
        <v>0</v>
      </c>
      <c r="K96" s="178">
        <v>0</v>
      </c>
      <c r="L96" s="80">
        <f t="shared" si="27"/>
        <v>0</v>
      </c>
      <c r="M96" s="178">
        <v>0</v>
      </c>
      <c r="N96" s="80">
        <f t="shared" si="28"/>
        <v>0</v>
      </c>
      <c r="O96" s="178">
        <v>0</v>
      </c>
      <c r="P96" s="80">
        <f t="shared" si="29"/>
        <v>0</v>
      </c>
      <c r="Q96" s="178">
        <v>0</v>
      </c>
      <c r="R96" s="80">
        <f t="shared" si="30"/>
        <v>0</v>
      </c>
      <c r="S96" s="178">
        <v>0</v>
      </c>
      <c r="T96" s="80">
        <f t="shared" si="31"/>
        <v>0</v>
      </c>
      <c r="U96" s="178">
        <v>0</v>
      </c>
      <c r="V96" s="80">
        <f t="shared" si="32"/>
        <v>0</v>
      </c>
      <c r="X96" s="192"/>
    </row>
    <row r="97" spans="1:24" ht="12.75" customHeight="1">
      <c r="A97" s="2" t="s">
        <v>441</v>
      </c>
      <c r="B97" s="35"/>
      <c r="C97" s="178">
        <v>0</v>
      </c>
      <c r="D97" s="80">
        <f t="shared" si="23"/>
        <v>0</v>
      </c>
      <c r="E97" s="178">
        <v>12935.6</v>
      </c>
      <c r="F97" s="80">
        <f t="shared" si="24"/>
        <v>1.310996250126685E-2</v>
      </c>
      <c r="G97" s="178">
        <v>13340.502</v>
      </c>
      <c r="H97" s="80">
        <f t="shared" si="25"/>
        <v>1.3060561915894713E-2</v>
      </c>
      <c r="I97" s="178">
        <v>13728.357360000004</v>
      </c>
      <c r="J97" s="80">
        <f t="shared" si="26"/>
        <v>1.2982356370250346E-2</v>
      </c>
      <c r="K97" s="178">
        <v>14002.924507200001</v>
      </c>
      <c r="L97" s="80">
        <f t="shared" si="27"/>
        <v>1.2856314075393544E-2</v>
      </c>
      <c r="M97" s="178">
        <v>14336.073474695999</v>
      </c>
      <c r="N97" s="80">
        <f t="shared" si="28"/>
        <v>1.2778819022047543E-2</v>
      </c>
      <c r="O97" s="178">
        <v>14677.212683475718</v>
      </c>
      <c r="P97" s="80">
        <f t="shared" si="29"/>
        <v>1.2701846621986892E-2</v>
      </c>
      <c r="Q97" s="178">
        <v>14970.756937145232</v>
      </c>
      <c r="R97" s="80">
        <f t="shared" si="30"/>
        <v>1.2578527722744299E-2</v>
      </c>
      <c r="S97" s="178">
        <v>15275.34423465389</v>
      </c>
      <c r="T97" s="80">
        <f t="shared" si="31"/>
        <v>1.2460625202682743E-2</v>
      </c>
      <c r="U97" s="178">
        <v>15638.908601492569</v>
      </c>
      <c r="V97" s="80">
        <f t="shared" si="32"/>
        <v>1.2385628347153215E-2</v>
      </c>
      <c r="X97" s="192"/>
    </row>
    <row r="98" spans="1:24" ht="12.75" customHeight="1">
      <c r="A98" s="117" t="s">
        <v>444</v>
      </c>
      <c r="B98" s="35"/>
      <c r="C98" s="178">
        <v>0</v>
      </c>
      <c r="D98" s="80">
        <f t="shared" si="23"/>
        <v>0</v>
      </c>
      <c r="E98" s="178">
        <v>1184.04</v>
      </c>
      <c r="F98" s="80">
        <f t="shared" si="24"/>
        <v>1.1999999999999999E-3</v>
      </c>
      <c r="G98" s="178">
        <v>1225.7207999999998</v>
      </c>
      <c r="H98" s="80">
        <f t="shared" si="25"/>
        <v>1.1999999999999999E-3</v>
      </c>
      <c r="I98" s="178">
        <v>1268.9552159999998</v>
      </c>
      <c r="J98" s="80">
        <f t="shared" si="26"/>
        <v>1.1999999999999999E-3</v>
      </c>
      <c r="K98" s="178">
        <v>1307.0238724799999</v>
      </c>
      <c r="L98" s="80">
        <f t="shared" si="27"/>
        <v>1.1999999999999999E-3</v>
      </c>
      <c r="M98" s="178">
        <v>1346.2345886543999</v>
      </c>
      <c r="N98" s="80">
        <f t="shared" si="28"/>
        <v>1.1999999999999997E-3</v>
      </c>
      <c r="O98" s="178">
        <v>1386.6216263140323</v>
      </c>
      <c r="P98" s="80">
        <f t="shared" si="29"/>
        <v>1.1999999999999999E-3</v>
      </c>
      <c r="Q98" s="178">
        <v>1428.2202751034531</v>
      </c>
      <c r="R98" s="80">
        <f t="shared" si="30"/>
        <v>1.1999999999999997E-3</v>
      </c>
      <c r="S98" s="178">
        <v>1471.0668833565567</v>
      </c>
      <c r="T98" s="80">
        <f t="shared" si="31"/>
        <v>1.1999999999999999E-3</v>
      </c>
      <c r="U98" s="178">
        <v>1515.1988898572536</v>
      </c>
      <c r="V98" s="80">
        <f t="shared" si="32"/>
        <v>1.1999999999999999E-3</v>
      </c>
      <c r="X98" s="192"/>
    </row>
    <row r="99" spans="1:24" ht="12.75" customHeight="1">
      <c r="A99" s="117" t="s">
        <v>444</v>
      </c>
      <c r="B99" s="35"/>
      <c r="C99" s="178">
        <v>0</v>
      </c>
      <c r="D99" s="80">
        <f t="shared" si="23"/>
        <v>0</v>
      </c>
      <c r="E99" s="178">
        <v>0</v>
      </c>
      <c r="F99" s="80">
        <f t="shared" si="24"/>
        <v>0</v>
      </c>
      <c r="G99" s="178">
        <v>0</v>
      </c>
      <c r="H99" s="80">
        <f t="shared" si="25"/>
        <v>0</v>
      </c>
      <c r="I99" s="178">
        <v>0</v>
      </c>
      <c r="J99" s="80">
        <f t="shared" si="26"/>
        <v>0</v>
      </c>
      <c r="K99" s="178">
        <v>0</v>
      </c>
      <c r="L99" s="80">
        <f t="shared" si="27"/>
        <v>0</v>
      </c>
      <c r="M99" s="178">
        <v>0</v>
      </c>
      <c r="N99" s="80">
        <f t="shared" si="28"/>
        <v>0</v>
      </c>
      <c r="O99" s="178">
        <v>0</v>
      </c>
      <c r="P99" s="80">
        <f t="shared" si="29"/>
        <v>0</v>
      </c>
      <c r="Q99" s="178">
        <v>0</v>
      </c>
      <c r="R99" s="80">
        <f t="shared" si="30"/>
        <v>0</v>
      </c>
      <c r="S99" s="178">
        <v>0</v>
      </c>
      <c r="T99" s="80">
        <f t="shared" si="31"/>
        <v>0</v>
      </c>
      <c r="U99" s="178">
        <v>0</v>
      </c>
      <c r="V99" s="80">
        <f t="shared" si="32"/>
        <v>0</v>
      </c>
      <c r="X99" s="192"/>
    </row>
    <row r="100" spans="1:24" ht="12.75" customHeight="1">
      <c r="A100" s="117" t="s">
        <v>444</v>
      </c>
      <c r="B100" s="35"/>
      <c r="C100" s="178">
        <v>0</v>
      </c>
      <c r="D100" s="80">
        <f t="shared" si="23"/>
        <v>0</v>
      </c>
      <c r="E100" s="178">
        <v>0</v>
      </c>
      <c r="F100" s="80">
        <f t="shared" si="24"/>
        <v>0</v>
      </c>
      <c r="G100" s="178">
        <v>0</v>
      </c>
      <c r="H100" s="80">
        <f t="shared" si="25"/>
        <v>0</v>
      </c>
      <c r="I100" s="178">
        <v>0</v>
      </c>
      <c r="J100" s="80">
        <f t="shared" si="26"/>
        <v>0</v>
      </c>
      <c r="K100" s="178">
        <v>0</v>
      </c>
      <c r="L100" s="80">
        <f t="shared" si="27"/>
        <v>0</v>
      </c>
      <c r="M100" s="178">
        <v>0</v>
      </c>
      <c r="N100" s="80">
        <f t="shared" si="28"/>
        <v>0</v>
      </c>
      <c r="O100" s="178">
        <v>0</v>
      </c>
      <c r="P100" s="80">
        <f t="shared" si="29"/>
        <v>0</v>
      </c>
      <c r="Q100" s="178">
        <v>0</v>
      </c>
      <c r="R100" s="80">
        <f t="shared" si="30"/>
        <v>0</v>
      </c>
      <c r="S100" s="178">
        <v>0</v>
      </c>
      <c r="T100" s="80">
        <f t="shared" si="31"/>
        <v>0</v>
      </c>
      <c r="U100" s="178">
        <v>0</v>
      </c>
      <c r="V100" s="80">
        <f t="shared" si="32"/>
        <v>0</v>
      </c>
      <c r="X100" s="192"/>
    </row>
    <row r="101" spans="1:24" ht="12.75" customHeight="1">
      <c r="A101" s="2" t="s">
        <v>445</v>
      </c>
      <c r="B101" s="35"/>
      <c r="C101" s="178"/>
      <c r="D101" s="80">
        <f t="shared" si="23"/>
        <v>0</v>
      </c>
      <c r="E101" s="178"/>
      <c r="F101" s="80">
        <f t="shared" si="24"/>
        <v>0</v>
      </c>
      <c r="G101" s="178"/>
      <c r="H101" s="80">
        <f t="shared" si="25"/>
        <v>0</v>
      </c>
      <c r="I101" s="178">
        <v>0</v>
      </c>
      <c r="J101" s="80">
        <f t="shared" si="26"/>
        <v>0</v>
      </c>
      <c r="K101" s="178">
        <v>0</v>
      </c>
      <c r="L101" s="80">
        <f t="shared" si="27"/>
        <v>0</v>
      </c>
      <c r="M101" s="178">
        <v>0</v>
      </c>
      <c r="N101" s="80">
        <f t="shared" si="28"/>
        <v>0</v>
      </c>
      <c r="O101" s="178">
        <v>0</v>
      </c>
      <c r="P101" s="80">
        <f t="shared" si="29"/>
        <v>0</v>
      </c>
      <c r="Q101" s="178">
        <v>0</v>
      </c>
      <c r="R101" s="80">
        <f t="shared" si="30"/>
        <v>0</v>
      </c>
      <c r="S101" s="178">
        <v>0</v>
      </c>
      <c r="T101" s="80">
        <f t="shared" si="31"/>
        <v>0</v>
      </c>
      <c r="U101" s="178">
        <v>0</v>
      </c>
      <c r="V101" s="80">
        <f t="shared" si="32"/>
        <v>0</v>
      </c>
      <c r="X101" s="192"/>
    </row>
    <row r="102" spans="1:24" ht="12.75" customHeight="1">
      <c r="A102" s="117" t="s">
        <v>446</v>
      </c>
      <c r="B102" s="35"/>
      <c r="C102" s="178">
        <v>0</v>
      </c>
      <c r="D102" s="80">
        <f t="shared" si="23"/>
        <v>0</v>
      </c>
      <c r="E102" s="178">
        <v>9867</v>
      </c>
      <c r="F102" s="80">
        <f t="shared" si="24"/>
        <v>0.01</v>
      </c>
      <c r="G102" s="178">
        <v>10214.34</v>
      </c>
      <c r="H102" s="80">
        <f t="shared" si="25"/>
        <v>0.01</v>
      </c>
      <c r="I102" s="178">
        <v>10574.626800000002</v>
      </c>
      <c r="J102" s="80">
        <f t="shared" si="26"/>
        <v>1.0000000000000002E-2</v>
      </c>
      <c r="K102" s="178">
        <v>10891.865604000001</v>
      </c>
      <c r="L102" s="80">
        <f t="shared" si="27"/>
        <v>0.01</v>
      </c>
      <c r="M102" s="178">
        <v>11218.621572120001</v>
      </c>
      <c r="N102" s="80">
        <f t="shared" si="28"/>
        <v>0.01</v>
      </c>
      <c r="O102" s="178">
        <v>11555.180219283604</v>
      </c>
      <c r="P102" s="80">
        <f t="shared" si="29"/>
        <v>1.0000000000000002E-2</v>
      </c>
      <c r="Q102" s="178">
        <v>11901.835625862112</v>
      </c>
      <c r="R102" s="80">
        <f t="shared" si="30"/>
        <v>0.01</v>
      </c>
      <c r="S102" s="178">
        <v>12258.890694637974</v>
      </c>
      <c r="T102" s="80">
        <f t="shared" si="31"/>
        <v>0.01</v>
      </c>
      <c r="U102" s="178">
        <v>12626.657415477113</v>
      </c>
      <c r="V102" s="80">
        <f t="shared" si="32"/>
        <v>9.9999999999999985E-3</v>
      </c>
      <c r="X102" s="192"/>
    </row>
    <row r="103" spans="1:24" ht="12.75" customHeight="1">
      <c r="A103" s="117" t="s">
        <v>446</v>
      </c>
      <c r="B103" s="35"/>
      <c r="C103" s="178">
        <v>0</v>
      </c>
      <c r="D103" s="80">
        <f t="shared" si="23"/>
        <v>0</v>
      </c>
      <c r="E103" s="178">
        <v>0</v>
      </c>
      <c r="F103" s="80">
        <f t="shared" si="24"/>
        <v>0</v>
      </c>
      <c r="G103" s="178">
        <v>0</v>
      </c>
      <c r="H103" s="80">
        <f t="shared" si="25"/>
        <v>0</v>
      </c>
      <c r="I103" s="178">
        <v>0</v>
      </c>
      <c r="J103" s="80">
        <f t="shared" si="26"/>
        <v>0</v>
      </c>
      <c r="K103" s="178">
        <v>0</v>
      </c>
      <c r="L103" s="80">
        <f t="shared" si="27"/>
        <v>0</v>
      </c>
      <c r="M103" s="178">
        <v>0</v>
      </c>
      <c r="N103" s="80">
        <f t="shared" si="28"/>
        <v>0</v>
      </c>
      <c r="O103" s="178">
        <v>0</v>
      </c>
      <c r="P103" s="80">
        <f t="shared" si="29"/>
        <v>0</v>
      </c>
      <c r="Q103" s="178">
        <v>0</v>
      </c>
      <c r="R103" s="80">
        <f t="shared" si="30"/>
        <v>0</v>
      </c>
      <c r="S103" s="178">
        <v>0</v>
      </c>
      <c r="T103" s="80">
        <f t="shared" si="31"/>
        <v>0</v>
      </c>
      <c r="U103" s="178">
        <v>0</v>
      </c>
      <c r="V103" s="80">
        <f t="shared" si="32"/>
        <v>0</v>
      </c>
      <c r="X103" s="192"/>
    </row>
    <row r="104" spans="1:24" ht="12.75" customHeight="1">
      <c r="A104" s="117" t="s">
        <v>446</v>
      </c>
      <c r="B104" s="1"/>
      <c r="C104" s="178">
        <v>0</v>
      </c>
      <c r="D104" s="80">
        <f t="shared" si="23"/>
        <v>0</v>
      </c>
      <c r="E104" s="178">
        <v>0</v>
      </c>
      <c r="F104" s="80">
        <f t="shared" si="24"/>
        <v>0</v>
      </c>
      <c r="G104" s="178">
        <v>0</v>
      </c>
      <c r="H104" s="80">
        <f t="shared" si="25"/>
        <v>0</v>
      </c>
      <c r="I104" s="178">
        <v>0</v>
      </c>
      <c r="J104" s="80">
        <f t="shared" si="26"/>
        <v>0</v>
      </c>
      <c r="K104" s="178">
        <v>0</v>
      </c>
      <c r="L104" s="80">
        <f t="shared" si="27"/>
        <v>0</v>
      </c>
      <c r="M104" s="178">
        <v>0</v>
      </c>
      <c r="N104" s="80">
        <f t="shared" si="28"/>
        <v>0</v>
      </c>
      <c r="O104" s="178">
        <v>0</v>
      </c>
      <c r="P104" s="80">
        <f t="shared" si="29"/>
        <v>0</v>
      </c>
      <c r="Q104" s="178">
        <v>0</v>
      </c>
      <c r="R104" s="80">
        <f t="shared" si="30"/>
        <v>0</v>
      </c>
      <c r="S104" s="178">
        <v>0</v>
      </c>
      <c r="T104" s="80">
        <f t="shared" si="31"/>
        <v>0</v>
      </c>
      <c r="U104" s="178">
        <v>0</v>
      </c>
      <c r="V104" s="80">
        <f t="shared" si="32"/>
        <v>0</v>
      </c>
      <c r="X104" s="192"/>
    </row>
    <row r="105" spans="1:24" ht="12.75" customHeight="1">
      <c r="A105" s="1" t="s">
        <v>447</v>
      </c>
      <c r="B105" s="53"/>
      <c r="C105" s="82">
        <f>SUM(C52:C104)</f>
        <v>0</v>
      </c>
      <c r="D105" s="83">
        <f t="shared" ref="D105" si="33">IFERROR(C105/C$28,0)</f>
        <v>0</v>
      </c>
      <c r="E105" s="82">
        <f>SUM(E52:E104)</f>
        <v>104062.56565787757</v>
      </c>
      <c r="F105" s="83">
        <f t="shared" ref="F105" si="34">IFERROR(E105/E$28,0)</f>
        <v>0.10546525352982423</v>
      </c>
      <c r="G105" s="82">
        <f>SUM(G52:G104)</f>
        <v>107541.86068586035</v>
      </c>
      <c r="H105" s="83">
        <f t="shared" ref="H105" si="35">IFERROR(G105/G$28,0)</f>
        <v>0.10528517817681841</v>
      </c>
      <c r="I105" s="82">
        <f>SUM(I52:I104)</f>
        <v>111285.61389362234</v>
      </c>
      <c r="J105" s="83">
        <f t="shared" ref="J105" si="36">IFERROR(I105/I$28,0)</f>
        <v>0.10523833701026911</v>
      </c>
      <c r="K105" s="82">
        <f>SUM(K52:K104)</f>
        <v>114445.7910239862</v>
      </c>
      <c r="L105" s="83">
        <f t="shared" ref="L105" si="37">IFERROR(K105/K$28,0)</f>
        <v>0.10507455305173465</v>
      </c>
      <c r="M105" s="82">
        <f>SUM(M52:M104)</f>
        <v>117815.31601467423</v>
      </c>
      <c r="N105" s="83">
        <f t="shared" ref="N105" si="38">IFERROR(M105/M$28,0)</f>
        <v>0.10501763987428135</v>
      </c>
      <c r="O105" s="82">
        <f>SUM(O52:O104)</f>
        <v>121289.96430331602</v>
      </c>
      <c r="P105" s="83">
        <f t="shared" ref="P105" si="39">IFERROR(O105/O$28,0)</f>
        <v>0.10496587850780899</v>
      </c>
      <c r="Q105" s="82">
        <f>SUM(Q52:Q104)</f>
        <v>124824.72335536192</v>
      </c>
      <c r="R105" s="83">
        <f t="shared" ref="R105" si="40">IFERROR(Q105/Q$28,0)</f>
        <v>0.10487854754448453</v>
      </c>
      <c r="S105" s="82">
        <f>SUM(S52:S104)</f>
        <v>128467.96939307437</v>
      </c>
      <c r="T105" s="83">
        <f t="shared" ref="T105" si="41">IFERROR(S105/S$28,0)</f>
        <v>0.10479575403120783</v>
      </c>
      <c r="U105" s="82">
        <f>SUM(U52:U104)</f>
        <v>132274.68386082115</v>
      </c>
      <c r="V105" s="83">
        <f t="shared" si="32"/>
        <v>0.10475827410878003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448</v>
      </c>
      <c r="B107" s="53"/>
      <c r="C107" s="82">
        <f>C28-C33-C46-C105</f>
        <v>0</v>
      </c>
      <c r="D107" s="83">
        <f>IFERROR(C107/C$28,0)</f>
        <v>0</v>
      </c>
      <c r="E107" s="82">
        <f>E28-E33-E46-E105</f>
        <v>287665.4343421224</v>
      </c>
      <c r="F107" s="83">
        <f>IFERROR(E107/E$28,0)</f>
        <v>0.29154295565229799</v>
      </c>
      <c r="G107" s="82">
        <f>G28-G33-G46-G105</f>
        <v>298174.05931413971</v>
      </c>
      <c r="H107" s="83">
        <f>IFERROR(G107/G$28,0)</f>
        <v>0.29191710802082144</v>
      </c>
      <c r="I107" s="82">
        <f>I28-I33-I46-I105</f>
        <v>309770.20658637746</v>
      </c>
      <c r="J107" s="83">
        <f>IFERROR(I107/I$28,0)</f>
        <v>0.29293724728552828</v>
      </c>
      <c r="K107" s="82">
        <f>K28-K33-K46-K105</f>
        <v>322928.81266561383</v>
      </c>
      <c r="L107" s="83">
        <f>IFERROR(K107/K$28,0)</f>
        <v>0.2964862259657513</v>
      </c>
      <c r="M107" s="82">
        <f>M28-M33-M46-M105</f>
        <v>335026.26965300587</v>
      </c>
      <c r="N107" s="83">
        <f>IFERROR(M107/M$28,0)</f>
        <v>0.298634076833109</v>
      </c>
      <c r="O107" s="82">
        <f>O28-O33-O46-O105</f>
        <v>347536.60321363294</v>
      </c>
      <c r="P107" s="83">
        <f>IFERROR(O107/O$28,0)</f>
        <v>0.30076259878115474</v>
      </c>
      <c r="Q107" s="82">
        <f>Q28-Q33-Q46-Q105</f>
        <v>362008.36926128989</v>
      </c>
      <c r="R107" s="83">
        <f>IFERROR(Q107/Q$28,0)</f>
        <v>0.30416179540798166</v>
      </c>
      <c r="S107" s="82">
        <f>S28-S33-S46-S105</f>
        <v>376862.95083437476</v>
      </c>
      <c r="T107" s="83">
        <f>IFERROR(S107/S$28,0)</f>
        <v>0.30742010857410956</v>
      </c>
      <c r="U107" s="82">
        <f>U28-U33-U46-U105</f>
        <v>390770.96524821513</v>
      </c>
      <c r="V107" s="83">
        <f>IFERROR(U107/U$28,0)</f>
        <v>0.30948092784178016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449</v>
      </c>
      <c r="B110" s="40"/>
      <c r="C110" s="86" t="str">
        <f>C50</f>
        <v>FY 2018-19</v>
      </c>
      <c r="D110" s="86" t="s">
        <v>366</v>
      </c>
      <c r="E110" s="86" t="str">
        <f>E50</f>
        <v>FY 2019-20</v>
      </c>
      <c r="F110" s="86" t="s">
        <v>366</v>
      </c>
      <c r="G110" s="86" t="str">
        <f>G50</f>
        <v>FY 2020-21</v>
      </c>
      <c r="H110" s="86" t="s">
        <v>366</v>
      </c>
      <c r="I110" s="86" t="str">
        <f>I50</f>
        <v>FY 2021-22</v>
      </c>
      <c r="J110" s="86" t="s">
        <v>366</v>
      </c>
      <c r="K110" s="86" t="str">
        <f>K50</f>
        <v>FY 2022-23</v>
      </c>
      <c r="L110" s="86" t="s">
        <v>366</v>
      </c>
      <c r="M110" s="86" t="str">
        <f>M50</f>
        <v>FY 2023-24</v>
      </c>
      <c r="N110" s="86" t="s">
        <v>366</v>
      </c>
      <c r="O110" s="86" t="str">
        <f>O50</f>
        <v>FY 2024-25</v>
      </c>
      <c r="P110" s="86" t="s">
        <v>366</v>
      </c>
      <c r="Q110" s="86" t="str">
        <f>Q50</f>
        <v>FY 2025-26</v>
      </c>
      <c r="R110" s="86" t="s">
        <v>366</v>
      </c>
      <c r="S110" s="86" t="str">
        <f>S50</f>
        <v>FY 2026-27</v>
      </c>
      <c r="T110" s="86" t="s">
        <v>366</v>
      </c>
      <c r="U110" s="86" t="str">
        <f>U50</f>
        <v>FY 2027-28</v>
      </c>
      <c r="V110" s="86" t="s">
        <v>366</v>
      </c>
    </row>
    <row r="111" spans="1:24" ht="12.75" customHeight="1">
      <c r="A111" s="2" t="s">
        <v>403</v>
      </c>
      <c r="B111" s="35"/>
      <c r="C111" s="79">
        <f>C59</f>
        <v>0</v>
      </c>
      <c r="D111" s="80">
        <f t="shared" ref="D111:D116" si="42">IFERROR(C111/C$28,0)</f>
        <v>0</v>
      </c>
      <c r="E111" s="79">
        <f>E59</f>
        <v>0</v>
      </c>
      <c r="F111" s="80">
        <f t="shared" ref="F111:F116" si="43">IFERROR(E111/E$28,0)</f>
        <v>0</v>
      </c>
      <c r="G111" s="79">
        <f>G59</f>
        <v>0</v>
      </c>
      <c r="H111" s="80">
        <f t="shared" ref="H111:H116" si="44">IFERROR(G111/G$28,0)</f>
        <v>0</v>
      </c>
      <c r="I111" s="79">
        <f>I59</f>
        <v>0</v>
      </c>
      <c r="J111" s="80">
        <f t="shared" ref="J111:J116" si="45">IFERROR(I111/I$28,0)</f>
        <v>0</v>
      </c>
      <c r="K111" s="79">
        <f>K59</f>
        <v>0</v>
      </c>
      <c r="L111" s="80">
        <f t="shared" ref="L111:L116" si="46">IFERROR(K111/K$28,0)</f>
        <v>0</v>
      </c>
      <c r="M111" s="79">
        <f>M59</f>
        <v>0</v>
      </c>
      <c r="N111" s="80">
        <f t="shared" ref="N111:N116" si="47">IFERROR(M111/M$28,0)</f>
        <v>0</v>
      </c>
      <c r="O111" s="79">
        <f>O59</f>
        <v>0</v>
      </c>
      <c r="P111" s="80">
        <f t="shared" ref="P111:P116" si="48">IFERROR(O111/O$28,0)</f>
        <v>0</v>
      </c>
      <c r="Q111" s="79">
        <f>Q59</f>
        <v>0</v>
      </c>
      <c r="R111" s="80">
        <f t="shared" ref="R111:R116" si="49">IFERROR(Q111/Q$28,0)</f>
        <v>0</v>
      </c>
      <c r="S111" s="79">
        <f>S59</f>
        <v>0</v>
      </c>
      <c r="T111" s="80">
        <f t="shared" ref="T111:T116" si="50">IFERROR(S111/S$28,0)</f>
        <v>0</v>
      </c>
      <c r="U111" s="79">
        <f>U59</f>
        <v>0</v>
      </c>
      <c r="V111" s="80">
        <f t="shared" ref="V111:V116" si="51">IFERROR(U111/U$28,0)</f>
        <v>0</v>
      </c>
    </row>
    <row r="112" spans="1:24" ht="12.75" customHeight="1">
      <c r="A112" s="2" t="s">
        <v>450</v>
      </c>
      <c r="B112" s="35"/>
      <c r="C112" s="79">
        <f>C62</f>
        <v>0</v>
      </c>
      <c r="D112" s="80">
        <f t="shared" si="42"/>
        <v>0</v>
      </c>
      <c r="E112" s="79">
        <f>E62</f>
        <v>0</v>
      </c>
      <c r="F112" s="80">
        <f t="shared" si="43"/>
        <v>0</v>
      </c>
      <c r="G112" s="79">
        <f>G62</f>
        <v>0</v>
      </c>
      <c r="H112" s="80">
        <f t="shared" si="44"/>
        <v>0</v>
      </c>
      <c r="I112" s="79">
        <f>I62</f>
        <v>0</v>
      </c>
      <c r="J112" s="80">
        <f t="shared" si="45"/>
        <v>0</v>
      </c>
      <c r="K112" s="79">
        <f>K62</f>
        <v>0</v>
      </c>
      <c r="L112" s="80">
        <f t="shared" si="46"/>
        <v>0</v>
      </c>
      <c r="M112" s="79">
        <f>M62</f>
        <v>0</v>
      </c>
      <c r="N112" s="80">
        <f t="shared" si="47"/>
        <v>0</v>
      </c>
      <c r="O112" s="79">
        <f>O62</f>
        <v>0</v>
      </c>
      <c r="P112" s="80">
        <f t="shared" si="48"/>
        <v>0</v>
      </c>
      <c r="Q112" s="79">
        <f>Q62</f>
        <v>0</v>
      </c>
      <c r="R112" s="80">
        <f t="shared" si="49"/>
        <v>0</v>
      </c>
      <c r="S112" s="79">
        <f>S62</f>
        <v>0</v>
      </c>
      <c r="T112" s="80">
        <f t="shared" si="50"/>
        <v>0</v>
      </c>
      <c r="U112" s="79">
        <f>U62</f>
        <v>0</v>
      </c>
      <c r="V112" s="80">
        <f t="shared" si="51"/>
        <v>0</v>
      </c>
    </row>
    <row r="113" spans="1:22" ht="12.75" customHeight="1">
      <c r="A113" s="117" t="s">
        <v>446</v>
      </c>
      <c r="B113" s="41"/>
      <c r="C113" s="111">
        <v>0</v>
      </c>
      <c r="D113" s="80">
        <f t="shared" si="42"/>
        <v>0</v>
      </c>
      <c r="E113" s="111">
        <v>0</v>
      </c>
      <c r="F113" s="80">
        <f t="shared" si="43"/>
        <v>0</v>
      </c>
      <c r="G113" s="111">
        <v>0</v>
      </c>
      <c r="H113" s="80">
        <f t="shared" si="44"/>
        <v>0</v>
      </c>
      <c r="I113" s="111">
        <v>0</v>
      </c>
      <c r="J113" s="80">
        <f t="shared" si="45"/>
        <v>0</v>
      </c>
      <c r="K113" s="111">
        <v>0</v>
      </c>
      <c r="L113" s="80">
        <f t="shared" si="46"/>
        <v>0</v>
      </c>
      <c r="M113" s="111">
        <v>0</v>
      </c>
      <c r="N113" s="80">
        <f t="shared" si="47"/>
        <v>0</v>
      </c>
      <c r="O113" s="111">
        <v>0</v>
      </c>
      <c r="P113" s="80">
        <f t="shared" si="48"/>
        <v>0</v>
      </c>
      <c r="Q113" s="111">
        <v>0</v>
      </c>
      <c r="R113" s="80">
        <f t="shared" si="49"/>
        <v>0</v>
      </c>
      <c r="S113" s="111">
        <v>0</v>
      </c>
      <c r="T113" s="80">
        <f t="shared" si="50"/>
        <v>0</v>
      </c>
      <c r="U113" s="111">
        <v>0</v>
      </c>
      <c r="V113" s="80">
        <f t="shared" si="51"/>
        <v>0</v>
      </c>
    </row>
    <row r="114" spans="1:22" ht="12.75" customHeight="1">
      <c r="A114" s="117" t="s">
        <v>446</v>
      </c>
      <c r="B114" s="41"/>
      <c r="C114" s="111">
        <v>0</v>
      </c>
      <c r="D114" s="80">
        <f t="shared" si="42"/>
        <v>0</v>
      </c>
      <c r="E114" s="111">
        <v>0</v>
      </c>
      <c r="F114" s="80">
        <f t="shared" si="43"/>
        <v>0</v>
      </c>
      <c r="G114" s="111">
        <v>0</v>
      </c>
      <c r="H114" s="80">
        <f t="shared" si="44"/>
        <v>0</v>
      </c>
      <c r="I114" s="111">
        <v>0</v>
      </c>
      <c r="J114" s="80">
        <f t="shared" si="45"/>
        <v>0</v>
      </c>
      <c r="K114" s="111">
        <v>0</v>
      </c>
      <c r="L114" s="80">
        <f t="shared" si="46"/>
        <v>0</v>
      </c>
      <c r="M114" s="111">
        <v>0</v>
      </c>
      <c r="N114" s="80">
        <f t="shared" si="47"/>
        <v>0</v>
      </c>
      <c r="O114" s="111">
        <v>0</v>
      </c>
      <c r="P114" s="80">
        <f t="shared" si="48"/>
        <v>0</v>
      </c>
      <c r="Q114" s="111">
        <v>0</v>
      </c>
      <c r="R114" s="80">
        <f t="shared" si="49"/>
        <v>0</v>
      </c>
      <c r="S114" s="111">
        <v>0</v>
      </c>
      <c r="T114" s="80">
        <f t="shared" si="50"/>
        <v>0</v>
      </c>
      <c r="U114" s="111">
        <v>0</v>
      </c>
      <c r="V114" s="80">
        <f t="shared" si="51"/>
        <v>0</v>
      </c>
    </row>
    <row r="115" spans="1:22" ht="12.75" customHeight="1">
      <c r="A115" s="117" t="s">
        <v>446</v>
      </c>
      <c r="B115" s="41"/>
      <c r="C115" s="112">
        <v>0</v>
      </c>
      <c r="D115" s="80">
        <f t="shared" si="42"/>
        <v>0</v>
      </c>
      <c r="E115" s="112">
        <v>0</v>
      </c>
      <c r="F115" s="80">
        <f t="shared" si="43"/>
        <v>0</v>
      </c>
      <c r="G115" s="112">
        <v>0</v>
      </c>
      <c r="H115" s="80">
        <f t="shared" si="44"/>
        <v>0</v>
      </c>
      <c r="I115" s="112">
        <v>0</v>
      </c>
      <c r="J115" s="80">
        <f t="shared" si="45"/>
        <v>0</v>
      </c>
      <c r="K115" s="112">
        <v>0</v>
      </c>
      <c r="L115" s="80">
        <f t="shared" si="46"/>
        <v>0</v>
      </c>
      <c r="M115" s="112">
        <v>0</v>
      </c>
      <c r="N115" s="80">
        <f t="shared" si="47"/>
        <v>0</v>
      </c>
      <c r="O115" s="112">
        <v>0</v>
      </c>
      <c r="P115" s="80">
        <f t="shared" si="48"/>
        <v>0</v>
      </c>
      <c r="Q115" s="112">
        <v>0</v>
      </c>
      <c r="R115" s="80">
        <f t="shared" si="49"/>
        <v>0</v>
      </c>
      <c r="S115" s="112">
        <v>0</v>
      </c>
      <c r="T115" s="80">
        <f t="shared" si="50"/>
        <v>0</v>
      </c>
      <c r="U115" s="112">
        <v>0</v>
      </c>
      <c r="V115" s="80">
        <f t="shared" si="51"/>
        <v>0</v>
      </c>
    </row>
    <row r="116" spans="1:22" ht="12.75" customHeight="1">
      <c r="A116" s="40" t="s">
        <v>451</v>
      </c>
      <c r="B116" s="42"/>
      <c r="C116" s="85">
        <f>SUM(C111:C115)</f>
        <v>0</v>
      </c>
      <c r="D116" s="83">
        <f t="shared" si="42"/>
        <v>0</v>
      </c>
      <c r="E116" s="85">
        <f>SUM(E111:E115)</f>
        <v>0</v>
      </c>
      <c r="F116" s="83">
        <f t="shared" si="43"/>
        <v>0</v>
      </c>
      <c r="G116" s="85">
        <f>SUM(G111:G115)</f>
        <v>0</v>
      </c>
      <c r="H116" s="83">
        <f t="shared" si="44"/>
        <v>0</v>
      </c>
      <c r="I116" s="85">
        <f>SUM(I111:I115)</f>
        <v>0</v>
      </c>
      <c r="J116" s="83">
        <f t="shared" si="45"/>
        <v>0</v>
      </c>
      <c r="K116" s="85">
        <f>SUM(K111:K115)</f>
        <v>0</v>
      </c>
      <c r="L116" s="83">
        <f t="shared" si="46"/>
        <v>0</v>
      </c>
      <c r="M116" s="85">
        <f>SUM(M111:M115)</f>
        <v>0</v>
      </c>
      <c r="N116" s="83">
        <f t="shared" si="47"/>
        <v>0</v>
      </c>
      <c r="O116" s="85">
        <f>SUM(O111:O115)</f>
        <v>0</v>
      </c>
      <c r="P116" s="83">
        <f t="shared" si="48"/>
        <v>0</v>
      </c>
      <c r="Q116" s="85">
        <f>SUM(Q111:Q115)</f>
        <v>0</v>
      </c>
      <c r="R116" s="83">
        <f t="shared" si="49"/>
        <v>0</v>
      </c>
      <c r="S116" s="85">
        <f>SUM(S111:S115)</f>
        <v>0</v>
      </c>
      <c r="T116" s="83">
        <f t="shared" si="50"/>
        <v>0</v>
      </c>
      <c r="U116" s="85">
        <f>SUM(U111:U115)</f>
        <v>0</v>
      </c>
      <c r="V116" s="83">
        <f t="shared" si="51"/>
        <v>0</v>
      </c>
    </row>
    <row r="118" spans="1:22" ht="12.75" customHeight="1">
      <c r="A118" s="43" t="s">
        <v>452</v>
      </c>
      <c r="B118" s="43"/>
    </row>
    <row r="119" spans="1:22" ht="12.75" customHeight="1">
      <c r="A119" s="47" t="s">
        <v>512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7" tint="0.59999389629810485"/>
  </sheetPr>
  <dimension ref="A1:X119"/>
  <sheetViews>
    <sheetView topLeftCell="B9" zoomScale="70" zoomScaleNormal="70" workbookViewId="0" xr3:uid="{701D7CAA-229E-5CB1-96B2-8F6C91020655}">
      <selection activeCell="W59" sqref="W59"/>
    </sheetView>
  </sheetViews>
  <sheetFormatPr defaultColWidth="9.140625" defaultRowHeight="12.75" customHeight="1"/>
  <cols>
    <col min="1" max="1" width="9.5703125" style="2" customWidth="1"/>
    <col min="2" max="2" width="43.85546875" style="2" customWidth="1"/>
    <col min="3" max="3" width="12.7109375" style="2" customWidth="1"/>
    <col min="4" max="4" width="8.7109375" style="2" customWidth="1"/>
    <col min="5" max="5" width="14" style="2" customWidth="1"/>
    <col min="6" max="6" width="8.7109375" style="2" customWidth="1"/>
    <col min="7" max="7" width="14" style="2" customWidth="1"/>
    <col min="8" max="8" width="8.7109375" style="2" customWidth="1"/>
    <col min="9" max="9" width="13.85546875" style="2" bestFit="1" customWidth="1"/>
    <col min="10" max="10" width="8.7109375" style="2" customWidth="1"/>
    <col min="11" max="11" width="13.85546875" style="2" bestFit="1" customWidth="1"/>
    <col min="12" max="12" width="8.7109375" style="2" customWidth="1"/>
    <col min="13" max="13" width="14.28515625" style="2" bestFit="1" customWidth="1"/>
    <col min="14" max="14" width="8.7109375" style="2" customWidth="1"/>
    <col min="15" max="15" width="14.85546875" style="2" bestFit="1" customWidth="1"/>
    <col min="16" max="16" width="8.7109375" style="2" customWidth="1"/>
    <col min="17" max="17" width="14.85546875" style="2" bestFit="1" customWidth="1"/>
    <col min="18" max="18" width="8.7109375" style="2" customWidth="1"/>
    <col min="19" max="19" width="13.85546875" style="2" bestFit="1" customWidth="1"/>
    <col min="20" max="20" width="8.7109375" style="2" customWidth="1"/>
    <col min="21" max="21" width="14.85546875" style="2" bestFit="1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355</v>
      </c>
      <c r="G2" s="33" t="s">
        <v>60</v>
      </c>
      <c r="H2" s="34"/>
      <c r="I2" s="34"/>
      <c r="V2" s="32"/>
    </row>
    <row r="3" spans="1:22" ht="12.75" customHeight="1">
      <c r="A3" s="1" t="s">
        <v>357</v>
      </c>
      <c r="D3" s="118" t="s">
        <v>358</v>
      </c>
      <c r="G3" s="115" t="str">
        <f>+G2</f>
        <v>Panera</v>
      </c>
      <c r="H3" s="116"/>
      <c r="I3" s="116"/>
      <c r="V3" s="32"/>
    </row>
    <row r="4" spans="1:22" ht="12.75" customHeight="1">
      <c r="A4" s="1" t="s">
        <v>359</v>
      </c>
      <c r="B4" s="109" t="s">
        <v>221</v>
      </c>
      <c r="D4" s="118" t="s">
        <v>360</v>
      </c>
      <c r="G4" s="115" t="s">
        <v>65</v>
      </c>
      <c r="H4" s="116"/>
      <c r="I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361</v>
      </c>
      <c r="B7" s="1"/>
    </row>
    <row r="8" spans="1:22" ht="12.75" customHeight="1">
      <c r="A8" s="2" t="s">
        <v>362</v>
      </c>
      <c r="C8" s="109">
        <v>271</v>
      </c>
      <c r="E8" s="109">
        <f>+C8</f>
        <v>271</v>
      </c>
      <c r="G8" s="109">
        <f>+E8</f>
        <v>271</v>
      </c>
      <c r="I8" s="109">
        <f>+G8</f>
        <v>271</v>
      </c>
      <c r="K8" s="109">
        <f>+I8</f>
        <v>271</v>
      </c>
      <c r="M8" s="109">
        <f>+K8</f>
        <v>271</v>
      </c>
      <c r="O8" s="109">
        <f>+M8</f>
        <v>271</v>
      </c>
      <c r="Q8" s="109">
        <f>+O8</f>
        <v>271</v>
      </c>
      <c r="S8" s="109">
        <f>+Q8</f>
        <v>271</v>
      </c>
      <c r="U8" s="109">
        <f>+S8</f>
        <v>271</v>
      </c>
    </row>
    <row r="10" spans="1:22" ht="12.75" customHeight="1">
      <c r="A10" s="2" t="s">
        <v>462</v>
      </c>
      <c r="C10" s="109"/>
      <c r="E10" s="201">
        <f>+E14/E8/E12</f>
        <v>574.00574005740054</v>
      </c>
      <c r="F10" s="202"/>
      <c r="G10" s="201">
        <f>+G14/G8/G12</f>
        <v>593.66781513118997</v>
      </c>
      <c r="H10" s="202"/>
      <c r="I10" s="201">
        <f>+I14/I8/I12</f>
        <v>614.0221402214022</v>
      </c>
      <c r="J10" s="202"/>
      <c r="K10" s="201">
        <f>+K14/K8/K12</f>
        <v>628.98683281914782</v>
      </c>
      <c r="L10" s="202"/>
      <c r="M10" s="201">
        <f>+M14/M8/M12</f>
        <v>644.33547890261514</v>
      </c>
      <c r="N10" s="202"/>
      <c r="O10" s="201">
        <f t="shared" ref="O10" si="0">+O14/O8/O12</f>
        <v>660.07816195472219</v>
      </c>
      <c r="P10" s="202"/>
      <c r="Q10" s="201">
        <f t="shared" ref="Q10" si="1">+Q14/Q8/Q12</f>
        <v>676.2252352713565</v>
      </c>
      <c r="R10" s="202"/>
      <c r="S10" s="201">
        <f>+S14/S8/S12</f>
        <v>692.78732926891166</v>
      </c>
      <c r="T10" s="202"/>
      <c r="U10" s="201">
        <f>+U14/U8/U12</f>
        <v>709.77535899194197</v>
      </c>
    </row>
    <row r="12" spans="1:22" ht="12.75" customHeight="1">
      <c r="A12" s="2" t="s">
        <v>463</v>
      </c>
      <c r="C12" s="110"/>
      <c r="E12" s="110">
        <v>9</v>
      </c>
      <c r="G12" s="110">
        <v>9.0500000000000007</v>
      </c>
      <c r="I12" s="110">
        <v>9.1</v>
      </c>
      <c r="K12" s="110">
        <v>9.15</v>
      </c>
      <c r="M12" s="110">
        <v>9.1999999999999993</v>
      </c>
      <c r="O12" s="110">
        <v>9.25</v>
      </c>
      <c r="Q12" s="110">
        <v>9.3000000000000007</v>
      </c>
      <c r="S12" s="110">
        <v>9.35</v>
      </c>
      <c r="U12" s="110">
        <v>9.4</v>
      </c>
    </row>
    <row r="14" spans="1:22" ht="12.75" customHeight="1">
      <c r="A14" s="2" t="s">
        <v>464</v>
      </c>
      <c r="C14" s="121"/>
      <c r="E14" s="198">
        <v>1400000</v>
      </c>
      <c r="F14" s="12"/>
      <c r="G14" s="198">
        <f>+E14*1.04</f>
        <v>1456000</v>
      </c>
      <c r="H14" s="12"/>
      <c r="I14" s="198">
        <f>+G14*1.04</f>
        <v>1514240</v>
      </c>
      <c r="J14" s="12"/>
      <c r="K14" s="198">
        <f>+I14*1.03</f>
        <v>1559667.2</v>
      </c>
      <c r="L14" s="12"/>
      <c r="M14" s="198">
        <f>+K14*1.03</f>
        <v>1606457.216</v>
      </c>
      <c r="N14" s="12"/>
      <c r="O14" s="198">
        <f>+M14*1.03</f>
        <v>1654650.93248</v>
      </c>
      <c r="P14" s="12"/>
      <c r="Q14" s="198">
        <f>+O14*1.03</f>
        <v>1704290.4604543999</v>
      </c>
      <c r="R14" s="12"/>
      <c r="S14" s="198">
        <f>+Q14*1.03</f>
        <v>1755419.174268032</v>
      </c>
      <c r="T14" s="12"/>
      <c r="U14" s="198">
        <f>+S14*1.03</f>
        <v>1808081.749496073</v>
      </c>
    </row>
    <row r="15" spans="1:22" ht="12.75" customHeight="1">
      <c r="A15" s="39">
        <v>0.05</v>
      </c>
    </row>
    <row r="16" spans="1:22" ht="12.75" customHeight="1">
      <c r="B16" s="35"/>
      <c r="C16" s="86" t="str">
        <f>C6</f>
        <v>FY 2018-19</v>
      </c>
      <c r="D16" s="86" t="s">
        <v>366</v>
      </c>
      <c r="E16" s="86" t="str">
        <f>E6</f>
        <v>FY 2019-20</v>
      </c>
      <c r="F16" s="86" t="s">
        <v>366</v>
      </c>
      <c r="G16" s="86" t="str">
        <f>G6</f>
        <v>FY 2020-21</v>
      </c>
      <c r="H16" s="86" t="s">
        <v>366</v>
      </c>
      <c r="I16" s="86" t="str">
        <f>I6</f>
        <v>FY 2021-22</v>
      </c>
      <c r="J16" s="86" t="s">
        <v>366</v>
      </c>
      <c r="K16" s="86" t="str">
        <f>K6</f>
        <v>FY 2022-23</v>
      </c>
      <c r="L16" s="86" t="s">
        <v>366</v>
      </c>
      <c r="M16" s="86" t="str">
        <f>M6</f>
        <v>FY 2023-24</v>
      </c>
      <c r="N16" s="86" t="s">
        <v>366</v>
      </c>
      <c r="O16" s="86" t="str">
        <f>O6</f>
        <v>FY 2024-25</v>
      </c>
      <c r="P16" s="86" t="s">
        <v>366</v>
      </c>
      <c r="Q16" s="86" t="str">
        <f>Q6</f>
        <v>FY 2025-26</v>
      </c>
      <c r="R16" s="86" t="s">
        <v>366</v>
      </c>
      <c r="S16" s="86" t="str">
        <f>S6</f>
        <v>FY 2026-27</v>
      </c>
      <c r="T16" s="86" t="s">
        <v>366</v>
      </c>
      <c r="U16" s="86" t="str">
        <f>U6</f>
        <v>FY 2027-28</v>
      </c>
      <c r="V16" s="86" t="s">
        <v>366</v>
      </c>
    </row>
    <row r="17" spans="1:24" ht="12.75" customHeight="1">
      <c r="A17" s="1" t="s">
        <v>367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368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369</v>
      </c>
      <c r="B19" s="35"/>
      <c r="C19" s="200">
        <f>+C14-C20</f>
        <v>0</v>
      </c>
      <c r="D19" s="80">
        <f>IFERROR(C19/C$28,0)</f>
        <v>0</v>
      </c>
      <c r="E19" s="200">
        <f>+E14-E20</f>
        <v>1176000</v>
      </c>
      <c r="F19" s="80">
        <f>IFERROR(E19/E$28,0)</f>
        <v>0.84</v>
      </c>
      <c r="G19" s="200">
        <f>+G14-G20</f>
        <v>1227520</v>
      </c>
      <c r="H19" s="80">
        <f>IFERROR(G19/G$28,0)</f>
        <v>0.84307692307692306</v>
      </c>
      <c r="I19" s="200">
        <f>+I14-I20</f>
        <v>1281190.3999999999</v>
      </c>
      <c r="J19" s="80">
        <f>IFERROR(I19/I$28,0)</f>
        <v>0.84609467455621301</v>
      </c>
      <c r="K19" s="200">
        <f>+K14-K20</f>
        <v>1321956.608</v>
      </c>
      <c r="L19" s="80">
        <f>IFERROR(K19/K$28,0)</f>
        <v>0.84758890101683237</v>
      </c>
      <c r="M19" s="200">
        <f>+M14-M20</f>
        <v>1363992.4121600001</v>
      </c>
      <c r="N19" s="80">
        <f>IFERROR(M19/M$28,0)</f>
        <v>0.84906862042443587</v>
      </c>
      <c r="O19" s="200">
        <f>+O14-O20</f>
        <v>1407336.8325632</v>
      </c>
      <c r="P19" s="80">
        <f>IFERROR(O19/O$28,0)</f>
        <v>0.85053397362419869</v>
      </c>
      <c r="Q19" s="200">
        <f>+Q14-Q20</f>
        <v>1452030.0785392639</v>
      </c>
      <c r="R19" s="80">
        <f>IFERROR(Q19/Q$28,0)</f>
        <v>0.85198510009386663</v>
      </c>
      <c r="S19" s="200">
        <f>+S14-S20</f>
        <v>1498113.5847145931</v>
      </c>
      <c r="T19" s="80">
        <f>IFERROR(S19/S$28,0)</f>
        <v>0.85342213795703292</v>
      </c>
      <c r="U19" s="200">
        <f>+U14-U20</f>
        <v>1545630.0481515655</v>
      </c>
      <c r="V19" s="80">
        <f>IFERROR(U19/U$28,0)</f>
        <v>0.85484522399628504</v>
      </c>
    </row>
    <row r="20" spans="1:24" ht="12.75" customHeight="1">
      <c r="A20" s="2" t="s">
        <v>370</v>
      </c>
      <c r="B20" s="35"/>
      <c r="C20" s="111">
        <f>+C14*12.38%</f>
        <v>0</v>
      </c>
      <c r="D20" s="80">
        <f>IFERROR(C20/C$28,0)</f>
        <v>0</v>
      </c>
      <c r="E20" s="111">
        <f>+E14*16%</f>
        <v>224000</v>
      </c>
      <c r="F20" s="80">
        <f>IFERROR(E20/E$28,0)</f>
        <v>0.16</v>
      </c>
      <c r="G20" s="111">
        <f t="shared" ref="G20:U21" si="2">E20*1.02</f>
        <v>228480</v>
      </c>
      <c r="H20" s="80">
        <f>IFERROR(G20/G$28,0)</f>
        <v>0.15692307692307692</v>
      </c>
      <c r="I20" s="111">
        <f t="shared" si="2"/>
        <v>233049.60000000001</v>
      </c>
      <c r="J20" s="80">
        <f>IFERROR(I20/I$28,0)</f>
        <v>0.15390532544378699</v>
      </c>
      <c r="K20" s="111">
        <f t="shared" si="2"/>
        <v>237710.592</v>
      </c>
      <c r="L20" s="80">
        <f>IFERROR(K20/K$28,0)</f>
        <v>0.15241109898316771</v>
      </c>
      <c r="M20" s="111">
        <f t="shared" si="2"/>
        <v>242464.80384000001</v>
      </c>
      <c r="N20" s="80">
        <f>IFERROR(M20/M$28,0)</f>
        <v>0.15093137957556413</v>
      </c>
      <c r="O20" s="111">
        <f t="shared" si="2"/>
        <v>247314.09991680001</v>
      </c>
      <c r="P20" s="80">
        <f>IFERROR(O20/O$28,0)</f>
        <v>0.14946602637580136</v>
      </c>
      <c r="Q20" s="111">
        <f t="shared" si="2"/>
        <v>252260.38191513601</v>
      </c>
      <c r="R20" s="80">
        <f>IFERROR(Q20/Q$28,0)</f>
        <v>0.1480148999061334</v>
      </c>
      <c r="S20" s="111">
        <f t="shared" si="2"/>
        <v>257305.58955343874</v>
      </c>
      <c r="T20" s="80">
        <f>IFERROR(S20/S$28,0)</f>
        <v>0.14657786204296705</v>
      </c>
      <c r="U20" s="111">
        <f t="shared" si="2"/>
        <v>262451.70134450751</v>
      </c>
      <c r="V20" s="80">
        <f>IFERROR(U20/U$28,0)</f>
        <v>0.14515477600371496</v>
      </c>
    </row>
    <row r="21" spans="1:24" ht="12.75" customHeight="1">
      <c r="A21" s="2" t="s">
        <v>371</v>
      </c>
      <c r="B21" s="35"/>
      <c r="C21" s="111"/>
      <c r="D21" s="80">
        <f>IFERROR(C21/C$28,0)</f>
        <v>0</v>
      </c>
      <c r="E21" s="111">
        <v>0</v>
      </c>
      <c r="F21" s="80">
        <f>IFERROR(E21/E$28,0)</f>
        <v>0</v>
      </c>
      <c r="G21" s="111">
        <f t="shared" si="2"/>
        <v>0</v>
      </c>
      <c r="H21" s="80">
        <f>IFERROR(G21/G$28,0)</f>
        <v>0</v>
      </c>
      <c r="I21" s="111">
        <f t="shared" si="2"/>
        <v>0</v>
      </c>
      <c r="J21" s="80">
        <f>IFERROR(I21/I$28,0)</f>
        <v>0</v>
      </c>
      <c r="K21" s="111">
        <f t="shared" si="2"/>
        <v>0</v>
      </c>
      <c r="L21" s="80">
        <f>IFERROR(K21/K$28,0)</f>
        <v>0</v>
      </c>
      <c r="M21" s="111">
        <f t="shared" si="2"/>
        <v>0</v>
      </c>
      <c r="N21" s="80">
        <f>IFERROR(M21/M$28,0)</f>
        <v>0</v>
      </c>
      <c r="O21" s="111">
        <f t="shared" si="2"/>
        <v>0</v>
      </c>
      <c r="P21" s="80">
        <f>IFERROR(O21/O$28,0)</f>
        <v>0</v>
      </c>
      <c r="Q21" s="111">
        <f t="shared" si="2"/>
        <v>0</v>
      </c>
      <c r="R21" s="80">
        <f>IFERROR(Q21/Q$28,0)</f>
        <v>0</v>
      </c>
      <c r="S21" s="111">
        <f t="shared" si="2"/>
        <v>0</v>
      </c>
      <c r="T21" s="80">
        <f>IFERROR(S21/S$28,0)</f>
        <v>0</v>
      </c>
      <c r="U21" s="111">
        <f t="shared" si="2"/>
        <v>0</v>
      </c>
      <c r="V21" s="80">
        <f>IFERROR(U21/U$28,0)</f>
        <v>0</v>
      </c>
    </row>
    <row r="22" spans="1:24" ht="12.75" customHeight="1">
      <c r="A22" s="2" t="s">
        <v>372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373</v>
      </c>
      <c r="B23" s="123"/>
      <c r="C23" s="79"/>
      <c r="D23" s="80">
        <f t="shared" ref="D23:D28" si="3">IFERROR(C23/C$28,0)</f>
        <v>0</v>
      </c>
      <c r="E23" s="79"/>
      <c r="F23" s="80">
        <f t="shared" ref="F23:F28" si="4">IFERROR(E23/E$28,0)</f>
        <v>0</v>
      </c>
      <c r="G23" s="79"/>
      <c r="H23" s="80">
        <f t="shared" ref="H23:H28" si="5">IFERROR(G23/G$28,0)</f>
        <v>0</v>
      </c>
      <c r="I23" s="79"/>
      <c r="J23" s="80">
        <f t="shared" ref="J23:J28" si="6">IFERROR(I23/I$28,0)</f>
        <v>0</v>
      </c>
      <c r="K23" s="79"/>
      <c r="L23" s="80">
        <f t="shared" ref="L23:L28" si="7">IFERROR(K23/K$28,0)</f>
        <v>0</v>
      </c>
      <c r="M23" s="79"/>
      <c r="N23" s="80">
        <f t="shared" ref="N23:N28" si="8">IFERROR(M23/M$28,0)</f>
        <v>0</v>
      </c>
      <c r="O23" s="79"/>
      <c r="P23" s="80">
        <f t="shared" ref="P23:P28" si="9">IFERROR(O23/O$28,0)</f>
        <v>0</v>
      </c>
      <c r="Q23" s="79"/>
      <c r="R23" s="80">
        <f t="shared" ref="R23:R28" si="10">IFERROR(Q23/Q$28,0)</f>
        <v>0</v>
      </c>
      <c r="S23" s="79"/>
      <c r="T23" s="80">
        <f t="shared" ref="T23:T28" si="11">IFERROR(S23/S$28,0)</f>
        <v>0</v>
      </c>
      <c r="U23" s="79"/>
      <c r="V23" s="80">
        <f t="shared" ref="V23:V28" si="12">IFERROR(U23/U$28,0)</f>
        <v>0</v>
      </c>
    </row>
    <row r="24" spans="1:24" ht="12.75" customHeight="1">
      <c r="A24" s="122" t="s">
        <v>374</v>
      </c>
      <c r="B24" s="123"/>
      <c r="C24" s="79"/>
      <c r="D24" s="80">
        <f t="shared" si="3"/>
        <v>0</v>
      </c>
      <c r="E24" s="79"/>
      <c r="F24" s="80">
        <f t="shared" si="4"/>
        <v>0</v>
      </c>
      <c r="G24" s="79"/>
      <c r="H24" s="80">
        <f t="shared" si="5"/>
        <v>0</v>
      </c>
      <c r="I24" s="79"/>
      <c r="J24" s="80">
        <f t="shared" si="6"/>
        <v>0</v>
      </c>
      <c r="K24" s="79"/>
      <c r="L24" s="80">
        <f t="shared" si="7"/>
        <v>0</v>
      </c>
      <c r="M24" s="79"/>
      <c r="N24" s="80">
        <f t="shared" si="8"/>
        <v>0</v>
      </c>
      <c r="O24" s="79"/>
      <c r="P24" s="80">
        <f t="shared" si="9"/>
        <v>0</v>
      </c>
      <c r="Q24" s="79"/>
      <c r="R24" s="80">
        <f t="shared" si="10"/>
        <v>0</v>
      </c>
      <c r="S24" s="79"/>
      <c r="T24" s="80">
        <f t="shared" si="11"/>
        <v>0</v>
      </c>
      <c r="U24" s="79"/>
      <c r="V24" s="80">
        <f t="shared" si="12"/>
        <v>0</v>
      </c>
      <c r="X24" s="79"/>
    </row>
    <row r="25" spans="1:24" ht="12.75" customHeight="1">
      <c r="A25" s="2" t="s">
        <v>375</v>
      </c>
      <c r="B25" s="35"/>
      <c r="C25" s="111"/>
      <c r="D25" s="80">
        <f t="shared" si="3"/>
        <v>0</v>
      </c>
      <c r="E25" s="111"/>
      <c r="F25" s="80">
        <f t="shared" si="4"/>
        <v>0</v>
      </c>
      <c r="G25" s="111"/>
      <c r="H25" s="80">
        <f t="shared" si="5"/>
        <v>0</v>
      </c>
      <c r="I25" s="111"/>
      <c r="J25" s="80">
        <f t="shared" si="6"/>
        <v>0</v>
      </c>
      <c r="K25" s="111"/>
      <c r="L25" s="80">
        <f t="shared" si="7"/>
        <v>0</v>
      </c>
      <c r="M25" s="111"/>
      <c r="N25" s="80">
        <f t="shared" si="8"/>
        <v>0</v>
      </c>
      <c r="O25" s="111"/>
      <c r="P25" s="80">
        <f t="shared" si="9"/>
        <v>0</v>
      </c>
      <c r="Q25" s="111"/>
      <c r="R25" s="80">
        <f t="shared" si="10"/>
        <v>0</v>
      </c>
      <c r="S25" s="111"/>
      <c r="T25" s="80">
        <f t="shared" si="11"/>
        <v>0</v>
      </c>
      <c r="U25" s="111"/>
      <c r="V25" s="80">
        <f t="shared" si="12"/>
        <v>0</v>
      </c>
      <c r="X25" s="79"/>
    </row>
    <row r="26" spans="1:24" ht="12.75" customHeight="1">
      <c r="A26" s="122" t="s">
        <v>376</v>
      </c>
      <c r="B26" s="35"/>
      <c r="C26" s="79"/>
      <c r="D26" s="80">
        <f t="shared" si="3"/>
        <v>0</v>
      </c>
      <c r="E26" s="79"/>
      <c r="F26" s="80">
        <f t="shared" si="4"/>
        <v>0</v>
      </c>
      <c r="G26" s="79"/>
      <c r="H26" s="80">
        <f t="shared" si="5"/>
        <v>0</v>
      </c>
      <c r="I26" s="79"/>
      <c r="J26" s="80">
        <f t="shared" si="6"/>
        <v>0</v>
      </c>
      <c r="K26" s="79"/>
      <c r="L26" s="80">
        <f t="shared" si="7"/>
        <v>0</v>
      </c>
      <c r="M26" s="79"/>
      <c r="N26" s="80">
        <f t="shared" si="8"/>
        <v>0</v>
      </c>
      <c r="O26" s="79"/>
      <c r="P26" s="80">
        <f t="shared" si="9"/>
        <v>0</v>
      </c>
      <c r="Q26" s="79"/>
      <c r="R26" s="80">
        <f t="shared" si="10"/>
        <v>0</v>
      </c>
      <c r="S26" s="79"/>
      <c r="T26" s="80">
        <f t="shared" si="11"/>
        <v>0</v>
      </c>
      <c r="U26" s="79"/>
      <c r="V26" s="80">
        <f t="shared" si="12"/>
        <v>0</v>
      </c>
    </row>
    <row r="27" spans="1:24" ht="12.75" customHeight="1">
      <c r="A27" s="2" t="s">
        <v>377</v>
      </c>
      <c r="B27" s="35"/>
      <c r="C27" s="112"/>
      <c r="D27" s="80">
        <f t="shared" si="3"/>
        <v>0</v>
      </c>
      <c r="E27" s="112"/>
      <c r="F27" s="80">
        <f t="shared" si="4"/>
        <v>0</v>
      </c>
      <c r="G27" s="112"/>
      <c r="H27" s="80">
        <f t="shared" si="5"/>
        <v>0</v>
      </c>
      <c r="I27" s="112"/>
      <c r="J27" s="80">
        <f t="shared" si="6"/>
        <v>0</v>
      </c>
      <c r="K27" s="112"/>
      <c r="L27" s="80">
        <f t="shared" si="7"/>
        <v>0</v>
      </c>
      <c r="M27" s="112"/>
      <c r="N27" s="80">
        <f t="shared" si="8"/>
        <v>0</v>
      </c>
      <c r="O27" s="112"/>
      <c r="P27" s="80">
        <f t="shared" si="9"/>
        <v>0</v>
      </c>
      <c r="Q27" s="112"/>
      <c r="R27" s="80">
        <f t="shared" si="10"/>
        <v>0</v>
      </c>
      <c r="S27" s="112"/>
      <c r="T27" s="80">
        <f t="shared" si="11"/>
        <v>0</v>
      </c>
      <c r="U27" s="112"/>
      <c r="V27" s="80">
        <f t="shared" si="12"/>
        <v>0</v>
      </c>
    </row>
    <row r="28" spans="1:24" ht="12.75" customHeight="1">
      <c r="A28" s="1" t="s">
        <v>378</v>
      </c>
      <c r="B28" s="53"/>
      <c r="C28" s="82">
        <f>SUM(C19:C27)</f>
        <v>0</v>
      </c>
      <c r="D28" s="83">
        <f t="shared" si="3"/>
        <v>0</v>
      </c>
      <c r="E28" s="82">
        <f>SUM(E19:E27)</f>
        <v>1400000</v>
      </c>
      <c r="F28" s="83">
        <f t="shared" si="4"/>
        <v>1</v>
      </c>
      <c r="G28" s="82">
        <f>SUM(G19:G27)</f>
        <v>1456000</v>
      </c>
      <c r="H28" s="83">
        <f t="shared" si="5"/>
        <v>1</v>
      </c>
      <c r="I28" s="82">
        <f>SUM(I19:I27)</f>
        <v>1514240</v>
      </c>
      <c r="J28" s="83">
        <f t="shared" si="6"/>
        <v>1</v>
      </c>
      <c r="K28" s="82">
        <f>SUM(K19:K27)</f>
        <v>1559667.2</v>
      </c>
      <c r="L28" s="83">
        <f t="shared" si="7"/>
        <v>1</v>
      </c>
      <c r="M28" s="82">
        <f>SUM(M19:M27)</f>
        <v>1606457.216</v>
      </c>
      <c r="N28" s="83">
        <f t="shared" si="8"/>
        <v>1</v>
      </c>
      <c r="O28" s="82">
        <f>SUM(O19:O27)</f>
        <v>1654650.93248</v>
      </c>
      <c r="P28" s="83">
        <f t="shared" si="9"/>
        <v>1</v>
      </c>
      <c r="Q28" s="82">
        <f>SUM(Q19:Q27)</f>
        <v>1704290.4604543999</v>
      </c>
      <c r="R28" s="83">
        <f t="shared" si="10"/>
        <v>1</v>
      </c>
      <c r="S28" s="82">
        <f>SUM(S19:S27)</f>
        <v>1755419.174268032</v>
      </c>
      <c r="T28" s="83">
        <f t="shared" si="11"/>
        <v>1</v>
      </c>
      <c r="U28" s="82">
        <f>SUM(U19:U27)</f>
        <v>1808081.749496073</v>
      </c>
      <c r="V28" s="83">
        <f t="shared" si="12"/>
        <v>1</v>
      </c>
    </row>
    <row r="29" spans="1:24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379</v>
      </c>
      <c r="B30" s="53"/>
      <c r="C30" s="197">
        <v>0.35499999999999998</v>
      </c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380</v>
      </c>
      <c r="B31" s="35"/>
      <c r="C31" s="178">
        <f>$C$30*C14</f>
        <v>0</v>
      </c>
      <c r="D31" s="80">
        <f>IFERROR(C31/C$28,0)</f>
        <v>0</v>
      </c>
      <c r="E31" s="178">
        <f>$C$30*E14</f>
        <v>497000</v>
      </c>
      <c r="F31" s="80">
        <f>IFERROR(E31/E$28,0)</f>
        <v>0.35499999999999998</v>
      </c>
      <c r="G31" s="178">
        <f>$C$30*G14</f>
        <v>516880</v>
      </c>
      <c r="H31" s="80">
        <f>IFERROR(G31/G$28,0)</f>
        <v>0.35499999999999998</v>
      </c>
      <c r="I31" s="178">
        <f>$C$30*I14</f>
        <v>537555.19999999995</v>
      </c>
      <c r="J31" s="80">
        <f>IFERROR(I31/I$28,0)</f>
        <v>0.35499999999999998</v>
      </c>
      <c r="K31" s="178">
        <f>$C$30*K14</f>
        <v>553681.85599999991</v>
      </c>
      <c r="L31" s="80">
        <f>IFERROR(K31/K$28,0)</f>
        <v>0.35499999999999998</v>
      </c>
      <c r="M31" s="178">
        <f>$C$30*M14</f>
        <v>570292.31167999993</v>
      </c>
      <c r="N31" s="80">
        <f>IFERROR(M31/M$28,0)</f>
        <v>0.35499999999999993</v>
      </c>
      <c r="O31" s="178">
        <f>$C$30*O14</f>
        <v>587401.0810304</v>
      </c>
      <c r="P31" s="80">
        <f>IFERROR(O31/O$28,0)</f>
        <v>0.35500000000000004</v>
      </c>
      <c r="Q31" s="178">
        <f>$C$30*Q14</f>
        <v>605023.11346131191</v>
      </c>
      <c r="R31" s="80">
        <f>IFERROR(Q31/Q$28,0)</f>
        <v>0.35499999999999998</v>
      </c>
      <c r="S31" s="178">
        <f>$C$30*S14</f>
        <v>623173.80686515127</v>
      </c>
      <c r="T31" s="80">
        <f>IFERROR(S31/S$28,0)</f>
        <v>0.35499999999999998</v>
      </c>
      <c r="U31" s="178">
        <f>$C$30*U14</f>
        <v>641869.02107110585</v>
      </c>
      <c r="V31" s="80">
        <f>IFERROR(U31/U$28,0)</f>
        <v>0.35499999999999998</v>
      </c>
    </row>
    <row r="32" spans="1:24" ht="12.75" customHeight="1">
      <c r="A32" s="8" t="s">
        <v>381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382</v>
      </c>
      <c r="B33" s="53"/>
      <c r="C33" s="82">
        <f>SUM(C31:C32)</f>
        <v>0</v>
      </c>
      <c r="D33" s="83">
        <f>IFERROR(C33/C$28,0)</f>
        <v>0</v>
      </c>
      <c r="E33" s="82">
        <f>SUM(E31:E32)</f>
        <v>497000</v>
      </c>
      <c r="F33" s="83">
        <f>IFERROR(E33/E$28,0)</f>
        <v>0.35499999999999998</v>
      </c>
      <c r="G33" s="82">
        <f>SUM(G31:G32)</f>
        <v>516880</v>
      </c>
      <c r="H33" s="83">
        <f>IFERROR(G33/G$28,0)</f>
        <v>0.35499999999999998</v>
      </c>
      <c r="I33" s="82">
        <f>SUM(I31:I32)</f>
        <v>537555.19999999995</v>
      </c>
      <c r="J33" s="83">
        <f>IFERROR(I33/I$28,0)</f>
        <v>0.35499999999999998</v>
      </c>
      <c r="K33" s="82">
        <f>SUM(K31:K32)</f>
        <v>553681.85599999991</v>
      </c>
      <c r="L33" s="83">
        <f>IFERROR(K33/K$28,0)</f>
        <v>0.35499999999999998</v>
      </c>
      <c r="M33" s="82">
        <f>SUM(M31:M32)</f>
        <v>570292.31167999993</v>
      </c>
      <c r="N33" s="83">
        <f>IFERROR(M33/M$28,0)</f>
        <v>0.35499999999999993</v>
      </c>
      <c r="O33" s="82">
        <f>SUM(O31:O32)</f>
        <v>587401.0810304</v>
      </c>
      <c r="P33" s="83">
        <f>IFERROR(O33/O$28,0)</f>
        <v>0.35500000000000004</v>
      </c>
      <c r="Q33" s="82">
        <f>SUM(Q31:Q32)</f>
        <v>605023.11346131191</v>
      </c>
      <c r="R33" s="83">
        <f>IFERROR(Q33/Q$28,0)</f>
        <v>0.35499999999999998</v>
      </c>
      <c r="S33" s="82">
        <f>SUM(S31:S32)</f>
        <v>623173.80686515127</v>
      </c>
      <c r="T33" s="83">
        <f>IFERROR(S33/S$28,0)</f>
        <v>0.35499999999999998</v>
      </c>
      <c r="U33" s="82">
        <f>SUM(U31:U32)</f>
        <v>641869.02107110585</v>
      </c>
      <c r="V33" s="83">
        <f>IFERROR(U33/U$28,0)</f>
        <v>0.35499999999999998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383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384</v>
      </c>
      <c r="B36" s="35"/>
      <c r="C36" s="113"/>
      <c r="D36" s="80">
        <f t="shared" ref="D36:D46" si="13">IFERROR(C36/C$28,0)</f>
        <v>0</v>
      </c>
      <c r="E36" s="178">
        <v>50000</v>
      </c>
      <c r="F36" s="80">
        <f t="shared" ref="F36:F46" si="14">IFERROR(E36/E$28,0)</f>
        <v>3.5714285714285712E-2</v>
      </c>
      <c r="G36" s="178">
        <f>+E36*1.02</f>
        <v>51000</v>
      </c>
      <c r="H36" s="80">
        <f t="shared" ref="H36:H46" si="15">IFERROR(G36/G$28,0)</f>
        <v>3.5027472527472528E-2</v>
      </c>
      <c r="I36" s="178">
        <f>+G36*1.025</f>
        <v>52274.999999999993</v>
      </c>
      <c r="J36" s="80">
        <f t="shared" ref="J36:J46" si="16">IFERROR(I36/I$28,0)</f>
        <v>3.4522268596787822E-2</v>
      </c>
      <c r="K36" s="178">
        <f>+I36*1.025</f>
        <v>53581.874999999985</v>
      </c>
      <c r="L36" s="80">
        <f t="shared" ref="L36:L46" si="17">IFERROR(K36/K$28,0)</f>
        <v>3.4354684768648072E-2</v>
      </c>
      <c r="M36" s="178">
        <f>+K36*1.025</f>
        <v>54921.421874999978</v>
      </c>
      <c r="N36" s="80">
        <f t="shared" ref="N36:N46" si="18">IFERROR(M36/M$28,0)</f>
        <v>3.4187914454237155E-2</v>
      </c>
      <c r="O36" s="178">
        <f>+M36*1.025</f>
        <v>56294.457421874969</v>
      </c>
      <c r="P36" s="80">
        <f t="shared" ref="P36:P46" si="19">IFERROR(O36/O$28,0)</f>
        <v>3.4021953704459297E-2</v>
      </c>
      <c r="Q36" s="178">
        <f>+O36*1.02</f>
        <v>57420.346570312468</v>
      </c>
      <c r="R36" s="80">
        <f t="shared" ref="R36:R46" si="20">IFERROR(Q36/Q$28,0)</f>
        <v>3.3691643474318918E-2</v>
      </c>
      <c r="S36" s="178">
        <f>+Q36*1.025</f>
        <v>58855.855234570277</v>
      </c>
      <c r="T36" s="80">
        <f t="shared" ref="T36:T46" si="21">IFERROR(S36/S$28,0)</f>
        <v>3.3528091806967857E-2</v>
      </c>
      <c r="U36" s="178">
        <f>+S36*1.025</f>
        <v>60327.251615434529</v>
      </c>
      <c r="V36" s="80">
        <f t="shared" ref="V36:V46" si="22">IFERROR(U36/U$28,0)</f>
        <v>3.3365334079749558E-2</v>
      </c>
    </row>
    <row r="37" spans="1:22" ht="12.75" customHeight="1">
      <c r="A37" s="2" t="s">
        <v>385</v>
      </c>
      <c r="B37" s="35"/>
      <c r="C37" s="113"/>
      <c r="D37" s="80">
        <f t="shared" si="13"/>
        <v>0</v>
      </c>
      <c r="E37" s="178">
        <f t="shared" ref="E37:E45" si="23">+G37/1.05</f>
        <v>226371.25714285712</v>
      </c>
      <c r="F37" s="80">
        <f t="shared" si="14"/>
        <v>0.16169375510204081</v>
      </c>
      <c r="G37" s="178">
        <v>237689.81999999998</v>
      </c>
      <c r="H37" s="80">
        <f t="shared" si="15"/>
        <v>0.16324850274725272</v>
      </c>
      <c r="I37" s="178">
        <f>+G37*1.032</f>
        <v>245295.89423999999</v>
      </c>
      <c r="J37" s="80">
        <f t="shared" si="16"/>
        <v>0.16199274503381234</v>
      </c>
      <c r="K37" s="178">
        <f>+I37*1.025</f>
        <v>251428.29159599997</v>
      </c>
      <c r="L37" s="80">
        <f t="shared" si="17"/>
        <v>0.1612063724851045</v>
      </c>
      <c r="M37" s="178">
        <f>+K37*1.025</f>
        <v>257713.99888589996</v>
      </c>
      <c r="N37" s="80">
        <f t="shared" si="18"/>
        <v>0.16042381727886612</v>
      </c>
      <c r="O37" s="178">
        <f>+M37*1.025</f>
        <v>264156.84885804745</v>
      </c>
      <c r="P37" s="80">
        <f t="shared" si="19"/>
        <v>0.15964506088430852</v>
      </c>
      <c r="Q37" s="178">
        <f>+O37*1.02</f>
        <v>269439.98583520838</v>
      </c>
      <c r="R37" s="80">
        <f t="shared" si="20"/>
        <v>0.15809510883688804</v>
      </c>
      <c r="S37" s="178">
        <f>+Q37*1.02</f>
        <v>274828.78555191256</v>
      </c>
      <c r="T37" s="80">
        <f t="shared" si="21"/>
        <v>0.15656020486759786</v>
      </c>
      <c r="U37" s="178">
        <f>+S37*1.025</f>
        <v>281699.50519071036</v>
      </c>
      <c r="V37" s="80">
        <f t="shared" si="22"/>
        <v>0.15580020387309496</v>
      </c>
    </row>
    <row r="38" spans="1:22" ht="12.75" customHeight="1">
      <c r="A38" s="2" t="s">
        <v>386</v>
      </c>
      <c r="B38" s="35"/>
      <c r="C38" s="113"/>
      <c r="D38" s="80">
        <f t="shared" si="13"/>
        <v>0</v>
      </c>
      <c r="E38" s="178">
        <f t="shared" si="23"/>
        <v>73938.428571428565</v>
      </c>
      <c r="F38" s="80">
        <f t="shared" si="14"/>
        <v>5.2813163265306121E-2</v>
      </c>
      <c r="G38" s="178">
        <v>77635.349999999991</v>
      </c>
      <c r="H38" s="80">
        <f t="shared" si="15"/>
        <v>5.3320982142857139E-2</v>
      </c>
      <c r="I38" s="178">
        <f>+G38*1.032</f>
        <v>80119.681199999992</v>
      </c>
      <c r="J38" s="80">
        <f t="shared" si="16"/>
        <v>5.2910820741758235E-2</v>
      </c>
      <c r="K38" s="178">
        <f>+I38*1.025</f>
        <v>82122.673229999986</v>
      </c>
      <c r="L38" s="80">
        <f t="shared" si="17"/>
        <v>5.265397209738077E-2</v>
      </c>
      <c r="M38" s="178">
        <f>+K38*1.025</f>
        <v>84175.740060749973</v>
      </c>
      <c r="N38" s="80">
        <f t="shared" si="18"/>
        <v>5.2398370291082789E-2</v>
      </c>
      <c r="O38" s="178">
        <f>+M38*1.025</f>
        <v>86280.133562268718</v>
      </c>
      <c r="P38" s="80">
        <f t="shared" si="19"/>
        <v>5.2144009270252291E-2</v>
      </c>
      <c r="Q38" s="178">
        <f>+O38*1.02</f>
        <v>88005.736233514093</v>
      </c>
      <c r="R38" s="80">
        <f t="shared" si="20"/>
        <v>5.1637756753065381E-2</v>
      </c>
      <c r="S38" s="178">
        <f>+Q38*1.02</f>
        <v>89765.850958184383</v>
      </c>
      <c r="T38" s="80">
        <f t="shared" si="21"/>
        <v>5.1136419308860863E-2</v>
      </c>
      <c r="U38" s="178">
        <f>+S38*1.025</f>
        <v>92009.99723213898</v>
      </c>
      <c r="V38" s="80">
        <f t="shared" si="22"/>
        <v>5.0888184263672212E-2</v>
      </c>
    </row>
    <row r="39" spans="1:22" ht="12.75" customHeight="1">
      <c r="A39" s="2" t="s">
        <v>387</v>
      </c>
      <c r="B39" s="35"/>
      <c r="C39" s="113"/>
      <c r="D39" s="80">
        <f t="shared" si="13"/>
        <v>0</v>
      </c>
      <c r="E39" s="178">
        <f t="shared" si="23"/>
        <v>33829.714285714283</v>
      </c>
      <c r="F39" s="80">
        <f t="shared" si="14"/>
        <v>2.4164081632653059E-2</v>
      </c>
      <c r="G39" s="178">
        <v>35521.199999999997</v>
      </c>
      <c r="H39" s="80">
        <f t="shared" si="15"/>
        <v>2.4396428571428569E-2</v>
      </c>
      <c r="I39" s="178">
        <f>+G39*1.032</f>
        <v>36657.878400000001</v>
      </c>
      <c r="J39" s="80">
        <f t="shared" si="16"/>
        <v>2.4208763736263739E-2</v>
      </c>
      <c r="K39" s="178">
        <f>+I39*1.025</f>
        <v>37574.325359999995</v>
      </c>
      <c r="L39" s="80">
        <f t="shared" si="17"/>
        <v>2.4091245465699348E-2</v>
      </c>
      <c r="M39" s="178">
        <f>+K39*1.025</f>
        <v>38513.68349399999</v>
      </c>
      <c r="N39" s="80">
        <f t="shared" si="18"/>
        <v>2.3974297672176532E-2</v>
      </c>
      <c r="O39" s="178">
        <f>+M39*1.025</f>
        <v>39476.52558134999</v>
      </c>
      <c r="P39" s="80">
        <f t="shared" si="19"/>
        <v>2.3857917586389266E-2</v>
      </c>
      <c r="Q39" s="178">
        <f>+O39*1.02</f>
        <v>40266.056092976993</v>
      </c>
      <c r="R39" s="80">
        <f t="shared" si="20"/>
        <v>2.3626287318560247E-2</v>
      </c>
      <c r="S39" s="178">
        <f>+Q39*1.02</f>
        <v>41071.377214836531</v>
      </c>
      <c r="T39" s="80">
        <f t="shared" si="21"/>
        <v>2.339690588828296E-2</v>
      </c>
      <c r="U39" s="178">
        <f>+S39*1.025</f>
        <v>42098.161645207438</v>
      </c>
      <c r="V39" s="80">
        <f t="shared" si="22"/>
        <v>2.3283328675233039E-2</v>
      </c>
    </row>
    <row r="40" spans="1:22" ht="12.75" customHeight="1">
      <c r="A40" s="2" t="s">
        <v>388</v>
      </c>
      <c r="B40" s="35"/>
      <c r="C40" s="113"/>
      <c r="D40" s="80">
        <f t="shared" si="13"/>
        <v>0</v>
      </c>
      <c r="E40" s="178">
        <f t="shared" si="23"/>
        <v>7714.2437142857134</v>
      </c>
      <c r="F40" s="80">
        <f t="shared" si="14"/>
        <v>5.5101740816326525E-3</v>
      </c>
      <c r="G40" s="178">
        <v>8099.955899999999</v>
      </c>
      <c r="H40" s="80">
        <f t="shared" si="15"/>
        <v>5.5631565247252742E-3</v>
      </c>
      <c r="I40" s="178">
        <f>I36*0.124</f>
        <v>6482.0999999999995</v>
      </c>
      <c r="J40" s="80">
        <f t="shared" si="16"/>
        <v>4.2807613060016902E-3</v>
      </c>
      <c r="K40" s="178">
        <f>K36*0.124</f>
        <v>6644.1524999999983</v>
      </c>
      <c r="L40" s="80">
        <f t="shared" si="17"/>
        <v>4.2599809113123607E-3</v>
      </c>
      <c r="M40" s="178">
        <f>M36*0.124</f>
        <v>6810.256312499997</v>
      </c>
      <c r="N40" s="80">
        <f t="shared" si="18"/>
        <v>4.2393013923254065E-3</v>
      </c>
      <c r="O40" s="178">
        <f>O36*0.124</f>
        <v>6980.5127203124957</v>
      </c>
      <c r="P40" s="80">
        <f t="shared" si="19"/>
        <v>4.2187222593529526E-3</v>
      </c>
      <c r="Q40" s="178">
        <f>Q36*0.124</f>
        <v>7120.1229747187463</v>
      </c>
      <c r="R40" s="80">
        <f t="shared" si="20"/>
        <v>4.177763790815546E-3</v>
      </c>
      <c r="S40" s="178">
        <f>S36*0.124</f>
        <v>7298.1260490867144</v>
      </c>
      <c r="T40" s="80">
        <f t="shared" si="21"/>
        <v>4.1574833840640141E-3</v>
      </c>
      <c r="U40" s="178">
        <f>U36*0.124</f>
        <v>7480.5792003138813</v>
      </c>
      <c r="V40" s="80">
        <f t="shared" si="22"/>
        <v>4.1373014258889451E-3</v>
      </c>
    </row>
    <row r="41" spans="1:22" ht="12.75" customHeight="1">
      <c r="A41" s="2" t="s">
        <v>389</v>
      </c>
      <c r="B41" s="35"/>
      <c r="C41" s="113"/>
      <c r="D41" s="80">
        <f t="shared" si="13"/>
        <v>0</v>
      </c>
      <c r="E41" s="178">
        <f t="shared" si="23"/>
        <v>28070.035885714282</v>
      </c>
      <c r="F41" s="80">
        <f t="shared" si="14"/>
        <v>2.0050025632653058E-2</v>
      </c>
      <c r="G41" s="178">
        <v>29473.537679999998</v>
      </c>
      <c r="H41" s="80">
        <f t="shared" si="15"/>
        <v>2.0242814340659339E-2</v>
      </c>
      <c r="I41" s="178">
        <f>I37*0.124</f>
        <v>30416.690885759999</v>
      </c>
      <c r="J41" s="80">
        <f t="shared" si="16"/>
        <v>2.008710038419273E-2</v>
      </c>
      <c r="K41" s="178">
        <f>K37*0.124</f>
        <v>31177.108157903996</v>
      </c>
      <c r="L41" s="80">
        <f t="shared" si="17"/>
        <v>1.9989590188152957E-2</v>
      </c>
      <c r="M41" s="178">
        <f>M37*0.124</f>
        <v>31956.535861851593</v>
      </c>
      <c r="N41" s="80">
        <f t="shared" si="18"/>
        <v>1.9892553342579396E-2</v>
      </c>
      <c r="O41" s="178">
        <f>O37*0.124</f>
        <v>32755.449258397883</v>
      </c>
      <c r="P41" s="80">
        <f t="shared" si="19"/>
        <v>1.9795987549654254E-2</v>
      </c>
      <c r="Q41" s="178">
        <f>Q37*0.124</f>
        <v>33410.558243565836</v>
      </c>
      <c r="R41" s="80">
        <f t="shared" si="20"/>
        <v>1.9603793495774114E-2</v>
      </c>
      <c r="S41" s="178">
        <f>S37*0.124</f>
        <v>34078.769408437154</v>
      </c>
      <c r="T41" s="80">
        <f t="shared" si="21"/>
        <v>1.9413465403582134E-2</v>
      </c>
      <c r="U41" s="178">
        <f>U37*0.124</f>
        <v>34930.738643648088</v>
      </c>
      <c r="V41" s="80">
        <f t="shared" si="22"/>
        <v>1.9319225280263776E-2</v>
      </c>
    </row>
    <row r="42" spans="1:22" ht="12.75" customHeight="1">
      <c r="A42" s="2" t="s">
        <v>390</v>
      </c>
      <c r="B42" s="35"/>
      <c r="C42" s="113"/>
      <c r="D42" s="80">
        <f t="shared" si="13"/>
        <v>0</v>
      </c>
      <c r="E42" s="178">
        <f t="shared" si="23"/>
        <v>0</v>
      </c>
      <c r="F42" s="80">
        <f t="shared" si="14"/>
        <v>0</v>
      </c>
      <c r="G42" s="178"/>
      <c r="H42" s="80">
        <f t="shared" si="15"/>
        <v>0</v>
      </c>
      <c r="I42" s="178"/>
      <c r="J42" s="80">
        <f t="shared" si="16"/>
        <v>0</v>
      </c>
      <c r="K42" s="178"/>
      <c r="L42" s="80">
        <f t="shared" si="17"/>
        <v>0</v>
      </c>
      <c r="M42" s="178"/>
      <c r="N42" s="80">
        <f t="shared" si="18"/>
        <v>0</v>
      </c>
      <c r="O42" s="178"/>
      <c r="P42" s="80">
        <f t="shared" si="19"/>
        <v>0</v>
      </c>
      <c r="Q42" s="178"/>
      <c r="R42" s="80">
        <f t="shared" si="20"/>
        <v>0</v>
      </c>
      <c r="S42" s="178"/>
      <c r="T42" s="80">
        <f t="shared" si="21"/>
        <v>0</v>
      </c>
      <c r="U42" s="178"/>
      <c r="V42" s="80">
        <f t="shared" si="22"/>
        <v>0</v>
      </c>
    </row>
    <row r="43" spans="1:22" ht="12.75" customHeight="1">
      <c r="A43" s="2" t="s">
        <v>391</v>
      </c>
      <c r="B43" s="35"/>
      <c r="C43" s="113"/>
      <c r="D43" s="80">
        <f t="shared" si="13"/>
        <v>0</v>
      </c>
      <c r="E43" s="178">
        <f t="shared" si="23"/>
        <v>0</v>
      </c>
      <c r="F43" s="80">
        <f t="shared" si="14"/>
        <v>0</v>
      </c>
      <c r="G43" s="178"/>
      <c r="H43" s="80">
        <f t="shared" si="15"/>
        <v>0</v>
      </c>
      <c r="I43" s="178"/>
      <c r="J43" s="80">
        <f t="shared" si="16"/>
        <v>0</v>
      </c>
      <c r="K43" s="178"/>
      <c r="L43" s="80">
        <f t="shared" si="17"/>
        <v>0</v>
      </c>
      <c r="M43" s="178"/>
      <c r="N43" s="80">
        <f t="shared" si="18"/>
        <v>0</v>
      </c>
      <c r="O43" s="178"/>
      <c r="P43" s="80">
        <f t="shared" si="19"/>
        <v>0</v>
      </c>
      <c r="Q43" s="178"/>
      <c r="R43" s="80">
        <f t="shared" si="20"/>
        <v>0</v>
      </c>
      <c r="S43" s="178"/>
      <c r="T43" s="80">
        <f t="shared" si="21"/>
        <v>0</v>
      </c>
      <c r="U43" s="178"/>
      <c r="V43" s="80">
        <f t="shared" si="22"/>
        <v>0</v>
      </c>
    </row>
    <row r="44" spans="1:22" ht="12.75" customHeight="1">
      <c r="A44" s="2" t="s">
        <v>392</v>
      </c>
      <c r="B44" s="35"/>
      <c r="C44" s="113"/>
      <c r="D44" s="80">
        <f t="shared" si="13"/>
        <v>0</v>
      </c>
      <c r="E44" s="178">
        <f t="shared" si="23"/>
        <v>0</v>
      </c>
      <c r="F44" s="80">
        <f t="shared" si="14"/>
        <v>0</v>
      </c>
      <c r="G44" s="178"/>
      <c r="H44" s="80">
        <f t="shared" si="15"/>
        <v>0</v>
      </c>
      <c r="I44" s="178"/>
      <c r="J44" s="80">
        <f t="shared" si="16"/>
        <v>0</v>
      </c>
      <c r="K44" s="178"/>
      <c r="L44" s="80">
        <f t="shared" si="17"/>
        <v>0</v>
      </c>
      <c r="M44" s="178"/>
      <c r="N44" s="80">
        <f t="shared" si="18"/>
        <v>0</v>
      </c>
      <c r="O44" s="178"/>
      <c r="P44" s="80">
        <f t="shared" si="19"/>
        <v>0</v>
      </c>
      <c r="Q44" s="178"/>
      <c r="R44" s="80">
        <f t="shared" si="20"/>
        <v>0</v>
      </c>
      <c r="S44" s="178"/>
      <c r="T44" s="80">
        <f t="shared" si="21"/>
        <v>0</v>
      </c>
      <c r="U44" s="178"/>
      <c r="V44" s="80">
        <f t="shared" si="22"/>
        <v>0</v>
      </c>
    </row>
    <row r="45" spans="1:22" ht="12.75" customHeight="1">
      <c r="A45" s="2" t="s">
        <v>393</v>
      </c>
      <c r="B45" s="35"/>
      <c r="C45" s="114"/>
      <c r="D45" s="80">
        <f t="shared" si="13"/>
        <v>0</v>
      </c>
      <c r="E45" s="178">
        <f t="shared" si="23"/>
        <v>37256.998028571426</v>
      </c>
      <c r="F45" s="80">
        <f t="shared" si="14"/>
        <v>2.6612141448979592E-2</v>
      </c>
      <c r="G45" s="181">
        <v>39119.847929999996</v>
      </c>
      <c r="H45" s="80">
        <f t="shared" si="15"/>
        <v>2.6868027424450547E-2</v>
      </c>
      <c r="I45" s="181">
        <f>SUM(I36:I39)*0.094</f>
        <v>38948.754660959996</v>
      </c>
      <c r="J45" s="80">
        <f t="shared" si="16"/>
        <v>2.572165222221048E-2</v>
      </c>
      <c r="K45" s="181">
        <f>SUM(K36:K39)*0.094</f>
        <v>39922.473527483991</v>
      </c>
      <c r="L45" s="80">
        <f t="shared" si="17"/>
        <v>2.5596789832782272E-2</v>
      </c>
      <c r="M45" s="181">
        <f>SUM(M36:M39)*0.094</f>
        <v>40920.535365671094</v>
      </c>
      <c r="N45" s="80">
        <f t="shared" si="18"/>
        <v>2.5472533571458084E-2</v>
      </c>
      <c r="O45" s="181">
        <f>SUM(O36:O39)*0.094</f>
        <v>41943.548749812864</v>
      </c>
      <c r="P45" s="80">
        <f t="shared" si="19"/>
        <v>2.5348880495868479E-2</v>
      </c>
      <c r="Q45" s="181">
        <f>SUM(Q36:Q39)*0.094</f>
        <v>42782.419724809122</v>
      </c>
      <c r="R45" s="80">
        <f t="shared" si="20"/>
        <v>2.5102774859986264E-2</v>
      </c>
      <c r="S45" s="181">
        <f>SUM(S36:S39)*0.094</f>
        <v>43665.055682193357</v>
      </c>
      <c r="T45" s="80">
        <f t="shared" si="21"/>
        <v>2.48744324559407E-2</v>
      </c>
      <c r="U45" s="181">
        <f>SUM(U36:U39)*0.094</f>
        <v>44756.682074248187</v>
      </c>
      <c r="V45" s="80">
        <f t="shared" si="22"/>
        <v>2.475368278382448E-2</v>
      </c>
    </row>
    <row r="46" spans="1:22" ht="12.75" customHeight="1">
      <c r="A46" s="1" t="s">
        <v>394</v>
      </c>
      <c r="B46" s="53"/>
      <c r="C46" s="82">
        <f>SUM(C36:C45)</f>
        <v>0</v>
      </c>
      <c r="D46" s="83">
        <f t="shared" si="13"/>
        <v>0</v>
      </c>
      <c r="E46" s="82">
        <f>SUM(E36:E45)</f>
        <v>457180.6776285714</v>
      </c>
      <c r="F46" s="83">
        <f t="shared" si="14"/>
        <v>0.32655762687755102</v>
      </c>
      <c r="G46" s="82">
        <f>SUM(G36:G45)</f>
        <v>478539.71150999994</v>
      </c>
      <c r="H46" s="83">
        <f t="shared" si="15"/>
        <v>0.32866738427884612</v>
      </c>
      <c r="I46" s="82">
        <f>SUM(I36:I45)</f>
        <v>490195.99938671995</v>
      </c>
      <c r="J46" s="83">
        <f t="shared" si="16"/>
        <v>0.32372411202102702</v>
      </c>
      <c r="K46" s="82">
        <f>SUM(K36:K45)</f>
        <v>502450.89937138796</v>
      </c>
      <c r="L46" s="83">
        <f t="shared" si="17"/>
        <v>0.32215263574908032</v>
      </c>
      <c r="M46" s="82">
        <f>SUM(M36:M45)</f>
        <v>515012.17185567261</v>
      </c>
      <c r="N46" s="83">
        <f t="shared" si="18"/>
        <v>0.3205887880027255</v>
      </c>
      <c r="O46" s="82">
        <f>SUM(O36:O45)</f>
        <v>527887.4761520644</v>
      </c>
      <c r="P46" s="83">
        <f t="shared" si="19"/>
        <v>0.31903253175028506</v>
      </c>
      <c r="Q46" s="82">
        <f>SUM(Q36:Q45)</f>
        <v>538445.22567510558</v>
      </c>
      <c r="R46" s="83">
        <f t="shared" si="20"/>
        <v>0.31593512852940847</v>
      </c>
      <c r="S46" s="82">
        <f>SUM(S36:S45)</f>
        <v>549563.82009922096</v>
      </c>
      <c r="T46" s="83">
        <f t="shared" si="21"/>
        <v>0.31306700311529639</v>
      </c>
      <c r="U46" s="82">
        <f>SUM(U36:U45)</f>
        <v>563302.91560170148</v>
      </c>
      <c r="V46" s="83">
        <f t="shared" si="22"/>
        <v>0.31154726038172698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366</v>
      </c>
      <c r="E50" s="86" t="str">
        <f>E6</f>
        <v>FY 2019-20</v>
      </c>
      <c r="F50" s="86" t="s">
        <v>366</v>
      </c>
      <c r="G50" s="86" t="str">
        <f>G6</f>
        <v>FY 2020-21</v>
      </c>
      <c r="H50" s="86" t="s">
        <v>366</v>
      </c>
      <c r="I50" s="86" t="str">
        <f>I6</f>
        <v>FY 2021-22</v>
      </c>
      <c r="J50" s="86" t="s">
        <v>366</v>
      </c>
      <c r="K50" s="86" t="str">
        <f>K6</f>
        <v>FY 2022-23</v>
      </c>
      <c r="L50" s="86" t="s">
        <v>366</v>
      </c>
      <c r="M50" s="86" t="str">
        <f>M6</f>
        <v>FY 2023-24</v>
      </c>
      <c r="N50" s="86" t="s">
        <v>366</v>
      </c>
      <c r="O50" s="86" t="str">
        <f>O6</f>
        <v>FY 2024-25</v>
      </c>
      <c r="P50" s="86" t="s">
        <v>366</v>
      </c>
      <c r="Q50" s="86" t="str">
        <f>Q6</f>
        <v>FY 2025-26</v>
      </c>
      <c r="R50" s="86" t="s">
        <v>366</v>
      </c>
      <c r="S50" s="86" t="str">
        <f>S6</f>
        <v>FY 2026-27</v>
      </c>
      <c r="T50" s="86" t="s">
        <v>366</v>
      </c>
      <c r="U50" s="86" t="str">
        <f>U6</f>
        <v>FY 2027-28</v>
      </c>
      <c r="V50" s="86" t="s">
        <v>366</v>
      </c>
    </row>
    <row r="51" spans="1:24" ht="12.75" customHeight="1">
      <c r="A51" s="1" t="s">
        <v>395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396</v>
      </c>
      <c r="B52" s="35"/>
      <c r="C52" s="178">
        <v>0</v>
      </c>
      <c r="D52" s="80">
        <f t="shared" ref="D52:D104" si="24">IFERROR(C52/C$28,0)</f>
        <v>0</v>
      </c>
      <c r="E52" s="178">
        <v>0</v>
      </c>
      <c r="F52" s="80">
        <f t="shared" ref="F52:F104" si="25">IFERROR(E52/E$28,0)</f>
        <v>0</v>
      </c>
      <c r="G52" s="178">
        <v>0</v>
      </c>
      <c r="H52" s="80">
        <f t="shared" ref="H52:H104" si="26">IFERROR(G52/G$28,0)</f>
        <v>0</v>
      </c>
      <c r="I52" s="178">
        <v>0</v>
      </c>
      <c r="J52" s="80">
        <f t="shared" ref="J52:J104" si="27">IFERROR(I52/I$28,0)</f>
        <v>0</v>
      </c>
      <c r="K52" s="178">
        <v>0</v>
      </c>
      <c r="L52" s="80">
        <f t="shared" ref="L52:L104" si="28">IFERROR(K52/K$28,0)</f>
        <v>0</v>
      </c>
      <c r="M52" s="178">
        <v>0</v>
      </c>
      <c r="N52" s="80">
        <f t="shared" ref="N52:N104" si="29">IFERROR(M52/M$28,0)</f>
        <v>0</v>
      </c>
      <c r="O52" s="178">
        <v>0</v>
      </c>
      <c r="P52" s="80">
        <f t="shared" ref="P52:P104" si="30">IFERROR(O52/O$28,0)</f>
        <v>0</v>
      </c>
      <c r="Q52" s="178">
        <v>0</v>
      </c>
      <c r="R52" s="80">
        <f t="shared" ref="R52:R104" si="31">IFERROR(Q52/Q$28,0)</f>
        <v>0</v>
      </c>
      <c r="S52" s="178">
        <v>0</v>
      </c>
      <c r="T52" s="80">
        <f t="shared" ref="T52:T104" si="32">IFERROR(S52/S$28,0)</f>
        <v>0</v>
      </c>
      <c r="U52" s="178">
        <v>0</v>
      </c>
      <c r="V52" s="80">
        <f t="shared" ref="V52:V105" si="33">IFERROR(U52/U$28,0)</f>
        <v>0</v>
      </c>
      <c r="X52" s="192"/>
    </row>
    <row r="53" spans="1:24" ht="12.75" customHeight="1">
      <c r="A53" s="2" t="s">
        <v>397</v>
      </c>
      <c r="B53" s="35"/>
      <c r="C53" s="178">
        <v>0</v>
      </c>
      <c r="D53" s="80">
        <f t="shared" si="24"/>
        <v>0</v>
      </c>
      <c r="E53" s="178">
        <v>0</v>
      </c>
      <c r="F53" s="80">
        <f t="shared" si="25"/>
        <v>0</v>
      </c>
      <c r="G53" s="178">
        <v>0</v>
      </c>
      <c r="H53" s="80">
        <f t="shared" si="26"/>
        <v>0</v>
      </c>
      <c r="I53" s="178">
        <v>0</v>
      </c>
      <c r="J53" s="80">
        <f t="shared" si="27"/>
        <v>0</v>
      </c>
      <c r="K53" s="178">
        <v>0</v>
      </c>
      <c r="L53" s="80">
        <f t="shared" si="28"/>
        <v>0</v>
      </c>
      <c r="M53" s="178">
        <v>0</v>
      </c>
      <c r="N53" s="80">
        <f t="shared" si="29"/>
        <v>0</v>
      </c>
      <c r="O53" s="178">
        <v>0</v>
      </c>
      <c r="P53" s="80">
        <f t="shared" si="30"/>
        <v>0</v>
      </c>
      <c r="Q53" s="178">
        <v>0</v>
      </c>
      <c r="R53" s="80">
        <f t="shared" si="31"/>
        <v>0</v>
      </c>
      <c r="S53" s="178">
        <v>0</v>
      </c>
      <c r="T53" s="80">
        <f t="shared" si="32"/>
        <v>0</v>
      </c>
      <c r="U53" s="178">
        <v>0</v>
      </c>
      <c r="V53" s="80">
        <f t="shared" si="33"/>
        <v>0</v>
      </c>
      <c r="X53" s="192"/>
    </row>
    <row r="54" spans="1:24" ht="12.75" customHeight="1">
      <c r="A54" s="2" t="s">
        <v>398</v>
      </c>
      <c r="B54" s="35"/>
      <c r="C54" s="178">
        <v>0</v>
      </c>
      <c r="D54" s="80">
        <f t="shared" si="24"/>
        <v>0</v>
      </c>
      <c r="E54" s="178">
        <v>979.99999999999989</v>
      </c>
      <c r="F54" s="80">
        <f t="shared" si="25"/>
        <v>6.9999999999999988E-4</v>
      </c>
      <c r="G54" s="178">
        <v>1019.2</v>
      </c>
      <c r="H54" s="80">
        <f t="shared" si="26"/>
        <v>6.9999999999999999E-4</v>
      </c>
      <c r="I54" s="178">
        <v>1059.9680000000001</v>
      </c>
      <c r="J54" s="80">
        <f t="shared" si="27"/>
        <v>7.000000000000001E-4</v>
      </c>
      <c r="K54" s="178">
        <v>1091.76704</v>
      </c>
      <c r="L54" s="80">
        <f t="shared" si="28"/>
        <v>6.9999999999999999E-4</v>
      </c>
      <c r="M54" s="178">
        <v>1124.5200512000001</v>
      </c>
      <c r="N54" s="80">
        <f t="shared" si="29"/>
        <v>7.000000000000001E-4</v>
      </c>
      <c r="O54" s="178">
        <v>1158.255652736</v>
      </c>
      <c r="P54" s="80">
        <f t="shared" si="30"/>
        <v>6.9999999999999999E-4</v>
      </c>
      <c r="Q54" s="178">
        <v>1193.0033223180801</v>
      </c>
      <c r="R54" s="80">
        <f t="shared" si="31"/>
        <v>7.000000000000001E-4</v>
      </c>
      <c r="S54" s="178">
        <v>1228.7934219876222</v>
      </c>
      <c r="T54" s="80">
        <f t="shared" si="32"/>
        <v>6.9999999999999988E-4</v>
      </c>
      <c r="U54" s="178">
        <v>1265.657224647251</v>
      </c>
      <c r="V54" s="80">
        <f t="shared" si="33"/>
        <v>6.9999999999999999E-4</v>
      </c>
      <c r="X54" s="192"/>
    </row>
    <row r="55" spans="1:24" ht="12.75" customHeight="1">
      <c r="A55" s="2" t="s">
        <v>399</v>
      </c>
      <c r="B55" s="35"/>
      <c r="C55" s="178">
        <v>0</v>
      </c>
      <c r="D55" s="80">
        <f t="shared" si="24"/>
        <v>0</v>
      </c>
      <c r="E55" s="178">
        <v>70000</v>
      </c>
      <c r="F55" s="80">
        <f t="shared" si="25"/>
        <v>0.05</v>
      </c>
      <c r="G55" s="178">
        <v>72800</v>
      </c>
      <c r="H55" s="80">
        <f t="shared" si="26"/>
        <v>0.05</v>
      </c>
      <c r="I55" s="178">
        <v>75712</v>
      </c>
      <c r="J55" s="80">
        <f t="shared" si="27"/>
        <v>0.05</v>
      </c>
      <c r="K55" s="178">
        <v>77983.360000000001</v>
      </c>
      <c r="L55" s="80">
        <f t="shared" si="28"/>
        <v>0.05</v>
      </c>
      <c r="M55" s="178">
        <v>80322.860800000009</v>
      </c>
      <c r="N55" s="80">
        <f t="shared" si="29"/>
        <v>0.05</v>
      </c>
      <c r="O55" s="178">
        <v>82732.54662400001</v>
      </c>
      <c r="P55" s="80">
        <f t="shared" si="30"/>
        <v>5.000000000000001E-2</v>
      </c>
      <c r="Q55" s="178">
        <v>85214.523022720008</v>
      </c>
      <c r="R55" s="80">
        <f t="shared" si="31"/>
        <v>5.000000000000001E-2</v>
      </c>
      <c r="S55" s="178">
        <v>87770.958713401604</v>
      </c>
      <c r="T55" s="80">
        <f t="shared" si="32"/>
        <v>0.05</v>
      </c>
      <c r="U55" s="178">
        <v>90404.087474803659</v>
      </c>
      <c r="V55" s="80">
        <f t="shared" si="33"/>
        <v>0.05</v>
      </c>
      <c r="X55" s="192"/>
    </row>
    <row r="56" spans="1:24" ht="12.75" customHeight="1">
      <c r="A56" s="2" t="s">
        <v>400</v>
      </c>
      <c r="B56" s="35"/>
      <c r="C56" s="178">
        <v>0</v>
      </c>
      <c r="D56" s="80">
        <f t="shared" si="24"/>
        <v>0</v>
      </c>
      <c r="E56" s="178">
        <v>714</v>
      </c>
      <c r="F56" s="80">
        <f t="shared" si="25"/>
        <v>5.1000000000000004E-4</v>
      </c>
      <c r="G56" s="178">
        <v>742.56000000000006</v>
      </c>
      <c r="H56" s="80">
        <f t="shared" si="26"/>
        <v>5.1000000000000004E-4</v>
      </c>
      <c r="I56" s="178">
        <v>772.26240000000007</v>
      </c>
      <c r="J56" s="80">
        <f t="shared" si="27"/>
        <v>5.1000000000000004E-4</v>
      </c>
      <c r="K56" s="178">
        <v>795.43027199999995</v>
      </c>
      <c r="L56" s="80">
        <f t="shared" si="28"/>
        <v>5.0999999999999993E-4</v>
      </c>
      <c r="M56" s="178">
        <v>819.29318016000002</v>
      </c>
      <c r="N56" s="80">
        <f t="shared" si="29"/>
        <v>5.1000000000000004E-4</v>
      </c>
      <c r="O56" s="178">
        <v>843.8719755648001</v>
      </c>
      <c r="P56" s="80">
        <f t="shared" si="30"/>
        <v>5.1000000000000004E-4</v>
      </c>
      <c r="Q56" s="178">
        <v>869.18813483174404</v>
      </c>
      <c r="R56" s="80">
        <f t="shared" si="31"/>
        <v>5.1000000000000004E-4</v>
      </c>
      <c r="S56" s="178">
        <v>895.26377887669628</v>
      </c>
      <c r="T56" s="80">
        <f t="shared" si="32"/>
        <v>5.1000000000000004E-4</v>
      </c>
      <c r="U56" s="178">
        <v>922.12169224299726</v>
      </c>
      <c r="V56" s="80">
        <f t="shared" si="33"/>
        <v>5.1000000000000004E-4</v>
      </c>
      <c r="X56" s="192"/>
    </row>
    <row r="57" spans="1:24" ht="12.75" customHeight="1">
      <c r="A57" s="2" t="s">
        <v>401</v>
      </c>
      <c r="B57" s="35"/>
      <c r="C57" s="178">
        <v>0</v>
      </c>
      <c r="D57" s="80">
        <f t="shared" si="24"/>
        <v>0</v>
      </c>
      <c r="E57" s="178">
        <v>0</v>
      </c>
      <c r="F57" s="80">
        <f t="shared" si="25"/>
        <v>0</v>
      </c>
      <c r="G57" s="178">
        <v>0</v>
      </c>
      <c r="H57" s="80">
        <f t="shared" si="26"/>
        <v>0</v>
      </c>
      <c r="I57" s="178">
        <v>0</v>
      </c>
      <c r="J57" s="80">
        <f t="shared" si="27"/>
        <v>0</v>
      </c>
      <c r="K57" s="178">
        <v>0</v>
      </c>
      <c r="L57" s="80">
        <f t="shared" si="28"/>
        <v>0</v>
      </c>
      <c r="M57" s="178">
        <v>0</v>
      </c>
      <c r="N57" s="80">
        <f t="shared" si="29"/>
        <v>0</v>
      </c>
      <c r="O57" s="178">
        <v>0</v>
      </c>
      <c r="P57" s="80">
        <f t="shared" si="30"/>
        <v>0</v>
      </c>
      <c r="Q57" s="178">
        <v>0</v>
      </c>
      <c r="R57" s="80">
        <f t="shared" si="31"/>
        <v>0</v>
      </c>
      <c r="S57" s="178">
        <v>0</v>
      </c>
      <c r="T57" s="80">
        <f t="shared" si="32"/>
        <v>0</v>
      </c>
      <c r="U57" s="178">
        <v>0</v>
      </c>
      <c r="V57" s="80">
        <f t="shared" si="33"/>
        <v>0</v>
      </c>
      <c r="X57" s="192"/>
    </row>
    <row r="58" spans="1:24" ht="12.75" customHeight="1">
      <c r="A58" s="2" t="s">
        <v>402</v>
      </c>
      <c r="B58" s="35"/>
      <c r="C58" s="178">
        <v>0</v>
      </c>
      <c r="D58" s="80">
        <f t="shared" si="24"/>
        <v>0</v>
      </c>
      <c r="E58" s="178">
        <v>0</v>
      </c>
      <c r="F58" s="80">
        <f t="shared" si="25"/>
        <v>0</v>
      </c>
      <c r="G58" s="178">
        <v>0</v>
      </c>
      <c r="H58" s="80">
        <f t="shared" si="26"/>
        <v>0</v>
      </c>
      <c r="I58" s="178">
        <v>0</v>
      </c>
      <c r="J58" s="80">
        <f t="shared" si="27"/>
        <v>0</v>
      </c>
      <c r="K58" s="178">
        <v>0</v>
      </c>
      <c r="L58" s="80">
        <f t="shared" si="28"/>
        <v>0</v>
      </c>
      <c r="M58" s="178">
        <v>0</v>
      </c>
      <c r="N58" s="80">
        <f t="shared" si="29"/>
        <v>0</v>
      </c>
      <c r="O58" s="178">
        <v>0</v>
      </c>
      <c r="P58" s="80">
        <f t="shared" si="30"/>
        <v>0</v>
      </c>
      <c r="Q58" s="178">
        <v>0</v>
      </c>
      <c r="R58" s="80">
        <f t="shared" si="31"/>
        <v>0</v>
      </c>
      <c r="S58" s="178">
        <v>0</v>
      </c>
      <c r="T58" s="80">
        <f t="shared" si="32"/>
        <v>0</v>
      </c>
      <c r="U58" s="178">
        <v>0</v>
      </c>
      <c r="V58" s="80">
        <f t="shared" si="33"/>
        <v>0</v>
      </c>
      <c r="X58" s="192"/>
    </row>
    <row r="59" spans="1:24" ht="12.75" customHeight="1">
      <c r="A59" s="2" t="s">
        <v>403</v>
      </c>
      <c r="B59" s="35"/>
      <c r="C59" s="178"/>
      <c r="D59" s="80">
        <f t="shared" si="24"/>
        <v>0</v>
      </c>
      <c r="E59" s="178"/>
      <c r="F59" s="80">
        <f t="shared" si="25"/>
        <v>0</v>
      </c>
      <c r="G59" s="178"/>
      <c r="H59" s="80">
        <f t="shared" si="26"/>
        <v>0</v>
      </c>
      <c r="I59" s="178"/>
      <c r="J59" s="80">
        <f t="shared" si="27"/>
        <v>0</v>
      </c>
      <c r="K59" s="178"/>
      <c r="L59" s="80">
        <f t="shared" si="28"/>
        <v>0</v>
      </c>
      <c r="M59" s="178"/>
      <c r="N59" s="80">
        <f t="shared" si="29"/>
        <v>0</v>
      </c>
      <c r="O59" s="178"/>
      <c r="P59" s="80">
        <f t="shared" si="30"/>
        <v>0</v>
      </c>
      <c r="Q59" s="178"/>
      <c r="R59" s="80">
        <f t="shared" si="31"/>
        <v>0</v>
      </c>
      <c r="S59" s="178"/>
      <c r="T59" s="80">
        <f t="shared" si="32"/>
        <v>0</v>
      </c>
      <c r="U59" s="178"/>
      <c r="V59" s="80">
        <f t="shared" si="33"/>
        <v>0</v>
      </c>
      <c r="X59" s="192"/>
    </row>
    <row r="60" spans="1:24" ht="12.75" customHeight="1">
      <c r="A60" s="2" t="s">
        <v>404</v>
      </c>
      <c r="B60" s="35"/>
      <c r="C60" s="178">
        <v>0</v>
      </c>
      <c r="D60" s="80">
        <f t="shared" si="24"/>
        <v>0</v>
      </c>
      <c r="E60" s="178">
        <v>0</v>
      </c>
      <c r="F60" s="80">
        <f t="shared" si="25"/>
        <v>0</v>
      </c>
      <c r="G60" s="178">
        <v>0</v>
      </c>
      <c r="H60" s="80">
        <f t="shared" si="26"/>
        <v>0</v>
      </c>
      <c r="I60" s="178">
        <v>0</v>
      </c>
      <c r="J60" s="80">
        <f t="shared" si="27"/>
        <v>0</v>
      </c>
      <c r="K60" s="178">
        <v>0</v>
      </c>
      <c r="L60" s="80">
        <f t="shared" si="28"/>
        <v>0</v>
      </c>
      <c r="M60" s="178">
        <v>0</v>
      </c>
      <c r="N60" s="80">
        <f t="shared" si="29"/>
        <v>0</v>
      </c>
      <c r="O60" s="178">
        <v>0</v>
      </c>
      <c r="P60" s="80">
        <f t="shared" si="30"/>
        <v>0</v>
      </c>
      <c r="Q60" s="178">
        <v>0</v>
      </c>
      <c r="R60" s="80">
        <f t="shared" si="31"/>
        <v>0</v>
      </c>
      <c r="S60" s="178">
        <v>0</v>
      </c>
      <c r="T60" s="80">
        <f t="shared" si="32"/>
        <v>0</v>
      </c>
      <c r="U60" s="178">
        <v>0</v>
      </c>
      <c r="V60" s="80">
        <f t="shared" si="33"/>
        <v>0</v>
      </c>
      <c r="X60" s="192"/>
    </row>
    <row r="61" spans="1:24" ht="12.75" customHeight="1">
      <c r="A61" s="2" t="s">
        <v>405</v>
      </c>
      <c r="B61" s="35"/>
      <c r="C61" s="178">
        <v>0</v>
      </c>
      <c r="D61" s="80">
        <f t="shared" si="24"/>
        <v>0</v>
      </c>
      <c r="E61" s="178">
        <v>0</v>
      </c>
      <c r="F61" s="80">
        <f t="shared" si="25"/>
        <v>0</v>
      </c>
      <c r="G61" s="178">
        <v>0</v>
      </c>
      <c r="H61" s="80">
        <f t="shared" si="26"/>
        <v>0</v>
      </c>
      <c r="I61" s="178">
        <v>0</v>
      </c>
      <c r="J61" s="80">
        <f t="shared" si="27"/>
        <v>0</v>
      </c>
      <c r="K61" s="178">
        <v>0</v>
      </c>
      <c r="L61" s="80">
        <f t="shared" si="28"/>
        <v>0</v>
      </c>
      <c r="M61" s="178">
        <v>0</v>
      </c>
      <c r="N61" s="80">
        <f t="shared" si="29"/>
        <v>0</v>
      </c>
      <c r="O61" s="178">
        <v>0</v>
      </c>
      <c r="P61" s="80">
        <f t="shared" si="30"/>
        <v>0</v>
      </c>
      <c r="Q61" s="178">
        <v>0</v>
      </c>
      <c r="R61" s="80">
        <f t="shared" si="31"/>
        <v>0</v>
      </c>
      <c r="S61" s="178">
        <v>0</v>
      </c>
      <c r="T61" s="80">
        <f t="shared" si="32"/>
        <v>0</v>
      </c>
      <c r="U61" s="178">
        <v>0</v>
      </c>
      <c r="V61" s="80">
        <f t="shared" si="33"/>
        <v>0</v>
      </c>
      <c r="X61" s="192"/>
    </row>
    <row r="62" spans="1:24" ht="12.75" customHeight="1">
      <c r="A62" s="2" t="s">
        <v>406</v>
      </c>
      <c r="B62" s="35"/>
      <c r="C62" s="178">
        <v>0</v>
      </c>
      <c r="D62" s="80">
        <f t="shared" si="24"/>
        <v>0</v>
      </c>
      <c r="E62" s="178">
        <v>0</v>
      </c>
      <c r="F62" s="80">
        <f t="shared" si="25"/>
        <v>0</v>
      </c>
      <c r="G62" s="178">
        <v>0</v>
      </c>
      <c r="H62" s="80">
        <f t="shared" si="26"/>
        <v>0</v>
      </c>
      <c r="I62" s="178">
        <v>0</v>
      </c>
      <c r="J62" s="80">
        <f t="shared" si="27"/>
        <v>0</v>
      </c>
      <c r="K62" s="178">
        <v>0</v>
      </c>
      <c r="L62" s="80">
        <f t="shared" si="28"/>
        <v>0</v>
      </c>
      <c r="M62" s="178">
        <v>0</v>
      </c>
      <c r="N62" s="80">
        <f t="shared" si="29"/>
        <v>0</v>
      </c>
      <c r="O62" s="178">
        <v>0</v>
      </c>
      <c r="P62" s="80">
        <f t="shared" si="30"/>
        <v>0</v>
      </c>
      <c r="Q62" s="178">
        <v>0</v>
      </c>
      <c r="R62" s="80">
        <f t="shared" si="31"/>
        <v>0</v>
      </c>
      <c r="S62" s="178">
        <v>0</v>
      </c>
      <c r="T62" s="80">
        <f t="shared" si="32"/>
        <v>0</v>
      </c>
      <c r="U62" s="178">
        <v>0</v>
      </c>
      <c r="V62" s="80">
        <f t="shared" si="33"/>
        <v>0</v>
      </c>
      <c r="X62" s="192"/>
    </row>
    <row r="63" spans="1:24" ht="12.75" customHeight="1">
      <c r="A63" s="2" t="s">
        <v>407</v>
      </c>
      <c r="B63" s="35"/>
      <c r="C63" s="178">
        <v>0</v>
      </c>
      <c r="D63" s="80">
        <f t="shared" si="24"/>
        <v>0</v>
      </c>
      <c r="E63" s="178">
        <v>17283.407439980336</v>
      </c>
      <c r="F63" s="80">
        <f t="shared" si="25"/>
        <v>1.2345291028557383E-2</v>
      </c>
      <c r="G63" s="178">
        <v>17784.481275904898</v>
      </c>
      <c r="H63" s="80">
        <f t="shared" si="26"/>
        <v>1.2214616260923693E-2</v>
      </c>
      <c r="I63" s="178">
        <v>18543.353724341949</v>
      </c>
      <c r="J63" s="80">
        <f t="shared" si="27"/>
        <v>1.2245980640018722E-2</v>
      </c>
      <c r="K63" s="178">
        <v>19040.789901160799</v>
      </c>
      <c r="L63" s="80">
        <f t="shared" si="28"/>
        <v>1.2208238976341107E-2</v>
      </c>
      <c r="M63" s="178">
        <v>19645.077501242267</v>
      </c>
      <c r="N63" s="80">
        <f t="shared" si="29"/>
        <v>1.2228820852233806E-2</v>
      </c>
      <c r="O63" s="178">
        <v>20276.145286515166</v>
      </c>
      <c r="P63" s="80">
        <f t="shared" si="30"/>
        <v>1.2254031885822086E-2</v>
      </c>
      <c r="Q63" s="178">
        <v>20945.763540987384</v>
      </c>
      <c r="R63" s="80">
        <f t="shared" si="31"/>
        <v>1.2290019821740245E-2</v>
      </c>
      <c r="S63" s="178">
        <v>21635.767470916624</v>
      </c>
      <c r="T63" s="80">
        <f t="shared" si="32"/>
        <v>1.2325128828525087E-2</v>
      </c>
      <c r="U63" s="178">
        <v>22352.674177082416</v>
      </c>
      <c r="V63" s="80">
        <f t="shared" si="33"/>
        <v>1.236264576162681E-2</v>
      </c>
      <c r="X63" s="192"/>
    </row>
    <row r="64" spans="1:24" ht="12.75" customHeight="1">
      <c r="A64" s="2" t="s">
        <v>408</v>
      </c>
      <c r="B64" s="35"/>
      <c r="C64" s="178">
        <v>0</v>
      </c>
      <c r="D64" s="80">
        <f t="shared" si="24"/>
        <v>0</v>
      </c>
      <c r="E64" s="178">
        <v>6719.9999999999991</v>
      </c>
      <c r="F64" s="80">
        <f t="shared" si="25"/>
        <v>4.7999999999999996E-3</v>
      </c>
      <c r="G64" s="178">
        <v>6988.7999999999993</v>
      </c>
      <c r="H64" s="80">
        <f t="shared" si="26"/>
        <v>4.7999999999999996E-3</v>
      </c>
      <c r="I64" s="178">
        <v>7268.351999999999</v>
      </c>
      <c r="J64" s="80">
        <f t="shared" si="27"/>
        <v>4.7999999999999996E-3</v>
      </c>
      <c r="K64" s="178">
        <v>7486.4025599999995</v>
      </c>
      <c r="L64" s="80">
        <f t="shared" si="28"/>
        <v>4.7999999999999996E-3</v>
      </c>
      <c r="M64" s="178">
        <v>7710.9946367999992</v>
      </c>
      <c r="N64" s="80">
        <f t="shared" si="29"/>
        <v>4.7999999999999996E-3</v>
      </c>
      <c r="O64" s="178">
        <v>7942.3244759039999</v>
      </c>
      <c r="P64" s="80">
        <f t="shared" si="30"/>
        <v>4.8000000000000004E-3</v>
      </c>
      <c r="Q64" s="178">
        <v>8180.5942101811179</v>
      </c>
      <c r="R64" s="80">
        <f t="shared" si="31"/>
        <v>4.7999999999999987E-3</v>
      </c>
      <c r="S64" s="178">
        <v>8426.0120364865525</v>
      </c>
      <c r="T64" s="80">
        <f t="shared" si="32"/>
        <v>4.7999999999999996E-3</v>
      </c>
      <c r="U64" s="178">
        <v>8678.79239758115</v>
      </c>
      <c r="V64" s="80">
        <f t="shared" si="33"/>
        <v>4.7999999999999996E-3</v>
      </c>
      <c r="X64" s="192"/>
    </row>
    <row r="65" spans="1:24" ht="12.75" customHeight="1">
      <c r="A65" s="2" t="s">
        <v>409</v>
      </c>
      <c r="B65" s="35"/>
      <c r="C65" s="178">
        <v>0</v>
      </c>
      <c r="D65" s="80">
        <f t="shared" si="24"/>
        <v>0</v>
      </c>
      <c r="E65" s="178">
        <v>700</v>
      </c>
      <c r="F65" s="80">
        <f t="shared" si="25"/>
        <v>5.0000000000000001E-4</v>
      </c>
      <c r="G65" s="178">
        <v>728</v>
      </c>
      <c r="H65" s="80">
        <f t="shared" si="26"/>
        <v>5.0000000000000001E-4</v>
      </c>
      <c r="I65" s="178">
        <v>757.12</v>
      </c>
      <c r="J65" s="80">
        <f t="shared" si="27"/>
        <v>5.0000000000000001E-4</v>
      </c>
      <c r="K65" s="178">
        <v>779.83359999999993</v>
      </c>
      <c r="L65" s="80">
        <f t="shared" si="28"/>
        <v>5.0000000000000001E-4</v>
      </c>
      <c r="M65" s="178">
        <v>803.22860800000001</v>
      </c>
      <c r="N65" s="80">
        <f t="shared" si="29"/>
        <v>5.0000000000000001E-4</v>
      </c>
      <c r="O65" s="178">
        <v>827.32546624000008</v>
      </c>
      <c r="P65" s="80">
        <f t="shared" si="30"/>
        <v>5.0000000000000001E-4</v>
      </c>
      <c r="Q65" s="178">
        <v>852.14523022720005</v>
      </c>
      <c r="R65" s="80">
        <f t="shared" si="31"/>
        <v>5.0000000000000001E-4</v>
      </c>
      <c r="S65" s="178">
        <v>877.70958713401592</v>
      </c>
      <c r="T65" s="80">
        <f t="shared" si="32"/>
        <v>5.0000000000000001E-4</v>
      </c>
      <c r="U65" s="178">
        <v>904.04087474803646</v>
      </c>
      <c r="V65" s="80">
        <f t="shared" si="33"/>
        <v>5.0000000000000001E-4</v>
      </c>
      <c r="X65" s="192"/>
    </row>
    <row r="66" spans="1:24" ht="12.75" customHeight="1">
      <c r="A66" s="2" t="s">
        <v>410</v>
      </c>
      <c r="B66" s="35"/>
      <c r="C66" s="178">
        <v>0</v>
      </c>
      <c r="D66" s="80">
        <f t="shared" si="24"/>
        <v>0</v>
      </c>
      <c r="E66" s="178">
        <v>3919.9999999999995</v>
      </c>
      <c r="F66" s="80">
        <f t="shared" si="25"/>
        <v>2.7999999999999995E-3</v>
      </c>
      <c r="G66" s="178">
        <v>4076.8</v>
      </c>
      <c r="H66" s="80">
        <f t="shared" si="26"/>
        <v>2.8E-3</v>
      </c>
      <c r="I66" s="178">
        <v>4239.8720000000003</v>
      </c>
      <c r="J66" s="80">
        <f t="shared" si="27"/>
        <v>2.8000000000000004E-3</v>
      </c>
      <c r="K66" s="178">
        <v>4367.0681599999998</v>
      </c>
      <c r="L66" s="80">
        <f t="shared" si="28"/>
        <v>2.8E-3</v>
      </c>
      <c r="M66" s="178">
        <v>4498.0802048000005</v>
      </c>
      <c r="N66" s="80">
        <f t="shared" si="29"/>
        <v>2.8000000000000004E-3</v>
      </c>
      <c r="O66" s="178">
        <v>4633.022610944</v>
      </c>
      <c r="P66" s="80">
        <f t="shared" si="30"/>
        <v>2.8E-3</v>
      </c>
      <c r="Q66" s="178">
        <v>4772.0132892723204</v>
      </c>
      <c r="R66" s="80">
        <f t="shared" si="31"/>
        <v>2.8000000000000004E-3</v>
      </c>
      <c r="S66" s="178">
        <v>4915.1736879504888</v>
      </c>
      <c r="T66" s="80">
        <f t="shared" si="32"/>
        <v>2.7999999999999995E-3</v>
      </c>
      <c r="U66" s="178">
        <v>5062.6288985890042</v>
      </c>
      <c r="V66" s="80">
        <f t="shared" si="33"/>
        <v>2.8E-3</v>
      </c>
      <c r="X66" s="192"/>
    </row>
    <row r="67" spans="1:24" ht="12.75" customHeight="1">
      <c r="A67" s="2" t="s">
        <v>411</v>
      </c>
      <c r="B67" s="35"/>
      <c r="C67" s="178">
        <v>0</v>
      </c>
      <c r="D67" s="80">
        <f t="shared" si="24"/>
        <v>0</v>
      </c>
      <c r="E67" s="178">
        <v>21000</v>
      </c>
      <c r="F67" s="80">
        <f t="shared" si="25"/>
        <v>1.4999999999999999E-2</v>
      </c>
      <c r="G67" s="178">
        <v>21840</v>
      </c>
      <c r="H67" s="80">
        <f t="shared" si="26"/>
        <v>1.4999999999999999E-2</v>
      </c>
      <c r="I67" s="178">
        <v>22713.599999999999</v>
      </c>
      <c r="J67" s="80">
        <f t="shared" si="27"/>
        <v>1.4999999999999999E-2</v>
      </c>
      <c r="K67" s="178">
        <v>23395.007999999998</v>
      </c>
      <c r="L67" s="80">
        <f t="shared" si="28"/>
        <v>1.4999999999999999E-2</v>
      </c>
      <c r="M67" s="178">
        <v>24096.858239999998</v>
      </c>
      <c r="N67" s="80">
        <f t="shared" si="29"/>
        <v>1.4999999999999998E-2</v>
      </c>
      <c r="O67" s="178">
        <v>24819.7639872</v>
      </c>
      <c r="P67" s="80">
        <f t="shared" si="30"/>
        <v>1.5000000000000001E-2</v>
      </c>
      <c r="Q67" s="178">
        <v>25564.356906815996</v>
      </c>
      <c r="R67" s="80">
        <f t="shared" si="31"/>
        <v>1.4999999999999998E-2</v>
      </c>
      <c r="S67" s="178">
        <v>26331.287614020479</v>
      </c>
      <c r="T67" s="80">
        <f t="shared" si="32"/>
        <v>1.4999999999999999E-2</v>
      </c>
      <c r="U67" s="178">
        <v>27121.226242441095</v>
      </c>
      <c r="V67" s="80">
        <f t="shared" si="33"/>
        <v>1.4999999999999999E-2</v>
      </c>
      <c r="X67" s="192"/>
    </row>
    <row r="68" spans="1:24" ht="12.75" customHeight="1">
      <c r="A68" s="2" t="s">
        <v>412</v>
      </c>
      <c r="B68" s="35"/>
      <c r="C68" s="178">
        <v>0</v>
      </c>
      <c r="D68" s="80">
        <f t="shared" si="24"/>
        <v>0</v>
      </c>
      <c r="E68" s="178">
        <v>2379.9999999999995</v>
      </c>
      <c r="F68" s="80">
        <f t="shared" si="25"/>
        <v>1.6999999999999997E-3</v>
      </c>
      <c r="G68" s="178">
        <v>2475.1999999999998</v>
      </c>
      <c r="H68" s="80">
        <f t="shared" si="26"/>
        <v>1.6999999999999999E-3</v>
      </c>
      <c r="I68" s="178">
        <v>2574.2079999999996</v>
      </c>
      <c r="J68" s="80">
        <f t="shared" si="27"/>
        <v>1.6999999999999997E-3</v>
      </c>
      <c r="K68" s="178">
        <v>2651.4342399999996</v>
      </c>
      <c r="L68" s="80">
        <f t="shared" si="28"/>
        <v>1.6999999999999997E-3</v>
      </c>
      <c r="M68" s="178">
        <v>2730.9772671999999</v>
      </c>
      <c r="N68" s="80">
        <f t="shared" si="29"/>
        <v>1.6999999999999999E-3</v>
      </c>
      <c r="O68" s="178">
        <v>2812.9065852159997</v>
      </c>
      <c r="P68" s="80">
        <f t="shared" si="30"/>
        <v>1.6999999999999999E-3</v>
      </c>
      <c r="Q68" s="178">
        <v>2897.29378277248</v>
      </c>
      <c r="R68" s="80">
        <f t="shared" si="31"/>
        <v>1.7000000000000001E-3</v>
      </c>
      <c r="S68" s="178">
        <v>2984.2125962556538</v>
      </c>
      <c r="T68" s="80">
        <f t="shared" si="32"/>
        <v>1.6999999999999997E-3</v>
      </c>
      <c r="U68" s="178">
        <v>3073.738974143324</v>
      </c>
      <c r="V68" s="80">
        <f t="shared" si="33"/>
        <v>1.6999999999999999E-3</v>
      </c>
      <c r="X68" s="192"/>
    </row>
    <row r="69" spans="1:24" ht="12.75" customHeight="1">
      <c r="A69" s="2" t="s">
        <v>413</v>
      </c>
      <c r="B69" s="35"/>
      <c r="C69" s="178">
        <v>0</v>
      </c>
      <c r="D69" s="80">
        <f t="shared" si="24"/>
        <v>0</v>
      </c>
      <c r="E69" s="178">
        <v>0</v>
      </c>
      <c r="F69" s="80">
        <f t="shared" si="25"/>
        <v>0</v>
      </c>
      <c r="G69" s="178">
        <v>0</v>
      </c>
      <c r="H69" s="80">
        <f t="shared" si="26"/>
        <v>0</v>
      </c>
      <c r="I69" s="178">
        <v>0</v>
      </c>
      <c r="J69" s="80">
        <f t="shared" si="27"/>
        <v>0</v>
      </c>
      <c r="K69" s="178">
        <v>0</v>
      </c>
      <c r="L69" s="80">
        <f t="shared" si="28"/>
        <v>0</v>
      </c>
      <c r="M69" s="178">
        <v>0</v>
      </c>
      <c r="N69" s="80">
        <f t="shared" si="29"/>
        <v>0</v>
      </c>
      <c r="O69" s="178">
        <v>0</v>
      </c>
      <c r="P69" s="80">
        <f t="shared" si="30"/>
        <v>0</v>
      </c>
      <c r="Q69" s="178">
        <v>0</v>
      </c>
      <c r="R69" s="80">
        <f t="shared" si="31"/>
        <v>0</v>
      </c>
      <c r="S69" s="178">
        <v>0</v>
      </c>
      <c r="T69" s="80">
        <f t="shared" si="32"/>
        <v>0</v>
      </c>
      <c r="U69" s="178">
        <v>0</v>
      </c>
      <c r="V69" s="80">
        <f t="shared" si="33"/>
        <v>0</v>
      </c>
      <c r="X69" s="192"/>
    </row>
    <row r="70" spans="1:24" ht="12.75" customHeight="1">
      <c r="A70" s="2" t="s">
        <v>414</v>
      </c>
      <c r="B70" s="35"/>
      <c r="C70" s="178">
        <v>0</v>
      </c>
      <c r="D70" s="80">
        <f t="shared" si="24"/>
        <v>0</v>
      </c>
      <c r="E70" s="178">
        <v>140</v>
      </c>
      <c r="F70" s="80">
        <f t="shared" si="25"/>
        <v>1E-4</v>
      </c>
      <c r="G70" s="178">
        <v>145.60000000000002</v>
      </c>
      <c r="H70" s="80">
        <f t="shared" si="26"/>
        <v>1.0000000000000002E-4</v>
      </c>
      <c r="I70" s="178">
        <v>151.42400000000001</v>
      </c>
      <c r="J70" s="80">
        <f t="shared" si="27"/>
        <v>1E-4</v>
      </c>
      <c r="K70" s="178">
        <v>155.96671999999998</v>
      </c>
      <c r="L70" s="80">
        <f t="shared" si="28"/>
        <v>9.9999999999999991E-5</v>
      </c>
      <c r="M70" s="178">
        <v>160.6457216</v>
      </c>
      <c r="N70" s="80">
        <f t="shared" si="29"/>
        <v>1E-4</v>
      </c>
      <c r="O70" s="178">
        <v>165.46509324800002</v>
      </c>
      <c r="P70" s="80">
        <f t="shared" si="30"/>
        <v>1.0000000000000002E-4</v>
      </c>
      <c r="Q70" s="178">
        <v>170.42904604544</v>
      </c>
      <c r="R70" s="80">
        <f t="shared" si="31"/>
        <v>1E-4</v>
      </c>
      <c r="S70" s="178">
        <v>175.5419174268032</v>
      </c>
      <c r="T70" s="80">
        <f t="shared" si="32"/>
        <v>1E-4</v>
      </c>
      <c r="U70" s="178">
        <v>180.80817494960729</v>
      </c>
      <c r="V70" s="80">
        <f t="shared" si="33"/>
        <v>9.9999999999999991E-5</v>
      </c>
      <c r="X70" s="192"/>
    </row>
    <row r="71" spans="1:24" ht="12.75" customHeight="1">
      <c r="A71" s="2" t="s">
        <v>415</v>
      </c>
      <c r="B71" s="35"/>
      <c r="C71" s="178">
        <v>0</v>
      </c>
      <c r="D71" s="80">
        <f t="shared" si="24"/>
        <v>0</v>
      </c>
      <c r="E71" s="178">
        <v>0</v>
      </c>
      <c r="F71" s="80">
        <f t="shared" si="25"/>
        <v>0</v>
      </c>
      <c r="G71" s="178">
        <v>0</v>
      </c>
      <c r="H71" s="80">
        <f t="shared" si="26"/>
        <v>0</v>
      </c>
      <c r="I71" s="178">
        <v>0</v>
      </c>
      <c r="J71" s="80">
        <f t="shared" si="27"/>
        <v>0</v>
      </c>
      <c r="K71" s="178">
        <v>0</v>
      </c>
      <c r="L71" s="80">
        <f t="shared" si="28"/>
        <v>0</v>
      </c>
      <c r="M71" s="178">
        <v>0</v>
      </c>
      <c r="N71" s="80">
        <f t="shared" si="29"/>
        <v>0</v>
      </c>
      <c r="O71" s="178">
        <v>0</v>
      </c>
      <c r="P71" s="80">
        <f t="shared" si="30"/>
        <v>0</v>
      </c>
      <c r="Q71" s="178">
        <v>0</v>
      </c>
      <c r="R71" s="80">
        <f t="shared" si="31"/>
        <v>0</v>
      </c>
      <c r="S71" s="178">
        <v>0</v>
      </c>
      <c r="T71" s="80">
        <f t="shared" si="32"/>
        <v>0</v>
      </c>
      <c r="U71" s="178">
        <v>0</v>
      </c>
      <c r="V71" s="80">
        <f t="shared" si="33"/>
        <v>0</v>
      </c>
      <c r="X71" s="192"/>
    </row>
    <row r="72" spans="1:24" ht="12.75" customHeight="1">
      <c r="A72" s="2" t="s">
        <v>416</v>
      </c>
      <c r="B72" s="35"/>
      <c r="C72" s="178">
        <v>0</v>
      </c>
      <c r="D72" s="80">
        <f t="shared" si="24"/>
        <v>0</v>
      </c>
      <c r="E72" s="178">
        <v>0</v>
      </c>
      <c r="F72" s="80">
        <f t="shared" si="25"/>
        <v>0</v>
      </c>
      <c r="G72" s="178">
        <v>0</v>
      </c>
      <c r="H72" s="80">
        <f t="shared" si="26"/>
        <v>0</v>
      </c>
      <c r="I72" s="178">
        <v>0</v>
      </c>
      <c r="J72" s="80">
        <f t="shared" si="27"/>
        <v>0</v>
      </c>
      <c r="K72" s="178">
        <v>0</v>
      </c>
      <c r="L72" s="80">
        <f t="shared" si="28"/>
        <v>0</v>
      </c>
      <c r="M72" s="178">
        <v>0</v>
      </c>
      <c r="N72" s="80">
        <f t="shared" si="29"/>
        <v>0</v>
      </c>
      <c r="O72" s="178">
        <v>0</v>
      </c>
      <c r="P72" s="80">
        <f t="shared" si="30"/>
        <v>0</v>
      </c>
      <c r="Q72" s="178">
        <v>0</v>
      </c>
      <c r="R72" s="80">
        <f t="shared" si="31"/>
        <v>0</v>
      </c>
      <c r="S72" s="178">
        <v>0</v>
      </c>
      <c r="T72" s="80">
        <f t="shared" si="32"/>
        <v>0</v>
      </c>
      <c r="U72" s="178">
        <v>0</v>
      </c>
      <c r="V72" s="80">
        <f t="shared" si="33"/>
        <v>0</v>
      </c>
      <c r="X72" s="192"/>
    </row>
    <row r="73" spans="1:24" ht="12.75" customHeight="1">
      <c r="A73" s="2" t="s">
        <v>417</v>
      </c>
      <c r="B73" s="35"/>
      <c r="C73" s="178">
        <v>0</v>
      </c>
      <c r="D73" s="80">
        <f t="shared" si="24"/>
        <v>0</v>
      </c>
      <c r="E73" s="178">
        <v>0</v>
      </c>
      <c r="F73" s="80">
        <f t="shared" si="25"/>
        <v>0</v>
      </c>
      <c r="G73" s="178">
        <v>0</v>
      </c>
      <c r="H73" s="80">
        <f t="shared" si="26"/>
        <v>0</v>
      </c>
      <c r="I73" s="178">
        <v>0</v>
      </c>
      <c r="J73" s="80">
        <f t="shared" si="27"/>
        <v>0</v>
      </c>
      <c r="K73" s="178">
        <v>0</v>
      </c>
      <c r="L73" s="80">
        <f t="shared" si="28"/>
        <v>0</v>
      </c>
      <c r="M73" s="178">
        <v>0</v>
      </c>
      <c r="N73" s="80">
        <f t="shared" si="29"/>
        <v>0</v>
      </c>
      <c r="O73" s="178">
        <v>0</v>
      </c>
      <c r="P73" s="80">
        <f t="shared" si="30"/>
        <v>0</v>
      </c>
      <c r="Q73" s="178">
        <v>0</v>
      </c>
      <c r="R73" s="80">
        <f t="shared" si="31"/>
        <v>0</v>
      </c>
      <c r="S73" s="178">
        <v>0</v>
      </c>
      <c r="T73" s="80">
        <f t="shared" si="32"/>
        <v>0</v>
      </c>
      <c r="U73" s="178">
        <v>0</v>
      </c>
      <c r="V73" s="80">
        <f t="shared" si="33"/>
        <v>0</v>
      </c>
      <c r="X73" s="192"/>
    </row>
    <row r="74" spans="1:24" ht="12.75" customHeight="1">
      <c r="A74" s="2" t="s">
        <v>418</v>
      </c>
      <c r="B74" s="35"/>
      <c r="C74" s="178">
        <v>0</v>
      </c>
      <c r="D74" s="80">
        <f t="shared" si="24"/>
        <v>0</v>
      </c>
      <c r="E74" s="178">
        <v>0</v>
      </c>
      <c r="F74" s="80">
        <f t="shared" si="25"/>
        <v>0</v>
      </c>
      <c r="G74" s="178">
        <v>0</v>
      </c>
      <c r="H74" s="80">
        <f t="shared" si="26"/>
        <v>0</v>
      </c>
      <c r="I74" s="178">
        <v>0</v>
      </c>
      <c r="J74" s="80">
        <f t="shared" si="27"/>
        <v>0</v>
      </c>
      <c r="K74" s="178">
        <v>0</v>
      </c>
      <c r="L74" s="80">
        <f t="shared" si="28"/>
        <v>0</v>
      </c>
      <c r="M74" s="178">
        <v>0</v>
      </c>
      <c r="N74" s="80">
        <f t="shared" si="29"/>
        <v>0</v>
      </c>
      <c r="O74" s="178">
        <v>0</v>
      </c>
      <c r="P74" s="80">
        <f t="shared" si="30"/>
        <v>0</v>
      </c>
      <c r="Q74" s="178">
        <v>0</v>
      </c>
      <c r="R74" s="80">
        <f t="shared" si="31"/>
        <v>0</v>
      </c>
      <c r="S74" s="178">
        <v>0</v>
      </c>
      <c r="T74" s="80">
        <f t="shared" si="32"/>
        <v>0</v>
      </c>
      <c r="U74" s="178">
        <v>0</v>
      </c>
      <c r="V74" s="80">
        <f t="shared" si="33"/>
        <v>0</v>
      </c>
      <c r="X74" s="192"/>
    </row>
    <row r="75" spans="1:24" ht="12.75" customHeight="1">
      <c r="A75" s="2" t="s">
        <v>419</v>
      </c>
      <c r="B75" s="35"/>
      <c r="C75" s="178">
        <v>0</v>
      </c>
      <c r="D75" s="80">
        <f t="shared" si="24"/>
        <v>0</v>
      </c>
      <c r="E75" s="178">
        <v>6299.9999999999991</v>
      </c>
      <c r="F75" s="80">
        <f t="shared" si="25"/>
        <v>4.4999999999999997E-3</v>
      </c>
      <c r="G75" s="178">
        <v>6551.9999999999991</v>
      </c>
      <c r="H75" s="80">
        <f t="shared" si="26"/>
        <v>4.4999999999999997E-3</v>
      </c>
      <c r="I75" s="178">
        <v>6814.08</v>
      </c>
      <c r="J75" s="80">
        <f t="shared" si="27"/>
        <v>4.4999999999999997E-3</v>
      </c>
      <c r="K75" s="178">
        <v>7018.5023999999994</v>
      </c>
      <c r="L75" s="80">
        <f t="shared" si="28"/>
        <v>4.4999999999999997E-3</v>
      </c>
      <c r="M75" s="178">
        <v>7229.0574719999995</v>
      </c>
      <c r="N75" s="80">
        <f t="shared" si="29"/>
        <v>4.4999999999999997E-3</v>
      </c>
      <c r="O75" s="178">
        <v>7445.9291961599993</v>
      </c>
      <c r="P75" s="80">
        <f t="shared" si="30"/>
        <v>4.4999999999999997E-3</v>
      </c>
      <c r="Q75" s="178">
        <v>7669.3070720447995</v>
      </c>
      <c r="R75" s="80">
        <f t="shared" si="31"/>
        <v>4.4999999999999997E-3</v>
      </c>
      <c r="S75" s="178">
        <v>7899.3862842061426</v>
      </c>
      <c r="T75" s="80">
        <f t="shared" si="32"/>
        <v>4.4999999999999997E-3</v>
      </c>
      <c r="U75" s="178">
        <v>8136.3678727323277</v>
      </c>
      <c r="V75" s="80">
        <f t="shared" si="33"/>
        <v>4.4999999999999997E-3</v>
      </c>
      <c r="X75" s="192"/>
    </row>
    <row r="76" spans="1:24" ht="12.75" customHeight="1">
      <c r="A76" s="2" t="s">
        <v>420</v>
      </c>
      <c r="B76" s="35"/>
      <c r="C76" s="178">
        <v>0</v>
      </c>
      <c r="D76" s="80">
        <f t="shared" si="24"/>
        <v>0</v>
      </c>
      <c r="E76" s="178">
        <v>560</v>
      </c>
      <c r="F76" s="80">
        <f t="shared" si="25"/>
        <v>4.0000000000000002E-4</v>
      </c>
      <c r="G76" s="178">
        <v>582.40000000000009</v>
      </c>
      <c r="H76" s="80">
        <f t="shared" si="26"/>
        <v>4.0000000000000007E-4</v>
      </c>
      <c r="I76" s="178">
        <v>605.69600000000003</v>
      </c>
      <c r="J76" s="80">
        <f t="shared" si="27"/>
        <v>4.0000000000000002E-4</v>
      </c>
      <c r="K76" s="178">
        <v>623.86687999999992</v>
      </c>
      <c r="L76" s="80">
        <f t="shared" si="28"/>
        <v>3.9999999999999996E-4</v>
      </c>
      <c r="M76" s="178">
        <v>642.58288640000001</v>
      </c>
      <c r="N76" s="80">
        <f t="shared" si="29"/>
        <v>4.0000000000000002E-4</v>
      </c>
      <c r="O76" s="178">
        <v>661.86037299200007</v>
      </c>
      <c r="P76" s="80">
        <f t="shared" si="30"/>
        <v>4.0000000000000007E-4</v>
      </c>
      <c r="Q76" s="178">
        <v>681.71618418176001</v>
      </c>
      <c r="R76" s="80">
        <f t="shared" si="31"/>
        <v>4.0000000000000002E-4</v>
      </c>
      <c r="S76" s="178">
        <v>702.16766970721278</v>
      </c>
      <c r="T76" s="80">
        <f t="shared" si="32"/>
        <v>4.0000000000000002E-4</v>
      </c>
      <c r="U76" s="178">
        <v>723.23269979842917</v>
      </c>
      <c r="V76" s="80">
        <f t="shared" si="33"/>
        <v>3.9999999999999996E-4</v>
      </c>
      <c r="X76" s="192"/>
    </row>
    <row r="77" spans="1:24" ht="12.75" customHeight="1">
      <c r="A77" s="2" t="s">
        <v>421</v>
      </c>
      <c r="B77" s="35"/>
      <c r="C77" s="178">
        <v>0</v>
      </c>
      <c r="D77" s="80">
        <f t="shared" si="24"/>
        <v>0</v>
      </c>
      <c r="E77" s="178">
        <v>1819.9999999999998</v>
      </c>
      <c r="F77" s="80">
        <f t="shared" si="25"/>
        <v>1.2999999999999999E-3</v>
      </c>
      <c r="G77" s="178">
        <v>1892.8</v>
      </c>
      <c r="H77" s="80">
        <f t="shared" si="26"/>
        <v>1.2999999999999999E-3</v>
      </c>
      <c r="I77" s="178">
        <v>1968.5120000000002</v>
      </c>
      <c r="J77" s="80">
        <f t="shared" si="27"/>
        <v>1.3000000000000002E-3</v>
      </c>
      <c r="K77" s="178">
        <v>2027.5673599999998</v>
      </c>
      <c r="L77" s="80">
        <f t="shared" si="28"/>
        <v>1.2999999999999999E-3</v>
      </c>
      <c r="M77" s="178">
        <v>2088.3943807999999</v>
      </c>
      <c r="N77" s="80">
        <f t="shared" si="29"/>
        <v>1.2999999999999999E-3</v>
      </c>
      <c r="O77" s="178">
        <v>2151.0462122239996</v>
      </c>
      <c r="P77" s="80">
        <f t="shared" si="30"/>
        <v>1.2999999999999997E-3</v>
      </c>
      <c r="Q77" s="178">
        <v>2215.5775985907194</v>
      </c>
      <c r="R77" s="80">
        <f t="shared" si="31"/>
        <v>1.2999999999999997E-3</v>
      </c>
      <c r="S77" s="178">
        <v>2282.0449265484417</v>
      </c>
      <c r="T77" s="80">
        <f t="shared" si="32"/>
        <v>1.3000000000000002E-3</v>
      </c>
      <c r="U77" s="178">
        <v>2350.5062743448948</v>
      </c>
      <c r="V77" s="80">
        <f t="shared" si="33"/>
        <v>1.2999999999999999E-3</v>
      </c>
      <c r="X77" s="192"/>
    </row>
    <row r="78" spans="1:24" ht="12.75" customHeight="1">
      <c r="A78" s="2" t="s">
        <v>422</v>
      </c>
      <c r="B78" s="35"/>
      <c r="C78" s="178">
        <v>0</v>
      </c>
      <c r="D78" s="80">
        <f t="shared" si="24"/>
        <v>0</v>
      </c>
      <c r="E78" s="178">
        <v>30799.999999999996</v>
      </c>
      <c r="F78" s="80">
        <f t="shared" si="25"/>
        <v>2.1999999999999999E-2</v>
      </c>
      <c r="G78" s="178">
        <v>32032</v>
      </c>
      <c r="H78" s="80">
        <f t="shared" si="26"/>
        <v>2.1999999999999999E-2</v>
      </c>
      <c r="I78" s="178">
        <v>33313.279999999999</v>
      </c>
      <c r="J78" s="80">
        <f t="shared" si="27"/>
        <v>2.1999999999999999E-2</v>
      </c>
      <c r="K78" s="178">
        <v>34312.678399999997</v>
      </c>
      <c r="L78" s="80">
        <f t="shared" si="28"/>
        <v>2.1999999999999999E-2</v>
      </c>
      <c r="M78" s="178">
        <v>35342.058751999997</v>
      </c>
      <c r="N78" s="80">
        <f t="shared" si="29"/>
        <v>2.1999999999999999E-2</v>
      </c>
      <c r="O78" s="178">
        <v>36402.32051456</v>
      </c>
      <c r="P78" s="80">
        <f t="shared" si="30"/>
        <v>2.2000000000000002E-2</v>
      </c>
      <c r="Q78" s="178">
        <v>37494.390129996791</v>
      </c>
      <c r="R78" s="80">
        <f t="shared" si="31"/>
        <v>2.1999999999999995E-2</v>
      </c>
      <c r="S78" s="178">
        <v>38619.2218338967</v>
      </c>
      <c r="T78" s="80">
        <f t="shared" si="32"/>
        <v>2.1999999999999999E-2</v>
      </c>
      <c r="U78" s="178">
        <v>39777.798488913606</v>
      </c>
      <c r="V78" s="80">
        <f t="shared" si="33"/>
        <v>2.1999999999999999E-2</v>
      </c>
      <c r="X78" s="192"/>
    </row>
    <row r="79" spans="1:24" ht="12.75" customHeight="1">
      <c r="A79" s="2" t="s">
        <v>423</v>
      </c>
      <c r="B79" s="35"/>
      <c r="C79" s="178">
        <v>0</v>
      </c>
      <c r="D79" s="80">
        <f t="shared" si="24"/>
        <v>0</v>
      </c>
      <c r="E79" s="178">
        <v>0</v>
      </c>
      <c r="F79" s="80">
        <f t="shared" si="25"/>
        <v>0</v>
      </c>
      <c r="G79" s="178">
        <v>0</v>
      </c>
      <c r="H79" s="80">
        <f t="shared" si="26"/>
        <v>0</v>
      </c>
      <c r="I79" s="178">
        <v>0</v>
      </c>
      <c r="J79" s="80">
        <f t="shared" si="27"/>
        <v>0</v>
      </c>
      <c r="K79" s="178">
        <v>0</v>
      </c>
      <c r="L79" s="80">
        <f t="shared" si="28"/>
        <v>0</v>
      </c>
      <c r="M79" s="178">
        <v>0</v>
      </c>
      <c r="N79" s="80">
        <f t="shared" si="29"/>
        <v>0</v>
      </c>
      <c r="O79" s="178">
        <v>0</v>
      </c>
      <c r="P79" s="80">
        <f t="shared" si="30"/>
        <v>0</v>
      </c>
      <c r="Q79" s="178">
        <v>0</v>
      </c>
      <c r="R79" s="80">
        <f t="shared" si="31"/>
        <v>0</v>
      </c>
      <c r="S79" s="178">
        <v>0</v>
      </c>
      <c r="T79" s="80">
        <f t="shared" si="32"/>
        <v>0</v>
      </c>
      <c r="U79" s="178">
        <v>0</v>
      </c>
      <c r="V79" s="80">
        <f t="shared" si="33"/>
        <v>0</v>
      </c>
      <c r="X79" s="192"/>
    </row>
    <row r="80" spans="1:24" ht="12.75" customHeight="1">
      <c r="A80" s="2" t="s">
        <v>424</v>
      </c>
      <c r="B80" s="35"/>
      <c r="C80" s="178">
        <v>0</v>
      </c>
      <c r="D80" s="80">
        <f t="shared" si="24"/>
        <v>0</v>
      </c>
      <c r="E80" s="178">
        <v>0</v>
      </c>
      <c r="F80" s="80">
        <f t="shared" si="25"/>
        <v>0</v>
      </c>
      <c r="G80" s="178">
        <v>0</v>
      </c>
      <c r="H80" s="80">
        <f t="shared" si="26"/>
        <v>0</v>
      </c>
      <c r="I80" s="178">
        <v>0</v>
      </c>
      <c r="J80" s="80">
        <f t="shared" si="27"/>
        <v>0</v>
      </c>
      <c r="K80" s="178">
        <v>0</v>
      </c>
      <c r="L80" s="80">
        <f t="shared" si="28"/>
        <v>0</v>
      </c>
      <c r="M80" s="178">
        <v>0</v>
      </c>
      <c r="N80" s="80">
        <f t="shared" si="29"/>
        <v>0</v>
      </c>
      <c r="O80" s="178">
        <v>0</v>
      </c>
      <c r="P80" s="80">
        <f t="shared" si="30"/>
        <v>0</v>
      </c>
      <c r="Q80" s="178">
        <v>0</v>
      </c>
      <c r="R80" s="80">
        <f t="shared" si="31"/>
        <v>0</v>
      </c>
      <c r="S80" s="178">
        <v>0</v>
      </c>
      <c r="T80" s="80">
        <f t="shared" si="32"/>
        <v>0</v>
      </c>
      <c r="U80" s="178">
        <v>0</v>
      </c>
      <c r="V80" s="80">
        <f t="shared" si="33"/>
        <v>0</v>
      </c>
      <c r="X80" s="192"/>
    </row>
    <row r="81" spans="1:24" ht="12.75" customHeight="1">
      <c r="A81" s="2" t="s">
        <v>425</v>
      </c>
      <c r="B81" s="35"/>
      <c r="C81" s="178">
        <v>0</v>
      </c>
      <c r="D81" s="80">
        <f t="shared" si="24"/>
        <v>0</v>
      </c>
      <c r="E81" s="178">
        <v>0</v>
      </c>
      <c r="F81" s="80">
        <f t="shared" si="25"/>
        <v>0</v>
      </c>
      <c r="G81" s="178">
        <v>0</v>
      </c>
      <c r="H81" s="80">
        <f t="shared" si="26"/>
        <v>0</v>
      </c>
      <c r="I81" s="178">
        <v>0</v>
      </c>
      <c r="J81" s="80">
        <f t="shared" si="27"/>
        <v>0</v>
      </c>
      <c r="K81" s="178">
        <v>0</v>
      </c>
      <c r="L81" s="80">
        <f t="shared" si="28"/>
        <v>0</v>
      </c>
      <c r="M81" s="178">
        <v>0</v>
      </c>
      <c r="N81" s="80">
        <f t="shared" si="29"/>
        <v>0</v>
      </c>
      <c r="O81" s="178">
        <v>0</v>
      </c>
      <c r="P81" s="80">
        <f t="shared" si="30"/>
        <v>0</v>
      </c>
      <c r="Q81" s="178">
        <v>0</v>
      </c>
      <c r="R81" s="80">
        <f t="shared" si="31"/>
        <v>0</v>
      </c>
      <c r="S81" s="178">
        <v>0</v>
      </c>
      <c r="T81" s="80">
        <f t="shared" si="32"/>
        <v>0</v>
      </c>
      <c r="U81" s="178">
        <v>0</v>
      </c>
      <c r="V81" s="80">
        <f t="shared" si="33"/>
        <v>0</v>
      </c>
      <c r="X81" s="192"/>
    </row>
    <row r="82" spans="1:24" ht="12.75" customHeight="1">
      <c r="A82" s="2" t="s">
        <v>426</v>
      </c>
      <c r="B82" s="35"/>
      <c r="C82" s="178">
        <v>0</v>
      </c>
      <c r="D82" s="80">
        <f t="shared" si="24"/>
        <v>0</v>
      </c>
      <c r="E82" s="178">
        <v>0</v>
      </c>
      <c r="F82" s="80">
        <f t="shared" si="25"/>
        <v>0</v>
      </c>
      <c r="G82" s="178">
        <v>0</v>
      </c>
      <c r="H82" s="80">
        <f t="shared" si="26"/>
        <v>0</v>
      </c>
      <c r="I82" s="178">
        <v>0</v>
      </c>
      <c r="J82" s="80">
        <f t="shared" si="27"/>
        <v>0</v>
      </c>
      <c r="K82" s="178">
        <v>0</v>
      </c>
      <c r="L82" s="80">
        <f t="shared" si="28"/>
        <v>0</v>
      </c>
      <c r="M82" s="178">
        <v>0</v>
      </c>
      <c r="N82" s="80">
        <f t="shared" si="29"/>
        <v>0</v>
      </c>
      <c r="O82" s="178">
        <v>0</v>
      </c>
      <c r="P82" s="80">
        <f t="shared" si="30"/>
        <v>0</v>
      </c>
      <c r="Q82" s="178">
        <v>0</v>
      </c>
      <c r="R82" s="80">
        <f t="shared" si="31"/>
        <v>0</v>
      </c>
      <c r="S82" s="178">
        <v>0</v>
      </c>
      <c r="T82" s="80">
        <f t="shared" si="32"/>
        <v>0</v>
      </c>
      <c r="U82" s="178">
        <v>0</v>
      </c>
      <c r="V82" s="80">
        <f t="shared" si="33"/>
        <v>0</v>
      </c>
      <c r="X82" s="192"/>
    </row>
    <row r="83" spans="1:24" ht="12.75" customHeight="1">
      <c r="A83" s="2" t="s">
        <v>427</v>
      </c>
      <c r="B83" s="35"/>
      <c r="C83" s="178">
        <v>0</v>
      </c>
      <c r="D83" s="80">
        <f t="shared" si="24"/>
        <v>0</v>
      </c>
      <c r="E83" s="178">
        <v>0</v>
      </c>
      <c r="F83" s="80">
        <f t="shared" si="25"/>
        <v>0</v>
      </c>
      <c r="G83" s="178">
        <v>0</v>
      </c>
      <c r="H83" s="80">
        <f t="shared" si="26"/>
        <v>0</v>
      </c>
      <c r="I83" s="178">
        <v>0</v>
      </c>
      <c r="J83" s="80">
        <f t="shared" si="27"/>
        <v>0</v>
      </c>
      <c r="K83" s="178">
        <v>0</v>
      </c>
      <c r="L83" s="80">
        <f t="shared" si="28"/>
        <v>0</v>
      </c>
      <c r="M83" s="178">
        <v>0</v>
      </c>
      <c r="N83" s="80">
        <f t="shared" si="29"/>
        <v>0</v>
      </c>
      <c r="O83" s="178">
        <v>0</v>
      </c>
      <c r="P83" s="80">
        <f t="shared" si="30"/>
        <v>0</v>
      </c>
      <c r="Q83" s="178">
        <v>0</v>
      </c>
      <c r="R83" s="80">
        <f t="shared" si="31"/>
        <v>0</v>
      </c>
      <c r="S83" s="178">
        <v>0</v>
      </c>
      <c r="T83" s="80">
        <f t="shared" si="32"/>
        <v>0</v>
      </c>
      <c r="U83" s="178">
        <v>0</v>
      </c>
      <c r="V83" s="80">
        <f t="shared" si="33"/>
        <v>0</v>
      </c>
      <c r="X83" s="192"/>
    </row>
    <row r="84" spans="1:24" ht="12.75" customHeight="1">
      <c r="A84" s="2" t="s">
        <v>428</v>
      </c>
      <c r="B84" s="35"/>
      <c r="C84" s="178">
        <v>0</v>
      </c>
      <c r="D84" s="80">
        <f t="shared" si="24"/>
        <v>0</v>
      </c>
      <c r="E84" s="178">
        <v>0</v>
      </c>
      <c r="F84" s="80">
        <f t="shared" si="25"/>
        <v>0</v>
      </c>
      <c r="G84" s="178">
        <v>0</v>
      </c>
      <c r="H84" s="80">
        <f t="shared" si="26"/>
        <v>0</v>
      </c>
      <c r="I84" s="178">
        <v>0</v>
      </c>
      <c r="J84" s="80">
        <f t="shared" si="27"/>
        <v>0</v>
      </c>
      <c r="K84" s="178">
        <v>0</v>
      </c>
      <c r="L84" s="80">
        <f t="shared" si="28"/>
        <v>0</v>
      </c>
      <c r="M84" s="178">
        <v>0</v>
      </c>
      <c r="N84" s="80">
        <f t="shared" si="29"/>
        <v>0</v>
      </c>
      <c r="O84" s="178">
        <v>0</v>
      </c>
      <c r="P84" s="80">
        <f t="shared" si="30"/>
        <v>0</v>
      </c>
      <c r="Q84" s="178">
        <v>0</v>
      </c>
      <c r="R84" s="80">
        <f t="shared" si="31"/>
        <v>0</v>
      </c>
      <c r="S84" s="178">
        <v>0</v>
      </c>
      <c r="T84" s="80">
        <f t="shared" si="32"/>
        <v>0</v>
      </c>
      <c r="U84" s="178">
        <v>0</v>
      </c>
      <c r="V84" s="80">
        <f t="shared" si="33"/>
        <v>0</v>
      </c>
      <c r="X84" s="192"/>
    </row>
    <row r="85" spans="1:24" ht="12.75" customHeight="1">
      <c r="A85" s="2" t="s">
        <v>429</v>
      </c>
      <c r="B85" s="35"/>
      <c r="C85" s="178">
        <v>0</v>
      </c>
      <c r="D85" s="80">
        <f t="shared" si="24"/>
        <v>0</v>
      </c>
      <c r="E85" s="178">
        <v>0</v>
      </c>
      <c r="F85" s="80">
        <f t="shared" si="25"/>
        <v>0</v>
      </c>
      <c r="G85" s="178">
        <v>0</v>
      </c>
      <c r="H85" s="80">
        <f t="shared" si="26"/>
        <v>0</v>
      </c>
      <c r="I85" s="178">
        <v>0</v>
      </c>
      <c r="J85" s="80">
        <f t="shared" si="27"/>
        <v>0</v>
      </c>
      <c r="K85" s="178">
        <v>0</v>
      </c>
      <c r="L85" s="80">
        <f t="shared" si="28"/>
        <v>0</v>
      </c>
      <c r="M85" s="178">
        <v>0</v>
      </c>
      <c r="N85" s="80">
        <f t="shared" si="29"/>
        <v>0</v>
      </c>
      <c r="O85" s="178">
        <v>0</v>
      </c>
      <c r="P85" s="80">
        <f t="shared" si="30"/>
        <v>0</v>
      </c>
      <c r="Q85" s="178">
        <v>0</v>
      </c>
      <c r="R85" s="80">
        <f t="shared" si="31"/>
        <v>0</v>
      </c>
      <c r="S85" s="178">
        <v>0</v>
      </c>
      <c r="T85" s="80">
        <f t="shared" si="32"/>
        <v>0</v>
      </c>
      <c r="U85" s="178">
        <v>0</v>
      </c>
      <c r="V85" s="80">
        <f t="shared" si="33"/>
        <v>0</v>
      </c>
      <c r="X85" s="192"/>
    </row>
    <row r="86" spans="1:24" ht="12.75" customHeight="1">
      <c r="A86" s="2" t="s">
        <v>430</v>
      </c>
      <c r="B86" s="35"/>
      <c r="C86" s="178">
        <v>0</v>
      </c>
      <c r="D86" s="80">
        <f t="shared" si="24"/>
        <v>0</v>
      </c>
      <c r="E86" s="178">
        <v>5600</v>
      </c>
      <c r="F86" s="80">
        <f t="shared" si="25"/>
        <v>4.0000000000000001E-3</v>
      </c>
      <c r="G86" s="178">
        <v>5824</v>
      </c>
      <c r="H86" s="80">
        <f t="shared" si="26"/>
        <v>4.0000000000000001E-3</v>
      </c>
      <c r="I86" s="178">
        <v>6056.96</v>
      </c>
      <c r="J86" s="80">
        <f t="shared" si="27"/>
        <v>4.0000000000000001E-3</v>
      </c>
      <c r="K86" s="178">
        <v>6238.6687999999995</v>
      </c>
      <c r="L86" s="80">
        <f t="shared" si="28"/>
        <v>4.0000000000000001E-3</v>
      </c>
      <c r="M86" s="178">
        <v>6425.8288640000001</v>
      </c>
      <c r="N86" s="80">
        <f t="shared" si="29"/>
        <v>4.0000000000000001E-3</v>
      </c>
      <c r="O86" s="178">
        <v>6618.6037299200007</v>
      </c>
      <c r="P86" s="80">
        <f t="shared" si="30"/>
        <v>4.0000000000000001E-3</v>
      </c>
      <c r="Q86" s="178">
        <v>6817.1618418176004</v>
      </c>
      <c r="R86" s="80">
        <f t="shared" si="31"/>
        <v>4.0000000000000001E-3</v>
      </c>
      <c r="S86" s="178">
        <v>7021.6766970721274</v>
      </c>
      <c r="T86" s="80">
        <f t="shared" si="32"/>
        <v>4.0000000000000001E-3</v>
      </c>
      <c r="U86" s="178">
        <v>7232.3269979842917</v>
      </c>
      <c r="V86" s="80">
        <f t="shared" si="33"/>
        <v>4.0000000000000001E-3</v>
      </c>
      <c r="X86" s="192"/>
    </row>
    <row r="87" spans="1:24" ht="12.75" customHeight="1">
      <c r="A87" s="2" t="s">
        <v>431</v>
      </c>
      <c r="B87" s="35"/>
      <c r="C87" s="178">
        <v>0</v>
      </c>
      <c r="D87" s="80">
        <f t="shared" si="24"/>
        <v>0</v>
      </c>
      <c r="E87" s="178">
        <v>0</v>
      </c>
      <c r="F87" s="80">
        <f t="shared" si="25"/>
        <v>0</v>
      </c>
      <c r="G87" s="178">
        <v>0</v>
      </c>
      <c r="H87" s="80">
        <f t="shared" si="26"/>
        <v>0</v>
      </c>
      <c r="I87" s="178">
        <v>0</v>
      </c>
      <c r="J87" s="80">
        <f t="shared" si="27"/>
        <v>0</v>
      </c>
      <c r="K87" s="178">
        <v>0</v>
      </c>
      <c r="L87" s="80">
        <f t="shared" si="28"/>
        <v>0</v>
      </c>
      <c r="M87" s="178">
        <v>0</v>
      </c>
      <c r="N87" s="80">
        <f t="shared" si="29"/>
        <v>0</v>
      </c>
      <c r="O87" s="178">
        <v>0</v>
      </c>
      <c r="P87" s="80">
        <f t="shared" si="30"/>
        <v>0</v>
      </c>
      <c r="Q87" s="178">
        <v>0</v>
      </c>
      <c r="R87" s="80">
        <f t="shared" si="31"/>
        <v>0</v>
      </c>
      <c r="S87" s="178">
        <v>0</v>
      </c>
      <c r="T87" s="80">
        <f t="shared" si="32"/>
        <v>0</v>
      </c>
      <c r="U87" s="178">
        <v>0</v>
      </c>
      <c r="V87" s="80">
        <f t="shared" si="33"/>
        <v>0</v>
      </c>
      <c r="X87" s="192"/>
    </row>
    <row r="88" spans="1:24" ht="12.75" customHeight="1">
      <c r="A88" s="2" t="s">
        <v>432</v>
      </c>
      <c r="B88" s="35"/>
      <c r="C88" s="178">
        <v>0</v>
      </c>
      <c r="D88" s="80">
        <f t="shared" si="24"/>
        <v>0</v>
      </c>
      <c r="E88" s="178">
        <v>7140</v>
      </c>
      <c r="F88" s="80">
        <f t="shared" si="25"/>
        <v>5.1000000000000004E-3</v>
      </c>
      <c r="G88" s="178">
        <v>7425.6</v>
      </c>
      <c r="H88" s="80">
        <f t="shared" si="26"/>
        <v>5.1000000000000004E-3</v>
      </c>
      <c r="I88" s="178">
        <v>7722.6240000000007</v>
      </c>
      <c r="J88" s="80">
        <f t="shared" si="27"/>
        <v>5.1000000000000004E-3</v>
      </c>
      <c r="K88" s="178">
        <v>7954.3027200000006</v>
      </c>
      <c r="L88" s="80">
        <f t="shared" si="28"/>
        <v>5.1000000000000004E-3</v>
      </c>
      <c r="M88" s="178">
        <v>8192.9318015999997</v>
      </c>
      <c r="N88" s="80">
        <f t="shared" si="29"/>
        <v>5.0999999999999995E-3</v>
      </c>
      <c r="O88" s="178">
        <v>8438.7197556480005</v>
      </c>
      <c r="P88" s="80">
        <f t="shared" si="30"/>
        <v>5.1000000000000004E-3</v>
      </c>
      <c r="Q88" s="178">
        <v>8691.8813483174399</v>
      </c>
      <c r="R88" s="80">
        <f t="shared" si="31"/>
        <v>5.1000000000000004E-3</v>
      </c>
      <c r="S88" s="178">
        <v>8952.6377887669623</v>
      </c>
      <c r="T88" s="80">
        <f t="shared" si="32"/>
        <v>5.0999999999999995E-3</v>
      </c>
      <c r="U88" s="178">
        <v>9221.2169224299723</v>
      </c>
      <c r="V88" s="80">
        <f t="shared" si="33"/>
        <v>5.1000000000000004E-3</v>
      </c>
      <c r="X88" s="192"/>
    </row>
    <row r="89" spans="1:24" ht="12.75" customHeight="1">
      <c r="A89" s="2" t="s">
        <v>433</v>
      </c>
      <c r="B89" s="35"/>
      <c r="C89" s="178">
        <v>0</v>
      </c>
      <c r="D89" s="80">
        <f t="shared" si="24"/>
        <v>0</v>
      </c>
      <c r="E89" s="178">
        <v>0</v>
      </c>
      <c r="F89" s="80">
        <f t="shared" si="25"/>
        <v>0</v>
      </c>
      <c r="G89" s="178">
        <v>0</v>
      </c>
      <c r="H89" s="80">
        <f t="shared" si="26"/>
        <v>0</v>
      </c>
      <c r="I89" s="178">
        <v>0</v>
      </c>
      <c r="J89" s="80">
        <f t="shared" si="27"/>
        <v>0</v>
      </c>
      <c r="K89" s="178">
        <v>0</v>
      </c>
      <c r="L89" s="80">
        <f t="shared" si="28"/>
        <v>0</v>
      </c>
      <c r="M89" s="178">
        <v>0</v>
      </c>
      <c r="N89" s="80">
        <f t="shared" si="29"/>
        <v>0</v>
      </c>
      <c r="O89" s="178">
        <v>0</v>
      </c>
      <c r="P89" s="80">
        <f t="shared" si="30"/>
        <v>0</v>
      </c>
      <c r="Q89" s="178">
        <v>0</v>
      </c>
      <c r="R89" s="80">
        <f t="shared" si="31"/>
        <v>0</v>
      </c>
      <c r="S89" s="178">
        <v>0</v>
      </c>
      <c r="T89" s="80">
        <f t="shared" si="32"/>
        <v>0</v>
      </c>
      <c r="U89" s="178">
        <v>0</v>
      </c>
      <c r="V89" s="80">
        <f t="shared" si="33"/>
        <v>0</v>
      </c>
      <c r="X89" s="192"/>
    </row>
    <row r="90" spans="1:24" ht="12.75" customHeight="1">
      <c r="A90" s="2" t="s">
        <v>434</v>
      </c>
      <c r="B90" s="35"/>
      <c r="C90" s="178">
        <v>0</v>
      </c>
      <c r="D90" s="80">
        <f t="shared" si="24"/>
        <v>0</v>
      </c>
      <c r="E90" s="178">
        <v>280</v>
      </c>
      <c r="F90" s="80">
        <f t="shared" si="25"/>
        <v>2.0000000000000001E-4</v>
      </c>
      <c r="G90" s="178">
        <v>291.20000000000005</v>
      </c>
      <c r="H90" s="80">
        <f t="shared" si="26"/>
        <v>2.0000000000000004E-4</v>
      </c>
      <c r="I90" s="178">
        <v>302.84800000000001</v>
      </c>
      <c r="J90" s="80">
        <f t="shared" si="27"/>
        <v>2.0000000000000001E-4</v>
      </c>
      <c r="K90" s="178">
        <v>311.93343999999996</v>
      </c>
      <c r="L90" s="80">
        <f t="shared" si="28"/>
        <v>1.9999999999999998E-4</v>
      </c>
      <c r="M90" s="178">
        <v>321.2914432</v>
      </c>
      <c r="N90" s="80">
        <f t="shared" si="29"/>
        <v>2.0000000000000001E-4</v>
      </c>
      <c r="O90" s="178">
        <v>330.93018649600003</v>
      </c>
      <c r="P90" s="80">
        <f t="shared" si="30"/>
        <v>2.0000000000000004E-4</v>
      </c>
      <c r="Q90" s="178">
        <v>340.85809209088001</v>
      </c>
      <c r="R90" s="80">
        <f t="shared" si="31"/>
        <v>2.0000000000000001E-4</v>
      </c>
      <c r="S90" s="178">
        <v>351.08383485360639</v>
      </c>
      <c r="T90" s="80">
        <f t="shared" si="32"/>
        <v>2.0000000000000001E-4</v>
      </c>
      <c r="U90" s="178">
        <v>361.61634989921458</v>
      </c>
      <c r="V90" s="80">
        <f t="shared" si="33"/>
        <v>1.9999999999999998E-4</v>
      </c>
      <c r="X90" s="192"/>
    </row>
    <row r="91" spans="1:24" ht="12.75" customHeight="1">
      <c r="A91" s="2" t="s">
        <v>435</v>
      </c>
      <c r="C91" s="178">
        <v>0</v>
      </c>
      <c r="D91" s="80">
        <f t="shared" si="24"/>
        <v>0</v>
      </c>
      <c r="E91" s="178">
        <v>0</v>
      </c>
      <c r="F91" s="80">
        <f t="shared" si="25"/>
        <v>0</v>
      </c>
      <c r="G91" s="178">
        <v>0</v>
      </c>
      <c r="H91" s="80">
        <f t="shared" si="26"/>
        <v>0</v>
      </c>
      <c r="I91" s="178">
        <v>0</v>
      </c>
      <c r="J91" s="80">
        <f t="shared" si="27"/>
        <v>0</v>
      </c>
      <c r="K91" s="178">
        <v>0</v>
      </c>
      <c r="L91" s="80">
        <f t="shared" si="28"/>
        <v>0</v>
      </c>
      <c r="M91" s="178">
        <v>0</v>
      </c>
      <c r="N91" s="80">
        <f t="shared" si="29"/>
        <v>0</v>
      </c>
      <c r="O91" s="178">
        <v>0</v>
      </c>
      <c r="P91" s="80">
        <f t="shared" si="30"/>
        <v>0</v>
      </c>
      <c r="Q91" s="178">
        <v>0</v>
      </c>
      <c r="R91" s="80">
        <f t="shared" si="31"/>
        <v>0</v>
      </c>
      <c r="S91" s="178">
        <v>0</v>
      </c>
      <c r="T91" s="80">
        <f t="shared" si="32"/>
        <v>0</v>
      </c>
      <c r="U91" s="178">
        <v>0</v>
      </c>
      <c r="V91" s="80">
        <f t="shared" si="33"/>
        <v>0</v>
      </c>
      <c r="X91" s="192"/>
    </row>
    <row r="92" spans="1:24" ht="12.75" customHeight="1">
      <c r="A92" s="2" t="s">
        <v>436</v>
      </c>
      <c r="B92" s="35"/>
      <c r="C92" s="178">
        <v>0</v>
      </c>
      <c r="D92" s="80">
        <f t="shared" si="24"/>
        <v>0</v>
      </c>
      <c r="E92" s="178">
        <v>7279.9999999999991</v>
      </c>
      <c r="F92" s="80">
        <f t="shared" si="25"/>
        <v>5.1999999999999998E-3</v>
      </c>
      <c r="G92" s="178">
        <v>7571.2</v>
      </c>
      <c r="H92" s="80">
        <f t="shared" si="26"/>
        <v>5.1999999999999998E-3</v>
      </c>
      <c r="I92" s="178">
        <v>7874.0480000000007</v>
      </c>
      <c r="J92" s="80">
        <f t="shared" si="27"/>
        <v>5.2000000000000006E-3</v>
      </c>
      <c r="K92" s="178">
        <v>8110.2694399999991</v>
      </c>
      <c r="L92" s="80">
        <f t="shared" si="28"/>
        <v>5.1999999999999998E-3</v>
      </c>
      <c r="M92" s="178">
        <v>8353.5775231999996</v>
      </c>
      <c r="N92" s="80">
        <f t="shared" si="29"/>
        <v>5.1999999999999998E-3</v>
      </c>
      <c r="O92" s="178">
        <v>8604.1848488959986</v>
      </c>
      <c r="P92" s="80">
        <f t="shared" si="30"/>
        <v>5.1999999999999989E-3</v>
      </c>
      <c r="Q92" s="178">
        <v>8862.3103943628776</v>
      </c>
      <c r="R92" s="80">
        <f t="shared" si="31"/>
        <v>5.1999999999999989E-3</v>
      </c>
      <c r="S92" s="178">
        <v>9128.1797061937668</v>
      </c>
      <c r="T92" s="80">
        <f t="shared" si="32"/>
        <v>5.2000000000000006E-3</v>
      </c>
      <c r="U92" s="178">
        <v>9402.0250973795792</v>
      </c>
      <c r="V92" s="80">
        <f t="shared" si="33"/>
        <v>5.1999999999999998E-3</v>
      </c>
      <c r="X92" s="192"/>
    </row>
    <row r="93" spans="1:24" ht="12.75" customHeight="1">
      <c r="A93" s="2" t="s">
        <v>437</v>
      </c>
      <c r="B93" s="35"/>
      <c r="C93" s="178">
        <v>0</v>
      </c>
      <c r="D93" s="80">
        <f t="shared" si="24"/>
        <v>0</v>
      </c>
      <c r="E93" s="178">
        <v>0</v>
      </c>
      <c r="F93" s="80">
        <f t="shared" si="25"/>
        <v>0</v>
      </c>
      <c r="G93" s="178">
        <v>0</v>
      </c>
      <c r="H93" s="80">
        <f t="shared" si="26"/>
        <v>0</v>
      </c>
      <c r="I93" s="178">
        <v>0</v>
      </c>
      <c r="J93" s="80">
        <f t="shared" si="27"/>
        <v>0</v>
      </c>
      <c r="K93" s="178">
        <v>0</v>
      </c>
      <c r="L93" s="80">
        <f t="shared" si="28"/>
        <v>0</v>
      </c>
      <c r="M93" s="178">
        <v>0</v>
      </c>
      <c r="N93" s="80">
        <f t="shared" si="29"/>
        <v>0</v>
      </c>
      <c r="O93" s="178">
        <v>0</v>
      </c>
      <c r="P93" s="80">
        <f t="shared" si="30"/>
        <v>0</v>
      </c>
      <c r="Q93" s="178">
        <v>0</v>
      </c>
      <c r="R93" s="80">
        <f t="shared" si="31"/>
        <v>0</v>
      </c>
      <c r="S93" s="178">
        <v>0</v>
      </c>
      <c r="T93" s="80">
        <f t="shared" si="32"/>
        <v>0</v>
      </c>
      <c r="U93" s="178">
        <v>0</v>
      </c>
      <c r="V93" s="80">
        <f t="shared" si="33"/>
        <v>0</v>
      </c>
      <c r="X93" s="192"/>
    </row>
    <row r="94" spans="1:24" ht="12.75" customHeight="1">
      <c r="A94" s="2" t="s">
        <v>438</v>
      </c>
      <c r="B94" s="35"/>
      <c r="C94" s="178">
        <v>0</v>
      </c>
      <c r="D94" s="80">
        <f t="shared" si="24"/>
        <v>0</v>
      </c>
      <c r="E94" s="178">
        <v>0</v>
      </c>
      <c r="F94" s="80">
        <f t="shared" si="25"/>
        <v>0</v>
      </c>
      <c r="G94" s="178">
        <v>0</v>
      </c>
      <c r="H94" s="80">
        <f t="shared" si="26"/>
        <v>0</v>
      </c>
      <c r="I94" s="178">
        <v>0</v>
      </c>
      <c r="J94" s="80">
        <f t="shared" si="27"/>
        <v>0</v>
      </c>
      <c r="K94" s="178">
        <v>0</v>
      </c>
      <c r="L94" s="80">
        <f t="shared" si="28"/>
        <v>0</v>
      </c>
      <c r="M94" s="178">
        <v>0</v>
      </c>
      <c r="N94" s="80">
        <f t="shared" si="29"/>
        <v>0</v>
      </c>
      <c r="O94" s="178">
        <v>0</v>
      </c>
      <c r="P94" s="80">
        <f t="shared" si="30"/>
        <v>0</v>
      </c>
      <c r="Q94" s="178">
        <v>0</v>
      </c>
      <c r="R94" s="80">
        <f t="shared" si="31"/>
        <v>0</v>
      </c>
      <c r="S94" s="178">
        <v>0</v>
      </c>
      <c r="T94" s="80">
        <f t="shared" si="32"/>
        <v>0</v>
      </c>
      <c r="U94" s="178">
        <v>0</v>
      </c>
      <c r="V94" s="80">
        <f t="shared" si="33"/>
        <v>0</v>
      </c>
      <c r="X94" s="192"/>
    </row>
    <row r="95" spans="1:24" ht="12.75" customHeight="1">
      <c r="A95" s="2" t="s">
        <v>439</v>
      </c>
      <c r="B95" s="35"/>
      <c r="C95" s="178">
        <v>0</v>
      </c>
      <c r="D95" s="80">
        <f t="shared" si="24"/>
        <v>0</v>
      </c>
      <c r="E95" s="178">
        <v>0</v>
      </c>
      <c r="F95" s="80">
        <f t="shared" si="25"/>
        <v>0</v>
      </c>
      <c r="G95" s="178">
        <v>0</v>
      </c>
      <c r="H95" s="80">
        <f t="shared" si="26"/>
        <v>0</v>
      </c>
      <c r="I95" s="178">
        <v>0</v>
      </c>
      <c r="J95" s="80">
        <f t="shared" si="27"/>
        <v>0</v>
      </c>
      <c r="K95" s="178">
        <v>0</v>
      </c>
      <c r="L95" s="80">
        <f t="shared" si="28"/>
        <v>0</v>
      </c>
      <c r="M95" s="178">
        <v>0</v>
      </c>
      <c r="N95" s="80">
        <f t="shared" si="29"/>
        <v>0</v>
      </c>
      <c r="O95" s="178">
        <v>0</v>
      </c>
      <c r="P95" s="80">
        <f t="shared" si="30"/>
        <v>0</v>
      </c>
      <c r="Q95" s="178">
        <v>0</v>
      </c>
      <c r="R95" s="80">
        <f t="shared" si="31"/>
        <v>0</v>
      </c>
      <c r="S95" s="178">
        <v>0</v>
      </c>
      <c r="T95" s="80">
        <f t="shared" si="32"/>
        <v>0</v>
      </c>
      <c r="U95" s="178">
        <v>0</v>
      </c>
      <c r="V95" s="80">
        <f t="shared" si="33"/>
        <v>0</v>
      </c>
      <c r="X95" s="192"/>
    </row>
    <row r="96" spans="1:24" ht="12.75" customHeight="1">
      <c r="A96" s="2" t="s">
        <v>440</v>
      </c>
      <c r="B96" s="35"/>
      <c r="C96" s="178">
        <v>0</v>
      </c>
      <c r="D96" s="80">
        <f t="shared" si="24"/>
        <v>0</v>
      </c>
      <c r="E96" s="178">
        <v>0</v>
      </c>
      <c r="F96" s="80">
        <f t="shared" si="25"/>
        <v>0</v>
      </c>
      <c r="G96" s="178">
        <v>0</v>
      </c>
      <c r="H96" s="80">
        <f t="shared" si="26"/>
        <v>0</v>
      </c>
      <c r="I96" s="178">
        <v>0</v>
      </c>
      <c r="J96" s="80">
        <f t="shared" si="27"/>
        <v>0</v>
      </c>
      <c r="K96" s="178">
        <v>0</v>
      </c>
      <c r="L96" s="80">
        <f t="shared" si="28"/>
        <v>0</v>
      </c>
      <c r="M96" s="178">
        <v>0</v>
      </c>
      <c r="N96" s="80">
        <f t="shared" si="29"/>
        <v>0</v>
      </c>
      <c r="O96" s="178">
        <v>0</v>
      </c>
      <c r="P96" s="80">
        <f t="shared" si="30"/>
        <v>0</v>
      </c>
      <c r="Q96" s="178">
        <v>0</v>
      </c>
      <c r="R96" s="80">
        <f t="shared" si="31"/>
        <v>0</v>
      </c>
      <c r="S96" s="178">
        <v>0</v>
      </c>
      <c r="T96" s="80">
        <f t="shared" si="32"/>
        <v>0</v>
      </c>
      <c r="U96" s="178">
        <v>0</v>
      </c>
      <c r="V96" s="80">
        <f t="shared" si="33"/>
        <v>0</v>
      </c>
      <c r="X96" s="192"/>
    </row>
    <row r="97" spans="1:24" ht="12.75" customHeight="1">
      <c r="A97" s="2" t="s">
        <v>441</v>
      </c>
      <c r="B97" s="35"/>
      <c r="C97" s="178">
        <v>0</v>
      </c>
      <c r="D97" s="80">
        <f t="shared" si="24"/>
        <v>0</v>
      </c>
      <c r="E97" s="178">
        <v>17017.375419999997</v>
      </c>
      <c r="F97" s="80">
        <f t="shared" si="25"/>
        <v>1.2155268157142855E-2</v>
      </c>
      <c r="G97" s="178">
        <v>17801.794190999997</v>
      </c>
      <c r="H97" s="80">
        <f t="shared" si="26"/>
        <v>1.2226506999313184E-2</v>
      </c>
      <c r="I97" s="178">
        <v>18355.636505111997</v>
      </c>
      <c r="J97" s="80">
        <f t="shared" si="27"/>
        <v>1.2122012696211959E-2</v>
      </c>
      <c r="K97" s="178">
        <v>18814.527417739799</v>
      </c>
      <c r="L97" s="80">
        <f t="shared" si="28"/>
        <v>1.206316797438569E-2</v>
      </c>
      <c r="M97" s="178">
        <v>19284.890603183292</v>
      </c>
      <c r="N97" s="80">
        <f t="shared" si="29"/>
        <v>1.2004608906548864E-2</v>
      </c>
      <c r="O97" s="178">
        <v>19767.012868262871</v>
      </c>
      <c r="P97" s="80">
        <f t="shared" si="30"/>
        <v>1.1946334106031634E-2</v>
      </c>
      <c r="Q97" s="178">
        <v>20162.353125628128</v>
      </c>
      <c r="R97" s="80">
        <f t="shared" si="31"/>
        <v>1.1830350279759483E-2</v>
      </c>
      <c r="S97" s="178">
        <v>20578.318794906016</v>
      </c>
      <c r="T97" s="80">
        <f t="shared" si="32"/>
        <v>1.1722737848916732E-2</v>
      </c>
      <c r="U97" s="178">
        <v>21092.776764778664</v>
      </c>
      <c r="V97" s="80">
        <f t="shared" si="33"/>
        <v>1.1665831354504514E-2</v>
      </c>
      <c r="X97" s="192"/>
    </row>
    <row r="98" spans="1:24" ht="12.75" customHeight="1">
      <c r="A98" s="117" t="s">
        <v>444</v>
      </c>
      <c r="B98" s="35"/>
      <c r="C98" s="178">
        <v>0</v>
      </c>
      <c r="D98" s="80">
        <f t="shared" si="24"/>
        <v>0</v>
      </c>
      <c r="E98" s="178">
        <v>1679.9999999999998</v>
      </c>
      <c r="F98" s="80">
        <f t="shared" si="25"/>
        <v>1.1999999999999999E-3</v>
      </c>
      <c r="G98" s="178">
        <v>1747.1999999999998</v>
      </c>
      <c r="H98" s="80">
        <f t="shared" si="26"/>
        <v>1.1999999999999999E-3</v>
      </c>
      <c r="I98" s="178">
        <v>1817.0879999999997</v>
      </c>
      <c r="J98" s="80">
        <f t="shared" si="27"/>
        <v>1.1999999999999999E-3</v>
      </c>
      <c r="K98" s="178">
        <v>1871.6006399999999</v>
      </c>
      <c r="L98" s="80">
        <f t="shared" si="28"/>
        <v>1.1999999999999999E-3</v>
      </c>
      <c r="M98" s="178">
        <v>1927.7486591999998</v>
      </c>
      <c r="N98" s="80">
        <f t="shared" si="29"/>
        <v>1.1999999999999999E-3</v>
      </c>
      <c r="O98" s="178">
        <v>1985.581118976</v>
      </c>
      <c r="P98" s="80">
        <f t="shared" si="30"/>
        <v>1.2000000000000001E-3</v>
      </c>
      <c r="Q98" s="178">
        <v>2045.1485525452795</v>
      </c>
      <c r="R98" s="80">
        <f t="shared" si="31"/>
        <v>1.1999999999999997E-3</v>
      </c>
      <c r="S98" s="178">
        <v>2106.5030091216381</v>
      </c>
      <c r="T98" s="80">
        <f t="shared" si="32"/>
        <v>1.1999999999999999E-3</v>
      </c>
      <c r="U98" s="178">
        <v>2169.6980993952875</v>
      </c>
      <c r="V98" s="80">
        <f t="shared" si="33"/>
        <v>1.1999999999999999E-3</v>
      </c>
      <c r="X98" s="192"/>
    </row>
    <row r="99" spans="1:24" ht="12.75" customHeight="1">
      <c r="A99" s="117" t="s">
        <v>444</v>
      </c>
      <c r="B99" s="35"/>
      <c r="C99" s="178">
        <v>0</v>
      </c>
      <c r="D99" s="80">
        <f t="shared" si="24"/>
        <v>0</v>
      </c>
      <c r="E99" s="178">
        <v>0</v>
      </c>
      <c r="F99" s="80">
        <f t="shared" si="25"/>
        <v>0</v>
      </c>
      <c r="G99" s="178">
        <v>0</v>
      </c>
      <c r="H99" s="80">
        <f t="shared" si="26"/>
        <v>0</v>
      </c>
      <c r="I99" s="178">
        <v>0</v>
      </c>
      <c r="J99" s="80">
        <f t="shared" si="27"/>
        <v>0</v>
      </c>
      <c r="K99" s="178">
        <v>0</v>
      </c>
      <c r="L99" s="80">
        <f t="shared" si="28"/>
        <v>0</v>
      </c>
      <c r="M99" s="178">
        <v>0</v>
      </c>
      <c r="N99" s="80">
        <f t="shared" si="29"/>
        <v>0</v>
      </c>
      <c r="O99" s="178">
        <v>0</v>
      </c>
      <c r="P99" s="80">
        <f t="shared" si="30"/>
        <v>0</v>
      </c>
      <c r="Q99" s="178">
        <v>0</v>
      </c>
      <c r="R99" s="80">
        <f t="shared" si="31"/>
        <v>0</v>
      </c>
      <c r="S99" s="178">
        <v>0</v>
      </c>
      <c r="T99" s="80">
        <f t="shared" si="32"/>
        <v>0</v>
      </c>
      <c r="U99" s="178">
        <v>0</v>
      </c>
      <c r="V99" s="80">
        <f t="shared" si="33"/>
        <v>0</v>
      </c>
      <c r="X99" s="192"/>
    </row>
    <row r="100" spans="1:24" ht="12.75" customHeight="1">
      <c r="A100" s="117" t="s">
        <v>444</v>
      </c>
      <c r="B100" s="35"/>
      <c r="C100" s="178">
        <v>0</v>
      </c>
      <c r="D100" s="80">
        <f t="shared" si="24"/>
        <v>0</v>
      </c>
      <c r="E100" s="178">
        <v>0</v>
      </c>
      <c r="F100" s="80">
        <f t="shared" si="25"/>
        <v>0</v>
      </c>
      <c r="G100" s="178">
        <v>0</v>
      </c>
      <c r="H100" s="80">
        <f t="shared" si="26"/>
        <v>0</v>
      </c>
      <c r="I100" s="178">
        <v>0</v>
      </c>
      <c r="J100" s="80">
        <f t="shared" si="27"/>
        <v>0</v>
      </c>
      <c r="K100" s="178">
        <v>0</v>
      </c>
      <c r="L100" s="80">
        <f t="shared" si="28"/>
        <v>0</v>
      </c>
      <c r="M100" s="178">
        <v>0</v>
      </c>
      <c r="N100" s="80">
        <f t="shared" si="29"/>
        <v>0</v>
      </c>
      <c r="O100" s="178">
        <v>0</v>
      </c>
      <c r="P100" s="80">
        <f t="shared" si="30"/>
        <v>0</v>
      </c>
      <c r="Q100" s="178">
        <v>0</v>
      </c>
      <c r="R100" s="80">
        <f t="shared" si="31"/>
        <v>0</v>
      </c>
      <c r="S100" s="178">
        <v>0</v>
      </c>
      <c r="T100" s="80">
        <f t="shared" si="32"/>
        <v>0</v>
      </c>
      <c r="U100" s="178">
        <v>0</v>
      </c>
      <c r="V100" s="80">
        <f t="shared" si="33"/>
        <v>0</v>
      </c>
      <c r="X100" s="192"/>
    </row>
    <row r="101" spans="1:24" ht="12.75" customHeight="1">
      <c r="A101" s="2" t="s">
        <v>445</v>
      </c>
      <c r="B101" s="35"/>
      <c r="C101" s="178"/>
      <c r="D101" s="80">
        <f t="shared" si="24"/>
        <v>0</v>
      </c>
      <c r="E101" s="178"/>
      <c r="F101" s="80">
        <f t="shared" si="25"/>
        <v>0</v>
      </c>
      <c r="G101" s="178"/>
      <c r="H101" s="80">
        <f t="shared" si="26"/>
        <v>0</v>
      </c>
      <c r="I101" s="178">
        <v>0</v>
      </c>
      <c r="J101" s="80">
        <f t="shared" si="27"/>
        <v>0</v>
      </c>
      <c r="K101" s="178">
        <v>0</v>
      </c>
      <c r="L101" s="80">
        <f t="shared" si="28"/>
        <v>0</v>
      </c>
      <c r="M101" s="178">
        <v>0</v>
      </c>
      <c r="N101" s="80">
        <f t="shared" si="29"/>
        <v>0</v>
      </c>
      <c r="O101" s="178">
        <v>0</v>
      </c>
      <c r="P101" s="80">
        <f t="shared" si="30"/>
        <v>0</v>
      </c>
      <c r="Q101" s="178">
        <v>0</v>
      </c>
      <c r="R101" s="80">
        <f t="shared" si="31"/>
        <v>0</v>
      </c>
      <c r="S101" s="178">
        <v>0</v>
      </c>
      <c r="T101" s="80">
        <f t="shared" si="32"/>
        <v>0</v>
      </c>
      <c r="U101" s="178">
        <v>0</v>
      </c>
      <c r="V101" s="80">
        <f t="shared" si="33"/>
        <v>0</v>
      </c>
      <c r="X101" s="192"/>
    </row>
    <row r="102" spans="1:24" ht="12.75" customHeight="1">
      <c r="A102" s="117" t="s">
        <v>446</v>
      </c>
      <c r="B102" s="35"/>
      <c r="C102" s="178">
        <v>0</v>
      </c>
      <c r="D102" s="80">
        <f t="shared" si="24"/>
        <v>0</v>
      </c>
      <c r="E102" s="178">
        <v>13999.999999999998</v>
      </c>
      <c r="F102" s="80">
        <f t="shared" si="25"/>
        <v>9.9999999999999985E-3</v>
      </c>
      <c r="G102" s="178">
        <v>14560</v>
      </c>
      <c r="H102" s="80">
        <f t="shared" si="26"/>
        <v>0.01</v>
      </c>
      <c r="I102" s="178">
        <v>15142.400000000003</v>
      </c>
      <c r="J102" s="80">
        <f t="shared" si="27"/>
        <v>1.0000000000000002E-2</v>
      </c>
      <c r="K102" s="178">
        <v>15596.672</v>
      </c>
      <c r="L102" s="80">
        <f t="shared" si="28"/>
        <v>0.01</v>
      </c>
      <c r="M102" s="178">
        <v>16064.57216</v>
      </c>
      <c r="N102" s="80">
        <f t="shared" si="29"/>
        <v>0.01</v>
      </c>
      <c r="O102" s="178">
        <v>16546.509324800001</v>
      </c>
      <c r="P102" s="80">
        <f t="shared" si="30"/>
        <v>0.01</v>
      </c>
      <c r="Q102" s="178">
        <v>17042.904604544001</v>
      </c>
      <c r="R102" s="80">
        <f t="shared" si="31"/>
        <v>0.01</v>
      </c>
      <c r="S102" s="178">
        <v>17554.191742680319</v>
      </c>
      <c r="T102" s="80">
        <f t="shared" si="32"/>
        <v>0.01</v>
      </c>
      <c r="U102" s="178">
        <v>18080.817494960727</v>
      </c>
      <c r="V102" s="80">
        <f t="shared" si="33"/>
        <v>9.9999999999999985E-3</v>
      </c>
      <c r="X102" s="192"/>
    </row>
    <row r="103" spans="1:24" ht="12.75" customHeight="1">
      <c r="A103" s="117" t="s">
        <v>446</v>
      </c>
      <c r="B103" s="35"/>
      <c r="C103" s="178">
        <v>0</v>
      </c>
      <c r="D103" s="80">
        <f t="shared" si="24"/>
        <v>0</v>
      </c>
      <c r="E103" s="178">
        <v>0</v>
      </c>
      <c r="F103" s="80">
        <f t="shared" si="25"/>
        <v>0</v>
      </c>
      <c r="G103" s="178">
        <v>0</v>
      </c>
      <c r="H103" s="80">
        <f t="shared" si="26"/>
        <v>0</v>
      </c>
      <c r="I103" s="178">
        <v>0</v>
      </c>
      <c r="J103" s="80">
        <f t="shared" si="27"/>
        <v>0</v>
      </c>
      <c r="K103" s="178">
        <v>0</v>
      </c>
      <c r="L103" s="80">
        <f t="shared" si="28"/>
        <v>0</v>
      </c>
      <c r="M103" s="178">
        <v>0</v>
      </c>
      <c r="N103" s="80">
        <f t="shared" si="29"/>
        <v>0</v>
      </c>
      <c r="O103" s="178">
        <v>0</v>
      </c>
      <c r="P103" s="80">
        <f t="shared" si="30"/>
        <v>0</v>
      </c>
      <c r="Q103" s="178">
        <v>0</v>
      </c>
      <c r="R103" s="80">
        <f t="shared" si="31"/>
        <v>0</v>
      </c>
      <c r="S103" s="178">
        <v>0</v>
      </c>
      <c r="T103" s="80">
        <f t="shared" si="32"/>
        <v>0</v>
      </c>
      <c r="U103" s="178">
        <v>0</v>
      </c>
      <c r="V103" s="80">
        <f t="shared" si="33"/>
        <v>0</v>
      </c>
      <c r="X103" s="192"/>
    </row>
    <row r="104" spans="1:24" ht="12.75" customHeight="1">
      <c r="A104" s="117" t="s">
        <v>446</v>
      </c>
      <c r="B104" s="1"/>
      <c r="C104" s="178">
        <v>0</v>
      </c>
      <c r="D104" s="80">
        <f t="shared" si="24"/>
        <v>0</v>
      </c>
      <c r="E104" s="178">
        <v>0</v>
      </c>
      <c r="F104" s="80">
        <f t="shared" si="25"/>
        <v>0</v>
      </c>
      <c r="G104" s="178">
        <v>0</v>
      </c>
      <c r="H104" s="80">
        <f t="shared" si="26"/>
        <v>0</v>
      </c>
      <c r="I104" s="178">
        <v>0</v>
      </c>
      <c r="J104" s="80">
        <f t="shared" si="27"/>
        <v>0</v>
      </c>
      <c r="K104" s="178">
        <v>0</v>
      </c>
      <c r="L104" s="80">
        <f t="shared" si="28"/>
        <v>0</v>
      </c>
      <c r="M104" s="178">
        <v>0</v>
      </c>
      <c r="N104" s="80">
        <f t="shared" si="29"/>
        <v>0</v>
      </c>
      <c r="O104" s="178">
        <v>0</v>
      </c>
      <c r="P104" s="80">
        <f t="shared" si="30"/>
        <v>0</v>
      </c>
      <c r="Q104" s="178">
        <v>0</v>
      </c>
      <c r="R104" s="80">
        <f t="shared" si="31"/>
        <v>0</v>
      </c>
      <c r="S104" s="178">
        <v>0</v>
      </c>
      <c r="T104" s="80">
        <f t="shared" si="32"/>
        <v>0</v>
      </c>
      <c r="U104" s="178">
        <v>0</v>
      </c>
      <c r="V104" s="80">
        <f t="shared" si="33"/>
        <v>0</v>
      </c>
      <c r="X104" s="192"/>
    </row>
    <row r="105" spans="1:24" ht="12.75" customHeight="1">
      <c r="A105" s="1" t="s">
        <v>447</v>
      </c>
      <c r="B105" s="53"/>
      <c r="C105" s="82">
        <f>SUM(C52:C104)</f>
        <v>0</v>
      </c>
      <c r="D105" s="83">
        <f t="shared" ref="D105" si="34">IFERROR(C105/C$28,0)</f>
        <v>0</v>
      </c>
      <c r="E105" s="82">
        <f>SUM(E52:E104)</f>
        <v>216314.78285998033</v>
      </c>
      <c r="F105" s="83">
        <f t="shared" ref="F105" si="35">IFERROR(E105/E$28,0)</f>
        <v>0.15451055918570022</v>
      </c>
      <c r="G105" s="82">
        <f>SUM(G52:G104)</f>
        <v>224880.83546690491</v>
      </c>
      <c r="H105" s="83">
        <f t="shared" ref="H105" si="36">IFERROR(G105/G$28,0)</f>
        <v>0.15445112326023688</v>
      </c>
      <c r="I105" s="82">
        <f>SUM(I52:I104)</f>
        <v>233765.33262945391</v>
      </c>
      <c r="J105" s="83">
        <f t="shared" ref="J105" si="37">IFERROR(I105/I$28,0)</f>
        <v>0.15437799333623067</v>
      </c>
      <c r="K105" s="82">
        <f>SUM(K52:K104)</f>
        <v>240627.64999090057</v>
      </c>
      <c r="L105" s="83">
        <f t="shared" ref="L105" si="38">IFERROR(K105/K$28,0)</f>
        <v>0.15428140695072678</v>
      </c>
      <c r="M105" s="82">
        <f>SUM(M52:M104)</f>
        <v>247785.47075658559</v>
      </c>
      <c r="N105" s="83">
        <f t="shared" ref="N105" si="39">IFERROR(M105/M$28,0)</f>
        <v>0.15424342975878269</v>
      </c>
      <c r="O105" s="82">
        <f>SUM(O52:O104)</f>
        <v>255164.3258865028</v>
      </c>
      <c r="P105" s="83">
        <f t="shared" ref="P105" si="40">IFERROR(O105/O$28,0)</f>
        <v>0.1542103659918537</v>
      </c>
      <c r="Q105" s="82">
        <f>SUM(Q52:Q104)</f>
        <v>262682.91943029198</v>
      </c>
      <c r="R105" s="83">
        <f t="shared" ref="R105" si="41">IFERROR(Q105/Q$28,0)</f>
        <v>0.15413037010149969</v>
      </c>
      <c r="S105" s="82">
        <f>SUM(S52:S104)</f>
        <v>270436.1331124095</v>
      </c>
      <c r="T105" s="83">
        <f t="shared" ref="T105" si="42">IFERROR(S105/S$28,0)</f>
        <v>0.15405786667744184</v>
      </c>
      <c r="U105" s="82">
        <f>SUM(U52:U104)</f>
        <v>278514.15919384547</v>
      </c>
      <c r="V105" s="83">
        <f t="shared" si="33"/>
        <v>0.15403847711613128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448</v>
      </c>
      <c r="B107" s="53"/>
      <c r="C107" s="82">
        <f>C28-C33-C46-C105</f>
        <v>0</v>
      </c>
      <c r="D107" s="83">
        <f>IFERROR(C107/C$28,0)</f>
        <v>0</v>
      </c>
      <c r="E107" s="82">
        <f>E28-E33-E46-E105</f>
        <v>229504.53951144827</v>
      </c>
      <c r="F107" s="83">
        <f>IFERROR(E107/E$28,0)</f>
        <v>0.16393181393674877</v>
      </c>
      <c r="G107" s="82">
        <f>G28-G33-G46-G105</f>
        <v>235699.45302309515</v>
      </c>
      <c r="H107" s="83">
        <f>IFERROR(G107/G$28,0)</f>
        <v>0.16188149246091699</v>
      </c>
      <c r="I107" s="82">
        <f>I28-I33-I46-I105</f>
        <v>252723.46798382618</v>
      </c>
      <c r="J107" s="83">
        <f>IFERROR(I107/I$28,0)</f>
        <v>0.16689789464274235</v>
      </c>
      <c r="K107" s="82">
        <f>K28-K33-K46-K105</f>
        <v>262906.79463771149</v>
      </c>
      <c r="L107" s="83">
        <f>IFERROR(K107/K$28,0)</f>
        <v>0.16856595730019294</v>
      </c>
      <c r="M107" s="82">
        <f>M28-M33-M46-M105</f>
        <v>273367.26170774188</v>
      </c>
      <c r="N107" s="83">
        <f>IFERROR(M107/M$28,0)</f>
        <v>0.17016778223849185</v>
      </c>
      <c r="O107" s="82">
        <f>O28-O33-O46-O105</f>
        <v>284198.04941103276</v>
      </c>
      <c r="P107" s="83">
        <f>IFERROR(O107/O$28,0)</f>
        <v>0.1717571022578612</v>
      </c>
      <c r="Q107" s="82">
        <f>Q28-Q33-Q46-Q105</f>
        <v>298139.20188769046</v>
      </c>
      <c r="R107" s="83">
        <f>IFERROR(Q107/Q$28,0)</f>
        <v>0.17493450136909189</v>
      </c>
      <c r="S107" s="82">
        <f>S28-S33-S46-S105</f>
        <v>312245.41419125022</v>
      </c>
      <c r="T107" s="83">
        <f>IFERROR(S107/S$28,0)</f>
        <v>0.17787513020726184</v>
      </c>
      <c r="U107" s="82">
        <f>U28-U33-U46-U105</f>
        <v>324395.65362942033</v>
      </c>
      <c r="V107" s="83">
        <f>IFERROR(U107/U$28,0)</f>
        <v>0.17941426250214185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449</v>
      </c>
      <c r="B110" s="40"/>
      <c r="C110" s="86" t="str">
        <f>C50</f>
        <v>FY 2018-19</v>
      </c>
      <c r="D110" s="86" t="s">
        <v>366</v>
      </c>
      <c r="E110" s="86" t="str">
        <f>E50</f>
        <v>FY 2019-20</v>
      </c>
      <c r="F110" s="86" t="s">
        <v>366</v>
      </c>
      <c r="G110" s="86" t="str">
        <f>G50</f>
        <v>FY 2020-21</v>
      </c>
      <c r="H110" s="86" t="s">
        <v>366</v>
      </c>
      <c r="I110" s="86" t="str">
        <f>I50</f>
        <v>FY 2021-22</v>
      </c>
      <c r="J110" s="86" t="s">
        <v>366</v>
      </c>
      <c r="K110" s="86" t="str">
        <f>K50</f>
        <v>FY 2022-23</v>
      </c>
      <c r="L110" s="86" t="s">
        <v>366</v>
      </c>
      <c r="M110" s="86" t="str">
        <f>M50</f>
        <v>FY 2023-24</v>
      </c>
      <c r="N110" s="86" t="s">
        <v>366</v>
      </c>
      <c r="O110" s="86" t="str">
        <f>O50</f>
        <v>FY 2024-25</v>
      </c>
      <c r="P110" s="86" t="s">
        <v>366</v>
      </c>
      <c r="Q110" s="86" t="str">
        <f>Q50</f>
        <v>FY 2025-26</v>
      </c>
      <c r="R110" s="86" t="s">
        <v>366</v>
      </c>
      <c r="S110" s="86" t="str">
        <f>S50</f>
        <v>FY 2026-27</v>
      </c>
      <c r="T110" s="86" t="s">
        <v>366</v>
      </c>
      <c r="U110" s="86" t="str">
        <f>U50</f>
        <v>FY 2027-28</v>
      </c>
      <c r="V110" s="86" t="s">
        <v>366</v>
      </c>
    </row>
    <row r="111" spans="1:24" ht="12.75" customHeight="1">
      <c r="A111" s="2" t="s">
        <v>403</v>
      </c>
      <c r="B111" s="35"/>
      <c r="C111" s="79">
        <f>C59</f>
        <v>0</v>
      </c>
      <c r="D111" s="80">
        <f t="shared" ref="D111:D116" si="43">IFERROR(C111/C$28,0)</f>
        <v>0</v>
      </c>
      <c r="E111" s="79">
        <f>E59</f>
        <v>0</v>
      </c>
      <c r="F111" s="80">
        <f t="shared" ref="F111:F116" si="44">IFERROR(E111/E$28,0)</f>
        <v>0</v>
      </c>
      <c r="G111" s="79">
        <f>G59</f>
        <v>0</v>
      </c>
      <c r="H111" s="80">
        <f t="shared" ref="H111:H116" si="45">IFERROR(G111/G$28,0)</f>
        <v>0</v>
      </c>
      <c r="I111" s="79">
        <f>I59</f>
        <v>0</v>
      </c>
      <c r="J111" s="80">
        <f t="shared" ref="J111:J116" si="46">IFERROR(I111/I$28,0)</f>
        <v>0</v>
      </c>
      <c r="K111" s="79">
        <f>K59</f>
        <v>0</v>
      </c>
      <c r="L111" s="80">
        <f t="shared" ref="L111:L116" si="47">IFERROR(K111/K$28,0)</f>
        <v>0</v>
      </c>
      <c r="M111" s="79">
        <f>M59</f>
        <v>0</v>
      </c>
      <c r="N111" s="80">
        <f t="shared" ref="N111:N116" si="48">IFERROR(M111/M$28,0)</f>
        <v>0</v>
      </c>
      <c r="O111" s="79">
        <f>O59</f>
        <v>0</v>
      </c>
      <c r="P111" s="80">
        <f t="shared" ref="P111:P116" si="49">IFERROR(O111/O$28,0)</f>
        <v>0</v>
      </c>
      <c r="Q111" s="79">
        <f>Q59</f>
        <v>0</v>
      </c>
      <c r="R111" s="80">
        <f t="shared" ref="R111:R116" si="50">IFERROR(Q111/Q$28,0)</f>
        <v>0</v>
      </c>
      <c r="S111" s="79">
        <f>S59</f>
        <v>0</v>
      </c>
      <c r="T111" s="80">
        <f t="shared" ref="T111:T116" si="51">IFERROR(S111/S$28,0)</f>
        <v>0</v>
      </c>
      <c r="U111" s="79">
        <f>U59</f>
        <v>0</v>
      </c>
      <c r="V111" s="80">
        <f t="shared" ref="V111:V116" si="52">IFERROR(U111/U$28,0)</f>
        <v>0</v>
      </c>
    </row>
    <row r="112" spans="1:24" ht="12.75" customHeight="1">
      <c r="A112" s="2" t="s">
        <v>450</v>
      </c>
      <c r="B112" s="35"/>
      <c r="C112" s="79">
        <f>C62</f>
        <v>0</v>
      </c>
      <c r="D112" s="80">
        <f t="shared" si="43"/>
        <v>0</v>
      </c>
      <c r="E112" s="79">
        <f>E62</f>
        <v>0</v>
      </c>
      <c r="F112" s="80">
        <f t="shared" si="44"/>
        <v>0</v>
      </c>
      <c r="G112" s="79">
        <f>G62</f>
        <v>0</v>
      </c>
      <c r="H112" s="80">
        <f t="shared" si="45"/>
        <v>0</v>
      </c>
      <c r="I112" s="79">
        <f>I62</f>
        <v>0</v>
      </c>
      <c r="J112" s="80">
        <f t="shared" si="46"/>
        <v>0</v>
      </c>
      <c r="K112" s="79">
        <f>K62</f>
        <v>0</v>
      </c>
      <c r="L112" s="80">
        <f t="shared" si="47"/>
        <v>0</v>
      </c>
      <c r="M112" s="79">
        <f>M62</f>
        <v>0</v>
      </c>
      <c r="N112" s="80">
        <f t="shared" si="48"/>
        <v>0</v>
      </c>
      <c r="O112" s="79">
        <f>O62</f>
        <v>0</v>
      </c>
      <c r="P112" s="80">
        <f t="shared" si="49"/>
        <v>0</v>
      </c>
      <c r="Q112" s="79">
        <f>Q62</f>
        <v>0</v>
      </c>
      <c r="R112" s="80">
        <f t="shared" si="50"/>
        <v>0</v>
      </c>
      <c r="S112" s="79">
        <f>S62</f>
        <v>0</v>
      </c>
      <c r="T112" s="80">
        <f t="shared" si="51"/>
        <v>0</v>
      </c>
      <c r="U112" s="79">
        <f>U62</f>
        <v>0</v>
      </c>
      <c r="V112" s="80">
        <f t="shared" si="52"/>
        <v>0</v>
      </c>
    </row>
    <row r="113" spans="1:22" ht="12.75" customHeight="1">
      <c r="A113" s="117" t="s">
        <v>446</v>
      </c>
      <c r="B113" s="41"/>
      <c r="C113" s="111">
        <v>0</v>
      </c>
      <c r="D113" s="80">
        <f t="shared" si="43"/>
        <v>0</v>
      </c>
      <c r="E113" s="111">
        <v>0</v>
      </c>
      <c r="F113" s="80">
        <f t="shared" si="44"/>
        <v>0</v>
      </c>
      <c r="G113" s="111">
        <v>0</v>
      </c>
      <c r="H113" s="80">
        <f t="shared" si="45"/>
        <v>0</v>
      </c>
      <c r="I113" s="111">
        <v>0</v>
      </c>
      <c r="J113" s="80">
        <f t="shared" si="46"/>
        <v>0</v>
      </c>
      <c r="K113" s="111">
        <v>0</v>
      </c>
      <c r="L113" s="80">
        <f t="shared" si="47"/>
        <v>0</v>
      </c>
      <c r="M113" s="111">
        <v>0</v>
      </c>
      <c r="N113" s="80">
        <f t="shared" si="48"/>
        <v>0</v>
      </c>
      <c r="O113" s="111">
        <v>0</v>
      </c>
      <c r="P113" s="80">
        <f t="shared" si="49"/>
        <v>0</v>
      </c>
      <c r="Q113" s="111">
        <v>0</v>
      </c>
      <c r="R113" s="80">
        <f t="shared" si="50"/>
        <v>0</v>
      </c>
      <c r="S113" s="111">
        <v>0</v>
      </c>
      <c r="T113" s="80">
        <f t="shared" si="51"/>
        <v>0</v>
      </c>
      <c r="U113" s="111">
        <v>0</v>
      </c>
      <c r="V113" s="80">
        <f t="shared" si="52"/>
        <v>0</v>
      </c>
    </row>
    <row r="114" spans="1:22" ht="12.75" customHeight="1">
      <c r="A114" s="117" t="s">
        <v>446</v>
      </c>
      <c r="B114" s="41"/>
      <c r="C114" s="111">
        <v>0</v>
      </c>
      <c r="D114" s="80">
        <f t="shared" si="43"/>
        <v>0</v>
      </c>
      <c r="E114" s="111">
        <v>0</v>
      </c>
      <c r="F114" s="80">
        <f t="shared" si="44"/>
        <v>0</v>
      </c>
      <c r="G114" s="111">
        <v>0</v>
      </c>
      <c r="H114" s="80">
        <f t="shared" si="45"/>
        <v>0</v>
      </c>
      <c r="I114" s="111">
        <v>0</v>
      </c>
      <c r="J114" s="80">
        <f t="shared" si="46"/>
        <v>0</v>
      </c>
      <c r="K114" s="111">
        <v>0</v>
      </c>
      <c r="L114" s="80">
        <f t="shared" si="47"/>
        <v>0</v>
      </c>
      <c r="M114" s="111">
        <v>0</v>
      </c>
      <c r="N114" s="80">
        <f t="shared" si="48"/>
        <v>0</v>
      </c>
      <c r="O114" s="111">
        <v>0</v>
      </c>
      <c r="P114" s="80">
        <f t="shared" si="49"/>
        <v>0</v>
      </c>
      <c r="Q114" s="111">
        <v>0</v>
      </c>
      <c r="R114" s="80">
        <f t="shared" si="50"/>
        <v>0</v>
      </c>
      <c r="S114" s="111">
        <v>0</v>
      </c>
      <c r="T114" s="80">
        <f t="shared" si="51"/>
        <v>0</v>
      </c>
      <c r="U114" s="111">
        <v>0</v>
      </c>
      <c r="V114" s="80">
        <f t="shared" si="52"/>
        <v>0</v>
      </c>
    </row>
    <row r="115" spans="1:22" ht="12.75" customHeight="1">
      <c r="A115" s="117" t="s">
        <v>446</v>
      </c>
      <c r="B115" s="41"/>
      <c r="C115" s="112">
        <v>0</v>
      </c>
      <c r="D115" s="80">
        <f t="shared" si="43"/>
        <v>0</v>
      </c>
      <c r="E115" s="112">
        <v>0</v>
      </c>
      <c r="F115" s="80">
        <f t="shared" si="44"/>
        <v>0</v>
      </c>
      <c r="G115" s="112">
        <v>0</v>
      </c>
      <c r="H115" s="80">
        <f t="shared" si="45"/>
        <v>0</v>
      </c>
      <c r="I115" s="112">
        <v>0</v>
      </c>
      <c r="J115" s="80">
        <f t="shared" si="46"/>
        <v>0</v>
      </c>
      <c r="K115" s="112">
        <v>0</v>
      </c>
      <c r="L115" s="80">
        <f t="shared" si="47"/>
        <v>0</v>
      </c>
      <c r="M115" s="112">
        <v>0</v>
      </c>
      <c r="N115" s="80">
        <f t="shared" si="48"/>
        <v>0</v>
      </c>
      <c r="O115" s="112">
        <v>0</v>
      </c>
      <c r="P115" s="80">
        <f t="shared" si="49"/>
        <v>0</v>
      </c>
      <c r="Q115" s="112">
        <v>0</v>
      </c>
      <c r="R115" s="80">
        <f t="shared" si="50"/>
        <v>0</v>
      </c>
      <c r="S115" s="112">
        <v>0</v>
      </c>
      <c r="T115" s="80">
        <f t="shared" si="51"/>
        <v>0</v>
      </c>
      <c r="U115" s="112">
        <v>0</v>
      </c>
      <c r="V115" s="80">
        <f t="shared" si="52"/>
        <v>0</v>
      </c>
    </row>
    <row r="116" spans="1:22" ht="12.75" customHeight="1">
      <c r="A116" s="40" t="s">
        <v>451</v>
      </c>
      <c r="B116" s="42"/>
      <c r="C116" s="85">
        <f>SUM(C111:C115)</f>
        <v>0</v>
      </c>
      <c r="D116" s="83">
        <f t="shared" si="43"/>
        <v>0</v>
      </c>
      <c r="E116" s="85">
        <f>SUM(E111:E115)</f>
        <v>0</v>
      </c>
      <c r="F116" s="83">
        <f t="shared" si="44"/>
        <v>0</v>
      </c>
      <c r="G116" s="85">
        <f>SUM(G111:G115)</f>
        <v>0</v>
      </c>
      <c r="H116" s="83">
        <f t="shared" si="45"/>
        <v>0</v>
      </c>
      <c r="I116" s="85">
        <f>SUM(I111:I115)</f>
        <v>0</v>
      </c>
      <c r="J116" s="83">
        <f t="shared" si="46"/>
        <v>0</v>
      </c>
      <c r="K116" s="85">
        <f>SUM(K111:K115)</f>
        <v>0</v>
      </c>
      <c r="L116" s="83">
        <f t="shared" si="47"/>
        <v>0</v>
      </c>
      <c r="M116" s="85">
        <f>SUM(M111:M115)</f>
        <v>0</v>
      </c>
      <c r="N116" s="83">
        <f t="shared" si="48"/>
        <v>0</v>
      </c>
      <c r="O116" s="85">
        <f>SUM(O111:O115)</f>
        <v>0</v>
      </c>
      <c r="P116" s="83">
        <f t="shared" si="49"/>
        <v>0</v>
      </c>
      <c r="Q116" s="85">
        <f>SUM(Q111:Q115)</f>
        <v>0</v>
      </c>
      <c r="R116" s="83">
        <f t="shared" si="50"/>
        <v>0</v>
      </c>
      <c r="S116" s="85">
        <f>SUM(S111:S115)</f>
        <v>0</v>
      </c>
      <c r="T116" s="83">
        <f t="shared" si="51"/>
        <v>0</v>
      </c>
      <c r="U116" s="85">
        <f>SUM(U111:U115)</f>
        <v>0</v>
      </c>
      <c r="V116" s="83">
        <f t="shared" si="52"/>
        <v>0</v>
      </c>
    </row>
    <row r="118" spans="1:22" ht="12.75" customHeight="1">
      <c r="A118" s="43" t="s">
        <v>452</v>
      </c>
      <c r="B118" s="43"/>
    </row>
    <row r="119" spans="1:22" ht="12.75" customHeight="1">
      <c r="A119" s="47" t="s">
        <v>453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7" tint="0.59999389629810485"/>
  </sheetPr>
  <dimension ref="A1:X119"/>
  <sheetViews>
    <sheetView topLeftCell="A9" zoomScale="70" zoomScaleNormal="70" workbookViewId="0" xr3:uid="{762215AB-03FA-5155-B868-AA11ECFE6524}">
      <selection activeCell="W59" sqref="W59"/>
    </sheetView>
  </sheetViews>
  <sheetFormatPr defaultColWidth="9.140625" defaultRowHeight="12.75" customHeight="1"/>
  <cols>
    <col min="1" max="1" width="9.5703125" style="2" customWidth="1"/>
    <col min="2" max="2" width="39" style="2" customWidth="1"/>
    <col min="3" max="3" width="12.7109375" style="2" customWidth="1"/>
    <col min="4" max="4" width="8.7109375" style="2" customWidth="1"/>
    <col min="5" max="5" width="12.7109375" style="2" customWidth="1"/>
    <col min="6" max="6" width="8.7109375" style="2" customWidth="1"/>
    <col min="7" max="7" width="1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0</v>
      </c>
      <c r="B1" s="1"/>
    </row>
    <row r="2" spans="1:22" ht="12.75" customHeight="1">
      <c r="A2" s="1" t="s">
        <v>1</v>
      </c>
      <c r="B2" s="1"/>
      <c r="D2" s="118" t="s">
        <v>355</v>
      </c>
      <c r="G2" s="33" t="s">
        <v>59</v>
      </c>
      <c r="H2" s="34"/>
      <c r="I2" s="34"/>
      <c r="V2" s="32"/>
    </row>
    <row r="3" spans="1:22" ht="12.75" customHeight="1">
      <c r="A3" s="1" t="s">
        <v>357</v>
      </c>
      <c r="D3" s="118" t="s">
        <v>358</v>
      </c>
      <c r="G3" s="115" t="str">
        <f>+G2</f>
        <v xml:space="preserve">Heritage Market </v>
      </c>
      <c r="H3" s="116"/>
      <c r="I3" s="116"/>
      <c r="V3" s="32"/>
    </row>
    <row r="4" spans="1:22" ht="12.75" customHeight="1">
      <c r="A4" s="1" t="s">
        <v>359</v>
      </c>
      <c r="B4" s="109" t="s">
        <v>221</v>
      </c>
      <c r="D4" s="118" t="s">
        <v>360</v>
      </c>
      <c r="G4" s="115" t="s">
        <v>65</v>
      </c>
      <c r="H4" s="116"/>
      <c r="I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1" t="s">
        <v>361</v>
      </c>
      <c r="B7" s="1"/>
    </row>
    <row r="8" spans="1:22" ht="12.75" customHeight="1">
      <c r="A8" s="2" t="s">
        <v>362</v>
      </c>
      <c r="C8" s="109">
        <v>302</v>
      </c>
      <c r="E8" s="109">
        <f>+C8</f>
        <v>302</v>
      </c>
      <c r="G8" s="109">
        <f>+E8</f>
        <v>302</v>
      </c>
      <c r="I8" s="109">
        <f>+G8</f>
        <v>302</v>
      </c>
      <c r="K8" s="109">
        <f>+I8</f>
        <v>302</v>
      </c>
      <c r="M8" s="109">
        <f>+K8</f>
        <v>302</v>
      </c>
      <c r="O8" s="109">
        <f>+M8</f>
        <v>302</v>
      </c>
      <c r="Q8" s="109">
        <f>+O8</f>
        <v>302</v>
      </c>
      <c r="S8" s="109">
        <f>+Q8</f>
        <v>302</v>
      </c>
      <c r="U8" s="109">
        <f>+S8</f>
        <v>302</v>
      </c>
    </row>
    <row r="10" spans="1:22" ht="12.75" customHeight="1">
      <c r="A10" s="2" t="s">
        <v>462</v>
      </c>
      <c r="C10" s="109"/>
      <c r="E10" s="109"/>
      <c r="G10" s="201">
        <f>+G14/G8/G12</f>
        <v>794.93850520340584</v>
      </c>
      <c r="H10" s="202"/>
      <c r="I10" s="201">
        <f>+I14/I8/I12</f>
        <v>807.37708778838089</v>
      </c>
      <c r="J10" s="202"/>
      <c r="K10" s="201">
        <f>+K14/K8/K12</f>
        <v>818.86536714220131</v>
      </c>
      <c r="L10" s="202"/>
      <c r="M10" s="201">
        <f>+M14/M8/M12</f>
        <v>831.71348008581299</v>
      </c>
      <c r="N10" s="202"/>
      <c r="O10" s="201">
        <f t="shared" ref="O10" si="0">+O14/O8/O12</f>
        <v>844.77826406472059</v>
      </c>
      <c r="P10" s="202"/>
      <c r="Q10" s="201">
        <f t="shared" ref="Q10" si="1">+Q14/Q8/Q12</f>
        <v>858.06346413925792</v>
      </c>
      <c r="R10" s="202"/>
      <c r="S10" s="201">
        <f>+S14/S8/S12</f>
        <v>871.57289169705541</v>
      </c>
      <c r="T10" s="202"/>
      <c r="U10" s="201">
        <f>+U14/U8/U12</f>
        <v>885.31042564097856</v>
      </c>
    </row>
    <row r="12" spans="1:22" ht="12.75" customHeight="1">
      <c r="A12" s="2" t="s">
        <v>463</v>
      </c>
      <c r="C12" s="110"/>
      <c r="E12" s="110"/>
      <c r="G12" s="110">
        <v>7</v>
      </c>
      <c r="I12" s="110">
        <v>7.03</v>
      </c>
      <c r="K12" s="110">
        <v>7.07</v>
      </c>
      <c r="M12" s="110">
        <v>7.1</v>
      </c>
      <c r="O12" s="110">
        <v>7.13</v>
      </c>
      <c r="Q12" s="110">
        <v>7.16</v>
      </c>
      <c r="S12" s="110">
        <v>7.19</v>
      </c>
      <c r="U12" s="110">
        <v>7.22</v>
      </c>
    </row>
    <row r="14" spans="1:22" ht="12.75" customHeight="1">
      <c r="A14" s="2" t="s">
        <v>464</v>
      </c>
      <c r="C14" s="121"/>
      <c r="E14" s="121"/>
      <c r="G14" s="198">
        <v>1680500</v>
      </c>
      <c r="H14" s="12"/>
      <c r="I14" s="198">
        <f>+G14*1.02</f>
        <v>1714110</v>
      </c>
      <c r="J14" s="12"/>
      <c r="K14" s="198">
        <f>+I14*1.02</f>
        <v>1748392.2</v>
      </c>
      <c r="L14" s="12"/>
      <c r="M14" s="198">
        <f>+K14*1.02</f>
        <v>1783360.044</v>
      </c>
      <c r="N14" s="12"/>
      <c r="O14" s="198">
        <f>+M14*1.02</f>
        <v>1819027.2448800001</v>
      </c>
      <c r="P14" s="12"/>
      <c r="Q14" s="198">
        <f>+O14*1.02</f>
        <v>1855407.7897776002</v>
      </c>
      <c r="R14" s="12"/>
      <c r="S14" s="198">
        <f>+Q14*1.02</f>
        <v>1892515.9455731523</v>
      </c>
      <c r="T14" s="12"/>
      <c r="U14" s="198">
        <f>+S14*1.02</f>
        <v>1930366.2644846153</v>
      </c>
    </row>
    <row r="15" spans="1:22" ht="12.75" customHeight="1">
      <c r="A15" s="39">
        <v>0.1</v>
      </c>
    </row>
    <row r="16" spans="1:22" ht="12.75" customHeight="1">
      <c r="B16" s="35"/>
      <c r="C16" s="86" t="str">
        <f>C6</f>
        <v>FY 2018-19</v>
      </c>
      <c r="D16" s="86" t="s">
        <v>366</v>
      </c>
      <c r="E16" s="86" t="str">
        <f>E6</f>
        <v>FY 2019-20</v>
      </c>
      <c r="F16" s="86" t="s">
        <v>366</v>
      </c>
      <c r="G16" s="86" t="str">
        <f>G6</f>
        <v>FY 2020-21</v>
      </c>
      <c r="H16" s="86" t="s">
        <v>366</v>
      </c>
      <c r="I16" s="86" t="str">
        <f>I6</f>
        <v>FY 2021-22</v>
      </c>
      <c r="J16" s="86" t="s">
        <v>366</v>
      </c>
      <c r="K16" s="86" t="str">
        <f>K6</f>
        <v>FY 2022-23</v>
      </c>
      <c r="L16" s="86" t="s">
        <v>366</v>
      </c>
      <c r="M16" s="86" t="str">
        <f>M6</f>
        <v>FY 2023-24</v>
      </c>
      <c r="N16" s="86" t="s">
        <v>366</v>
      </c>
      <c r="O16" s="86" t="str">
        <f>O6</f>
        <v>FY 2024-25</v>
      </c>
      <c r="P16" s="86" t="s">
        <v>366</v>
      </c>
      <c r="Q16" s="86" t="str">
        <f>Q6</f>
        <v>FY 2025-26</v>
      </c>
      <c r="R16" s="86" t="s">
        <v>366</v>
      </c>
      <c r="S16" s="86" t="str">
        <f>S6</f>
        <v>FY 2026-27</v>
      </c>
      <c r="T16" s="86" t="s">
        <v>366</v>
      </c>
      <c r="U16" s="86" t="str">
        <f>U6</f>
        <v>FY 2027-28</v>
      </c>
      <c r="V16" s="86" t="s">
        <v>366</v>
      </c>
    </row>
    <row r="17" spans="1:24" ht="12.75" customHeight="1">
      <c r="A17" s="1" t="s">
        <v>367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4" ht="12.75" customHeight="1">
      <c r="A18" s="2" t="s">
        <v>368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X18" s="162"/>
    </row>
    <row r="19" spans="1:24" ht="12.75" customHeight="1">
      <c r="A19" s="2" t="s">
        <v>369</v>
      </c>
      <c r="B19" s="35"/>
      <c r="C19" s="200">
        <f>+C14-C20</f>
        <v>0</v>
      </c>
      <c r="D19" s="80">
        <f>IFERROR(C19/C$28,0)</f>
        <v>0</v>
      </c>
      <c r="E19" s="200">
        <f>+E14-E20</f>
        <v>0</v>
      </c>
      <c r="F19" s="80">
        <f>IFERROR(E19/E$28,0)</f>
        <v>0</v>
      </c>
      <c r="G19" s="200">
        <f>+G14-G20</f>
        <v>785297.64999999991</v>
      </c>
      <c r="H19" s="80">
        <f>IFERROR(G19/G$28,0)</f>
        <v>0.46729999999999994</v>
      </c>
      <c r="I19" s="200">
        <f>+I14-I20</f>
        <v>801003.60299999989</v>
      </c>
      <c r="J19" s="80">
        <f>IFERROR(I19/I$28,0)</f>
        <v>0.46729999999999994</v>
      </c>
      <c r="K19" s="200">
        <f>+K14-K20</f>
        <v>817023.6750599998</v>
      </c>
      <c r="L19" s="80">
        <f>IFERROR(K19/K$28,0)</f>
        <v>0.46729999999999988</v>
      </c>
      <c r="M19" s="200">
        <f>+M14-M20</f>
        <v>833364.14856119978</v>
      </c>
      <c r="N19" s="80">
        <f>IFERROR(M19/M$28,0)</f>
        <v>0.46729999999999988</v>
      </c>
      <c r="O19" s="200">
        <f>+O14-O20</f>
        <v>850031.43153242394</v>
      </c>
      <c r="P19" s="80">
        <f>IFERROR(O19/O$28,0)</f>
        <v>0.46729999999999994</v>
      </c>
      <c r="Q19" s="200">
        <f>+Q14-Q20</f>
        <v>867032.06016307243</v>
      </c>
      <c r="R19" s="80">
        <f>IFERROR(Q19/Q$28,0)</f>
        <v>0.46729999999999994</v>
      </c>
      <c r="S19" s="200">
        <f>+S14-S20</f>
        <v>884372.70136633387</v>
      </c>
      <c r="T19" s="80">
        <f>IFERROR(S19/S$28,0)</f>
        <v>0.46729999999999988</v>
      </c>
      <c r="U19" s="200">
        <f>+U14-U20</f>
        <v>902060.15539366053</v>
      </c>
      <c r="V19" s="80">
        <f>IFERROR(U19/U$28,0)</f>
        <v>0.46729999999999988</v>
      </c>
    </row>
    <row r="20" spans="1:24" ht="12.75" customHeight="1">
      <c r="A20" s="2" t="s">
        <v>370</v>
      </c>
      <c r="B20" s="35"/>
      <c r="C20" s="111">
        <f>+C14*12.38%</f>
        <v>0</v>
      </c>
      <c r="D20" s="80">
        <f>IFERROR(C20/C$28,0)</f>
        <v>0</v>
      </c>
      <c r="E20" s="111">
        <f>+E14*53.27%</f>
        <v>0</v>
      </c>
      <c r="F20" s="80">
        <f>IFERROR(E20/E$28,0)</f>
        <v>0</v>
      </c>
      <c r="G20" s="111">
        <f>+G14*53.27%</f>
        <v>895202.35000000009</v>
      </c>
      <c r="H20" s="80">
        <f>IFERROR(G20/G$28,0)</f>
        <v>0.53270000000000006</v>
      </c>
      <c r="I20" s="111">
        <f t="shared" ref="G20:U21" si="2">G20*1.02</f>
        <v>913106.39700000011</v>
      </c>
      <c r="J20" s="80">
        <f>IFERROR(I20/I$28,0)</f>
        <v>0.53270000000000006</v>
      </c>
      <c r="K20" s="111">
        <f t="shared" si="2"/>
        <v>931368.52494000015</v>
      </c>
      <c r="L20" s="80">
        <f>IFERROR(K20/K$28,0)</f>
        <v>0.53270000000000006</v>
      </c>
      <c r="M20" s="111">
        <f t="shared" si="2"/>
        <v>949995.89543880022</v>
      </c>
      <c r="N20" s="80">
        <f>IFERROR(M20/M$28,0)</f>
        <v>0.53270000000000017</v>
      </c>
      <c r="O20" s="111">
        <f t="shared" si="2"/>
        <v>968995.81334757619</v>
      </c>
      <c r="P20" s="80">
        <f>IFERROR(O20/O$28,0)</f>
        <v>0.53270000000000006</v>
      </c>
      <c r="Q20" s="111">
        <f t="shared" si="2"/>
        <v>988375.72961452778</v>
      </c>
      <c r="R20" s="80">
        <f>IFERROR(Q20/Q$28,0)</f>
        <v>0.53270000000000006</v>
      </c>
      <c r="S20" s="111">
        <f t="shared" si="2"/>
        <v>1008143.2442068184</v>
      </c>
      <c r="T20" s="80">
        <f>IFERROR(S20/S$28,0)</f>
        <v>0.53270000000000006</v>
      </c>
      <c r="U20" s="111">
        <f t="shared" si="2"/>
        <v>1028306.1090909548</v>
      </c>
      <c r="V20" s="80">
        <f>IFERROR(U20/U$28,0)</f>
        <v>0.53270000000000006</v>
      </c>
    </row>
    <row r="21" spans="1:24" ht="12.75" customHeight="1">
      <c r="A21" s="2" t="s">
        <v>371</v>
      </c>
      <c r="B21" s="35"/>
      <c r="C21" s="111"/>
      <c r="D21" s="80">
        <f>IFERROR(C21/C$28,0)</f>
        <v>0</v>
      </c>
      <c r="E21" s="111">
        <v>0</v>
      </c>
      <c r="F21" s="80">
        <f>IFERROR(E21/E$28,0)</f>
        <v>0</v>
      </c>
      <c r="G21" s="111">
        <f t="shared" si="2"/>
        <v>0</v>
      </c>
      <c r="H21" s="80">
        <f>IFERROR(G21/G$28,0)</f>
        <v>0</v>
      </c>
      <c r="I21" s="111">
        <f t="shared" si="2"/>
        <v>0</v>
      </c>
      <c r="J21" s="80">
        <f>IFERROR(I21/I$28,0)</f>
        <v>0</v>
      </c>
      <c r="K21" s="111">
        <f t="shared" si="2"/>
        <v>0</v>
      </c>
      <c r="L21" s="80">
        <f>IFERROR(K21/K$28,0)</f>
        <v>0</v>
      </c>
      <c r="M21" s="111">
        <f t="shared" si="2"/>
        <v>0</v>
      </c>
      <c r="N21" s="80">
        <f>IFERROR(M21/M$28,0)</f>
        <v>0</v>
      </c>
      <c r="O21" s="111">
        <f t="shared" si="2"/>
        <v>0</v>
      </c>
      <c r="P21" s="80">
        <f>IFERROR(O21/O$28,0)</f>
        <v>0</v>
      </c>
      <c r="Q21" s="111">
        <f t="shared" si="2"/>
        <v>0</v>
      </c>
      <c r="R21" s="80">
        <f>IFERROR(Q21/Q$28,0)</f>
        <v>0</v>
      </c>
      <c r="S21" s="111">
        <f t="shared" si="2"/>
        <v>0</v>
      </c>
      <c r="T21" s="80">
        <f>IFERROR(S21/S$28,0)</f>
        <v>0</v>
      </c>
      <c r="U21" s="111">
        <f t="shared" si="2"/>
        <v>0</v>
      </c>
      <c r="V21" s="80">
        <f>IFERROR(U21/U$28,0)</f>
        <v>0</v>
      </c>
    </row>
    <row r="22" spans="1:24" ht="12.75" customHeight="1">
      <c r="A22" s="2" t="s">
        <v>372</v>
      </c>
      <c r="B22" s="35"/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</row>
    <row r="23" spans="1:24" ht="12.75" customHeight="1">
      <c r="A23" s="122" t="s">
        <v>373</v>
      </c>
      <c r="B23" s="123"/>
      <c r="C23" s="79"/>
      <c r="D23" s="80">
        <f t="shared" ref="D23:D28" si="3">IFERROR(C23/C$28,0)</f>
        <v>0</v>
      </c>
      <c r="E23" s="79"/>
      <c r="F23" s="80">
        <f t="shared" ref="F23:F28" si="4">IFERROR(E23/E$28,0)</f>
        <v>0</v>
      </c>
      <c r="G23" s="79"/>
      <c r="H23" s="80">
        <f t="shared" ref="H23:H28" si="5">IFERROR(G23/G$28,0)</f>
        <v>0</v>
      </c>
      <c r="I23" s="79"/>
      <c r="J23" s="80">
        <f t="shared" ref="J23:J28" si="6">IFERROR(I23/I$28,0)</f>
        <v>0</v>
      </c>
      <c r="K23" s="79"/>
      <c r="L23" s="80">
        <f t="shared" ref="L23:L28" si="7">IFERROR(K23/K$28,0)</f>
        <v>0</v>
      </c>
      <c r="M23" s="79"/>
      <c r="N23" s="80">
        <f t="shared" ref="N23:N28" si="8">IFERROR(M23/M$28,0)</f>
        <v>0</v>
      </c>
      <c r="O23" s="79"/>
      <c r="P23" s="80">
        <f t="shared" ref="P23:P28" si="9">IFERROR(O23/O$28,0)</f>
        <v>0</v>
      </c>
      <c r="Q23" s="79"/>
      <c r="R23" s="80">
        <f t="shared" ref="R23:R28" si="10">IFERROR(Q23/Q$28,0)</f>
        <v>0</v>
      </c>
      <c r="S23" s="79"/>
      <c r="T23" s="80">
        <f t="shared" ref="T23:T28" si="11">IFERROR(S23/S$28,0)</f>
        <v>0</v>
      </c>
      <c r="U23" s="79"/>
      <c r="V23" s="80">
        <f t="shared" ref="V23:V28" si="12">IFERROR(U23/U$28,0)</f>
        <v>0</v>
      </c>
    </row>
    <row r="24" spans="1:24" ht="12.75" customHeight="1">
      <c r="A24" s="122" t="s">
        <v>374</v>
      </c>
      <c r="B24" s="123"/>
      <c r="C24" s="79"/>
      <c r="D24" s="80">
        <f t="shared" si="3"/>
        <v>0</v>
      </c>
      <c r="E24" s="79"/>
      <c r="F24" s="80">
        <f t="shared" si="4"/>
        <v>0</v>
      </c>
      <c r="G24" s="79"/>
      <c r="H24" s="80">
        <f t="shared" si="5"/>
        <v>0</v>
      </c>
      <c r="I24" s="79"/>
      <c r="J24" s="80">
        <f t="shared" si="6"/>
        <v>0</v>
      </c>
      <c r="K24" s="79"/>
      <c r="L24" s="80">
        <f t="shared" si="7"/>
        <v>0</v>
      </c>
      <c r="M24" s="79"/>
      <c r="N24" s="80">
        <f t="shared" si="8"/>
        <v>0</v>
      </c>
      <c r="O24" s="79"/>
      <c r="P24" s="80">
        <f t="shared" si="9"/>
        <v>0</v>
      </c>
      <c r="Q24" s="79"/>
      <c r="R24" s="80">
        <f t="shared" si="10"/>
        <v>0</v>
      </c>
      <c r="S24" s="79"/>
      <c r="T24" s="80">
        <f t="shared" si="11"/>
        <v>0</v>
      </c>
      <c r="U24" s="79"/>
      <c r="V24" s="80">
        <f t="shared" si="12"/>
        <v>0</v>
      </c>
      <c r="X24" s="79"/>
    </row>
    <row r="25" spans="1:24" ht="12.75" customHeight="1">
      <c r="A25" s="2" t="s">
        <v>375</v>
      </c>
      <c r="B25" s="35"/>
      <c r="C25" s="111"/>
      <c r="D25" s="80">
        <f t="shared" si="3"/>
        <v>0</v>
      </c>
      <c r="E25" s="111"/>
      <c r="F25" s="80">
        <f t="shared" si="4"/>
        <v>0</v>
      </c>
      <c r="G25" s="111"/>
      <c r="H25" s="80">
        <f t="shared" si="5"/>
        <v>0</v>
      </c>
      <c r="I25" s="111"/>
      <c r="J25" s="80">
        <f t="shared" si="6"/>
        <v>0</v>
      </c>
      <c r="K25" s="111"/>
      <c r="L25" s="80">
        <f t="shared" si="7"/>
        <v>0</v>
      </c>
      <c r="M25" s="111"/>
      <c r="N25" s="80">
        <f t="shared" si="8"/>
        <v>0</v>
      </c>
      <c r="O25" s="111"/>
      <c r="P25" s="80">
        <f t="shared" si="9"/>
        <v>0</v>
      </c>
      <c r="Q25" s="111"/>
      <c r="R25" s="80">
        <f t="shared" si="10"/>
        <v>0</v>
      </c>
      <c r="S25" s="111"/>
      <c r="T25" s="80">
        <f t="shared" si="11"/>
        <v>0</v>
      </c>
      <c r="U25" s="111"/>
      <c r="V25" s="80">
        <f t="shared" si="12"/>
        <v>0</v>
      </c>
      <c r="X25" s="79"/>
    </row>
    <row r="26" spans="1:24" ht="12.75" customHeight="1">
      <c r="A26" s="122" t="s">
        <v>376</v>
      </c>
      <c r="B26" s="35"/>
      <c r="C26" s="79"/>
      <c r="D26" s="80">
        <f t="shared" si="3"/>
        <v>0</v>
      </c>
      <c r="E26" s="79"/>
      <c r="F26" s="80">
        <f t="shared" si="4"/>
        <v>0</v>
      </c>
      <c r="G26" s="79"/>
      <c r="H26" s="80">
        <f t="shared" si="5"/>
        <v>0</v>
      </c>
      <c r="I26" s="79"/>
      <c r="J26" s="80">
        <f t="shared" si="6"/>
        <v>0</v>
      </c>
      <c r="K26" s="79"/>
      <c r="L26" s="80">
        <f t="shared" si="7"/>
        <v>0</v>
      </c>
      <c r="M26" s="79"/>
      <c r="N26" s="80">
        <f t="shared" si="8"/>
        <v>0</v>
      </c>
      <c r="O26" s="79"/>
      <c r="P26" s="80">
        <f t="shared" si="9"/>
        <v>0</v>
      </c>
      <c r="Q26" s="79"/>
      <c r="R26" s="80">
        <f t="shared" si="10"/>
        <v>0</v>
      </c>
      <c r="S26" s="79"/>
      <c r="T26" s="80">
        <f t="shared" si="11"/>
        <v>0</v>
      </c>
      <c r="U26" s="79"/>
      <c r="V26" s="80">
        <f t="shared" si="12"/>
        <v>0</v>
      </c>
    </row>
    <row r="27" spans="1:24" ht="12.75" customHeight="1">
      <c r="A27" s="2" t="s">
        <v>377</v>
      </c>
      <c r="B27" s="35"/>
      <c r="C27" s="112"/>
      <c r="D27" s="80">
        <f t="shared" si="3"/>
        <v>0</v>
      </c>
      <c r="E27" s="112"/>
      <c r="F27" s="80">
        <f t="shared" si="4"/>
        <v>0</v>
      </c>
      <c r="G27" s="112"/>
      <c r="H27" s="80">
        <f t="shared" si="5"/>
        <v>0</v>
      </c>
      <c r="I27" s="112"/>
      <c r="J27" s="80">
        <f t="shared" si="6"/>
        <v>0</v>
      </c>
      <c r="K27" s="112"/>
      <c r="L27" s="80">
        <f t="shared" si="7"/>
        <v>0</v>
      </c>
      <c r="M27" s="112"/>
      <c r="N27" s="80">
        <f t="shared" si="8"/>
        <v>0</v>
      </c>
      <c r="O27" s="112"/>
      <c r="P27" s="80">
        <f t="shared" si="9"/>
        <v>0</v>
      </c>
      <c r="Q27" s="112"/>
      <c r="R27" s="80">
        <f t="shared" si="10"/>
        <v>0</v>
      </c>
      <c r="S27" s="112"/>
      <c r="T27" s="80">
        <f t="shared" si="11"/>
        <v>0</v>
      </c>
      <c r="U27" s="112"/>
      <c r="V27" s="80">
        <f t="shared" si="12"/>
        <v>0</v>
      </c>
    </row>
    <row r="28" spans="1:24" ht="12.75" customHeight="1">
      <c r="A28" s="1" t="s">
        <v>378</v>
      </c>
      <c r="B28" s="53"/>
      <c r="C28" s="82">
        <f>SUM(C19:C27)</f>
        <v>0</v>
      </c>
      <c r="D28" s="83">
        <f t="shared" si="3"/>
        <v>0</v>
      </c>
      <c r="E28" s="82">
        <f>SUM(E19:E27)</f>
        <v>0</v>
      </c>
      <c r="F28" s="83">
        <f t="shared" si="4"/>
        <v>0</v>
      </c>
      <c r="G28" s="82">
        <f>SUM(G19:G27)</f>
        <v>1680500</v>
      </c>
      <c r="H28" s="83">
        <f t="shared" si="5"/>
        <v>1</v>
      </c>
      <c r="I28" s="82">
        <f>SUM(I19:I27)</f>
        <v>1714110</v>
      </c>
      <c r="J28" s="83">
        <f t="shared" si="6"/>
        <v>1</v>
      </c>
      <c r="K28" s="82">
        <f>SUM(K19:K27)</f>
        <v>1748392.2</v>
      </c>
      <c r="L28" s="83">
        <f t="shared" si="7"/>
        <v>1</v>
      </c>
      <c r="M28" s="82">
        <f>SUM(M19:M27)</f>
        <v>1783360.044</v>
      </c>
      <c r="N28" s="83">
        <f t="shared" si="8"/>
        <v>1</v>
      </c>
      <c r="O28" s="82">
        <f>SUM(O19:O27)</f>
        <v>1819027.2448800001</v>
      </c>
      <c r="P28" s="83">
        <f t="shared" si="9"/>
        <v>1</v>
      </c>
      <c r="Q28" s="82">
        <f>SUM(Q19:Q27)</f>
        <v>1855407.7897776002</v>
      </c>
      <c r="R28" s="83">
        <f t="shared" si="10"/>
        <v>1</v>
      </c>
      <c r="S28" s="82">
        <f>SUM(S19:S27)</f>
        <v>1892515.9455731523</v>
      </c>
      <c r="T28" s="83">
        <f t="shared" si="11"/>
        <v>1</v>
      </c>
      <c r="U28" s="82">
        <f>SUM(U19:U27)</f>
        <v>1930366.2644846153</v>
      </c>
      <c r="V28" s="83">
        <f t="shared" si="12"/>
        <v>1</v>
      </c>
    </row>
    <row r="29" spans="1:24" ht="12.75" customHeight="1">
      <c r="A29" s="1"/>
      <c r="B29" s="53"/>
      <c r="C29" s="121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4" ht="12.75" customHeight="1">
      <c r="A30" s="1" t="s">
        <v>379</v>
      </c>
      <c r="B30" s="53"/>
      <c r="C30" s="197">
        <v>0.34</v>
      </c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4" ht="12.75" customHeight="1">
      <c r="A31" s="2" t="s">
        <v>380</v>
      </c>
      <c r="B31" s="35"/>
      <c r="C31" s="178">
        <f>$C$30*C14</f>
        <v>0</v>
      </c>
      <c r="D31" s="80">
        <f>IFERROR(C31/C$28,0)</f>
        <v>0</v>
      </c>
      <c r="E31" s="178">
        <f>$C$30*E14</f>
        <v>0</v>
      </c>
      <c r="F31" s="80">
        <f>IFERROR(E31/E$28,0)</f>
        <v>0</v>
      </c>
      <c r="G31" s="178">
        <f>$C$30*G14</f>
        <v>571370</v>
      </c>
      <c r="H31" s="80">
        <f>IFERROR(G31/G$28,0)</f>
        <v>0.34</v>
      </c>
      <c r="I31" s="178">
        <f>$C$30*I14</f>
        <v>582797.4</v>
      </c>
      <c r="J31" s="80">
        <f>IFERROR(I31/I$28,0)</f>
        <v>0.34</v>
      </c>
      <c r="K31" s="178">
        <f>$C$30*K14</f>
        <v>594453.348</v>
      </c>
      <c r="L31" s="80">
        <f>IFERROR(K31/K$28,0)</f>
        <v>0.34</v>
      </c>
      <c r="M31" s="178">
        <f>$C$30*M14</f>
        <v>606342.41496000008</v>
      </c>
      <c r="N31" s="80">
        <f>IFERROR(M31/M$28,0)</f>
        <v>0.34</v>
      </c>
      <c r="O31" s="178">
        <f>$C$30*O14</f>
        <v>618469.26325920015</v>
      </c>
      <c r="P31" s="80">
        <f>IFERROR(O31/O$28,0)</f>
        <v>0.34000000000000008</v>
      </c>
      <c r="Q31" s="178">
        <f>$C$30*Q14</f>
        <v>630838.64852438413</v>
      </c>
      <c r="R31" s="80">
        <f>IFERROR(Q31/Q$28,0)</f>
        <v>0.34</v>
      </c>
      <c r="S31" s="178">
        <f>$C$30*S14</f>
        <v>643455.42149487184</v>
      </c>
      <c r="T31" s="80">
        <f>IFERROR(S31/S$28,0)</f>
        <v>0.34</v>
      </c>
      <c r="U31" s="178">
        <f>($C$30*U14)-90000</f>
        <v>566324.5299247693</v>
      </c>
      <c r="V31" s="80">
        <f>IFERROR(U31/U$28,0)</f>
        <v>0.29337672354938876</v>
      </c>
    </row>
    <row r="32" spans="1:24" ht="12.75" customHeight="1">
      <c r="A32" s="8" t="s">
        <v>381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382</v>
      </c>
      <c r="B33" s="53"/>
      <c r="C33" s="82">
        <f>SUM(C31:C32)</f>
        <v>0</v>
      </c>
      <c r="D33" s="83">
        <f>IFERROR(C33/C$28,0)</f>
        <v>0</v>
      </c>
      <c r="E33" s="82">
        <f>SUM(E31:E32)</f>
        <v>0</v>
      </c>
      <c r="F33" s="83">
        <f>IFERROR(E33/E$28,0)</f>
        <v>0</v>
      </c>
      <c r="G33" s="82">
        <f>SUM(G31:G32)</f>
        <v>571370</v>
      </c>
      <c r="H33" s="83">
        <f>IFERROR(G33/G$28,0)</f>
        <v>0.34</v>
      </c>
      <c r="I33" s="82">
        <f>SUM(I31:I32)</f>
        <v>582797.4</v>
      </c>
      <c r="J33" s="83">
        <f>IFERROR(I33/I$28,0)</f>
        <v>0.34</v>
      </c>
      <c r="K33" s="82">
        <f>SUM(K31:K32)</f>
        <v>594453.348</v>
      </c>
      <c r="L33" s="83">
        <f>IFERROR(K33/K$28,0)</f>
        <v>0.34</v>
      </c>
      <c r="M33" s="82">
        <f>SUM(M31:M32)</f>
        <v>606342.41496000008</v>
      </c>
      <c r="N33" s="83">
        <f>IFERROR(M33/M$28,0)</f>
        <v>0.34</v>
      </c>
      <c r="O33" s="82">
        <f>SUM(O31:O32)</f>
        <v>618469.26325920015</v>
      </c>
      <c r="P33" s="83">
        <f>IFERROR(O33/O$28,0)</f>
        <v>0.34000000000000008</v>
      </c>
      <c r="Q33" s="82">
        <f>SUM(Q31:Q32)</f>
        <v>630838.64852438413</v>
      </c>
      <c r="R33" s="83">
        <f>IFERROR(Q33/Q$28,0)</f>
        <v>0.34</v>
      </c>
      <c r="S33" s="82">
        <f>SUM(S31:S32)</f>
        <v>643455.42149487184</v>
      </c>
      <c r="T33" s="83">
        <f>IFERROR(S33/S$28,0)</f>
        <v>0.34</v>
      </c>
      <c r="U33" s="82">
        <f>SUM(U31:U32)</f>
        <v>566324.5299247693</v>
      </c>
      <c r="V33" s="83">
        <f>IFERROR(U33/U$28,0)</f>
        <v>0.29337672354938876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383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384</v>
      </c>
      <c r="B36" s="35"/>
      <c r="C36" s="113"/>
      <c r="D36" s="80">
        <f t="shared" ref="D36:D46" si="13">IFERROR(C36/C$28,0)</f>
        <v>0</v>
      </c>
      <c r="E36" s="178"/>
      <c r="F36" s="80">
        <f t="shared" ref="F36:F46" si="14">IFERROR(E36/E$28,0)</f>
        <v>0</v>
      </c>
      <c r="G36" s="178">
        <v>100000</v>
      </c>
      <c r="H36" s="80">
        <f t="shared" ref="H36:H46" si="15">IFERROR(G36/G$28,0)</f>
        <v>5.9506099375185958E-2</v>
      </c>
      <c r="I36" s="178">
        <f>+G36*1.025</f>
        <v>102499.99999999999</v>
      </c>
      <c r="J36" s="80">
        <f t="shared" ref="J36:J46" si="16">IFERROR(I36/I$28,0)</f>
        <v>5.9797795940750582E-2</v>
      </c>
      <c r="K36" s="178">
        <f>+I36*1.025</f>
        <v>105062.49999999997</v>
      </c>
      <c r="L36" s="80">
        <f t="shared" ref="L36:L46" si="17">IFERROR(K36/K$28,0)</f>
        <v>6.0090922391440531E-2</v>
      </c>
      <c r="M36" s="178">
        <f>+K36*1.025</f>
        <v>107689.06249999996</v>
      </c>
      <c r="N36" s="80">
        <f t="shared" ref="N36:N46" si="18">IFERROR(M36/M$28,0)</f>
        <v>6.0385485736496602E-2</v>
      </c>
      <c r="O36" s="178">
        <f>+M36*1.02</f>
        <v>109842.84374999996</v>
      </c>
      <c r="P36" s="80">
        <f t="shared" ref="P36:P46" si="19">IFERROR(O36/O$28,0)</f>
        <v>6.0385485736496602E-2</v>
      </c>
      <c r="Q36" s="178">
        <f>+O36*1.02</f>
        <v>112039.70062499995</v>
      </c>
      <c r="R36" s="80">
        <f t="shared" ref="R36:R46" si="20">IFERROR(Q36/Q$28,0)</f>
        <v>6.0385485736496596E-2</v>
      </c>
      <c r="S36" s="178">
        <f>+Q36*1.02</f>
        <v>114280.49463749996</v>
      </c>
      <c r="T36" s="80">
        <f t="shared" ref="T36:T46" si="21">IFERROR(S36/S$28,0)</f>
        <v>6.0385485736496596E-2</v>
      </c>
      <c r="U36" s="178">
        <f>+S36*1.025</f>
        <v>117137.50700343745</v>
      </c>
      <c r="V36" s="80">
        <f t="shared" ref="V36:V46" si="22">IFERROR(U36/U$28,0)</f>
        <v>6.068149301951864E-2</v>
      </c>
    </row>
    <row r="37" spans="1:22" ht="12.75" customHeight="1">
      <c r="A37" s="2" t="s">
        <v>385</v>
      </c>
      <c r="B37" s="35"/>
      <c r="C37" s="113"/>
      <c r="D37" s="80">
        <f t="shared" si="13"/>
        <v>0</v>
      </c>
      <c r="E37" s="178"/>
      <c r="F37" s="80">
        <f t="shared" si="14"/>
        <v>0</v>
      </c>
      <c r="G37" s="178">
        <v>248000</v>
      </c>
      <c r="H37" s="80">
        <f t="shared" si="15"/>
        <v>0.14757512645046117</v>
      </c>
      <c r="I37" s="178">
        <f>+G37*1.03</f>
        <v>255440</v>
      </c>
      <c r="J37" s="80">
        <f t="shared" si="16"/>
        <v>0.14902194141566177</v>
      </c>
      <c r="K37" s="178">
        <f>+I37*1.025</f>
        <v>261825.99999999997</v>
      </c>
      <c r="L37" s="80">
        <f t="shared" si="17"/>
        <v>0.14975244112848363</v>
      </c>
      <c r="M37" s="178">
        <f>+K37*1.025</f>
        <v>268371.64999999997</v>
      </c>
      <c r="N37" s="80">
        <f t="shared" si="18"/>
        <v>0.15048652172225069</v>
      </c>
      <c r="O37" s="178">
        <f>+M37*1.02</f>
        <v>273739.08299999998</v>
      </c>
      <c r="P37" s="80">
        <f t="shared" si="19"/>
        <v>0.15048652172225069</v>
      </c>
      <c r="Q37" s="178">
        <f>+O37*1.02</f>
        <v>279213.86465999996</v>
      </c>
      <c r="R37" s="80">
        <f t="shared" si="20"/>
        <v>0.15048652172225069</v>
      </c>
      <c r="S37" s="178">
        <f>+Q37*1.02</f>
        <v>284798.14195319999</v>
      </c>
      <c r="T37" s="80">
        <f t="shared" si="21"/>
        <v>0.15048652172225069</v>
      </c>
      <c r="U37" s="178">
        <f>+S37*1.025</f>
        <v>291918.09550202999</v>
      </c>
      <c r="V37" s="80">
        <f t="shared" si="22"/>
        <v>0.15122420075030094</v>
      </c>
    </row>
    <row r="38" spans="1:22" ht="12.75" customHeight="1">
      <c r="A38" s="2" t="s">
        <v>386</v>
      </c>
      <c r="B38" s="35"/>
      <c r="C38" s="113"/>
      <c r="D38" s="80">
        <f t="shared" si="13"/>
        <v>0</v>
      </c>
      <c r="E38" s="178"/>
      <c r="F38" s="80">
        <f t="shared" si="14"/>
        <v>0</v>
      </c>
      <c r="G38" s="178">
        <v>110000</v>
      </c>
      <c r="H38" s="80">
        <f t="shared" si="15"/>
        <v>6.5456709312704559E-2</v>
      </c>
      <c r="I38" s="178">
        <f>+G38*1.032</f>
        <v>113520</v>
      </c>
      <c r="J38" s="80">
        <f t="shared" si="16"/>
        <v>6.6226788245795198E-2</v>
      </c>
      <c r="K38" s="178">
        <f>+I38*1.025</f>
        <v>116357.99999999999</v>
      </c>
      <c r="L38" s="80">
        <f t="shared" si="17"/>
        <v>6.6551429364647127E-2</v>
      </c>
      <c r="M38" s="178">
        <f>+K38*1.025</f>
        <v>119266.94999999997</v>
      </c>
      <c r="N38" s="80">
        <f t="shared" si="18"/>
        <v>6.6877661861532642E-2</v>
      </c>
      <c r="O38" s="178">
        <f>+M38*1.02</f>
        <v>121652.28899999998</v>
      </c>
      <c r="P38" s="80">
        <f t="shared" si="19"/>
        <v>6.6877661861532642E-2</v>
      </c>
      <c r="Q38" s="178">
        <f>+O38*1.02</f>
        <v>124085.33477999998</v>
      </c>
      <c r="R38" s="80">
        <f t="shared" si="20"/>
        <v>6.6877661861532642E-2</v>
      </c>
      <c r="S38" s="178">
        <f>+Q38*1.02</f>
        <v>126567.04147559998</v>
      </c>
      <c r="T38" s="80">
        <f t="shared" si="21"/>
        <v>6.6877661861532642E-2</v>
      </c>
      <c r="U38" s="178">
        <f>+S38*1.025</f>
        <v>129731.21751248997</v>
      </c>
      <c r="V38" s="80">
        <f t="shared" si="22"/>
        <v>6.7205493537324454E-2</v>
      </c>
    </row>
    <row r="39" spans="1:22" ht="12.75" customHeight="1">
      <c r="A39" s="2" t="s">
        <v>387</v>
      </c>
      <c r="B39" s="35"/>
      <c r="C39" s="113"/>
      <c r="D39" s="80">
        <f t="shared" si="13"/>
        <v>0</v>
      </c>
      <c r="E39" s="178"/>
      <c r="F39" s="80">
        <f t="shared" si="14"/>
        <v>0</v>
      </c>
      <c r="G39" s="178">
        <v>47000</v>
      </c>
      <c r="H39" s="80">
        <f t="shared" si="15"/>
        <v>2.7967866706337399E-2</v>
      </c>
      <c r="I39" s="178">
        <f>+G39*1.032</f>
        <v>48504</v>
      </c>
      <c r="J39" s="80">
        <f t="shared" si="16"/>
        <v>2.8296900432294311E-2</v>
      </c>
      <c r="K39" s="178">
        <f>+I39*1.025</f>
        <v>49716.6</v>
      </c>
      <c r="L39" s="80">
        <f t="shared" si="17"/>
        <v>2.8435610728531048E-2</v>
      </c>
      <c r="M39" s="178">
        <f>+K39*1.025</f>
        <v>50959.514999999992</v>
      </c>
      <c r="N39" s="80">
        <f t="shared" si="18"/>
        <v>2.8575000977200313E-2</v>
      </c>
      <c r="O39" s="178">
        <f>+M39*1.02</f>
        <v>51978.705299999994</v>
      </c>
      <c r="P39" s="80">
        <f t="shared" si="19"/>
        <v>2.857500097720031E-2</v>
      </c>
      <c r="Q39" s="178">
        <f>+O39*1.02</f>
        <v>53018.279405999994</v>
      </c>
      <c r="R39" s="80">
        <f t="shared" si="20"/>
        <v>2.857500097720031E-2</v>
      </c>
      <c r="S39" s="178">
        <f>+Q39*1.02</f>
        <v>54078.644994119997</v>
      </c>
      <c r="T39" s="80">
        <f t="shared" si="21"/>
        <v>2.857500097720031E-2</v>
      </c>
      <c r="U39" s="178">
        <f>+S39*1.025</f>
        <v>55430.611118972993</v>
      </c>
      <c r="V39" s="80">
        <f t="shared" si="22"/>
        <v>2.8715074511402271E-2</v>
      </c>
    </row>
    <row r="40" spans="1:22" ht="12.75" customHeight="1">
      <c r="A40" s="2" t="s">
        <v>388</v>
      </c>
      <c r="B40" s="35"/>
      <c r="C40" s="113"/>
      <c r="D40" s="80">
        <f t="shared" si="13"/>
        <v>0</v>
      </c>
      <c r="E40" s="113"/>
      <c r="F40" s="80">
        <f t="shared" si="14"/>
        <v>0</v>
      </c>
      <c r="G40" s="178">
        <f>G36*0.124</f>
        <v>12400</v>
      </c>
      <c r="H40" s="80">
        <f t="shared" si="15"/>
        <v>7.3787563225230588E-3</v>
      </c>
      <c r="I40" s="178">
        <f>I36*0.124</f>
        <v>12709.999999999998</v>
      </c>
      <c r="J40" s="80">
        <f t="shared" si="16"/>
        <v>7.4149266966530725E-3</v>
      </c>
      <c r="K40" s="178">
        <f>K36*0.124</f>
        <v>13027.749999999996</v>
      </c>
      <c r="L40" s="80">
        <f t="shared" si="17"/>
        <v>7.4512743765386257E-3</v>
      </c>
      <c r="M40" s="178">
        <f>M36*0.124</f>
        <v>13353.443749999995</v>
      </c>
      <c r="N40" s="80">
        <f t="shared" si="18"/>
        <v>7.4878002313255795E-3</v>
      </c>
      <c r="O40" s="178">
        <f>O36*0.124</f>
        <v>13620.512624999994</v>
      </c>
      <c r="P40" s="80">
        <f t="shared" si="19"/>
        <v>7.4878002313255778E-3</v>
      </c>
      <c r="Q40" s="178">
        <f>Q36*0.124</f>
        <v>13892.922877499994</v>
      </c>
      <c r="R40" s="80">
        <f t="shared" si="20"/>
        <v>7.4878002313255778E-3</v>
      </c>
      <c r="S40" s="178">
        <f>S36*0.124</f>
        <v>14170.781335049995</v>
      </c>
      <c r="T40" s="80">
        <f t="shared" si="21"/>
        <v>7.4878002313255778E-3</v>
      </c>
      <c r="U40" s="178">
        <f>U36*0.124</f>
        <v>14525.050868426244</v>
      </c>
      <c r="V40" s="80">
        <f t="shared" si="22"/>
        <v>7.5245051344203107E-3</v>
      </c>
    </row>
    <row r="41" spans="1:22" ht="12.75" customHeight="1">
      <c r="A41" s="2" t="s">
        <v>389</v>
      </c>
      <c r="B41" s="35"/>
      <c r="C41" s="113"/>
      <c r="D41" s="80">
        <f t="shared" si="13"/>
        <v>0</v>
      </c>
      <c r="E41" s="113"/>
      <c r="F41" s="80">
        <f t="shared" si="14"/>
        <v>0</v>
      </c>
      <c r="G41" s="178">
        <f>G37*0.124</f>
        <v>30752</v>
      </c>
      <c r="H41" s="80">
        <f t="shared" si="15"/>
        <v>1.8299315679857184E-2</v>
      </c>
      <c r="I41" s="178">
        <f>I37*0.124</f>
        <v>31674.560000000001</v>
      </c>
      <c r="J41" s="80">
        <f t="shared" si="16"/>
        <v>1.8478720735542062E-2</v>
      </c>
      <c r="K41" s="178">
        <f>K37*0.124</f>
        <v>32466.423999999995</v>
      </c>
      <c r="L41" s="80">
        <f t="shared" si="17"/>
        <v>1.8569302699931969E-2</v>
      </c>
      <c r="M41" s="178">
        <f>M37*0.124</f>
        <v>33278.084599999995</v>
      </c>
      <c r="N41" s="80">
        <f t="shared" si="18"/>
        <v>1.8660328693559085E-2</v>
      </c>
      <c r="O41" s="178">
        <f>O37*0.124</f>
        <v>33943.646291999998</v>
      </c>
      <c r="P41" s="80">
        <f t="shared" si="19"/>
        <v>1.8660328693559085E-2</v>
      </c>
      <c r="Q41" s="178">
        <f>Q37*0.124</f>
        <v>34622.519217839996</v>
      </c>
      <c r="R41" s="80">
        <f t="shared" si="20"/>
        <v>1.8660328693559085E-2</v>
      </c>
      <c r="S41" s="178">
        <f>S37*0.124</f>
        <v>35314.969602196797</v>
      </c>
      <c r="T41" s="80">
        <f t="shared" si="21"/>
        <v>1.8660328693559085E-2</v>
      </c>
      <c r="U41" s="178">
        <f>U37*0.124</f>
        <v>36197.843842251721</v>
      </c>
      <c r="V41" s="80">
        <f t="shared" si="22"/>
        <v>1.8751800893037317E-2</v>
      </c>
    </row>
    <row r="42" spans="1:22" ht="12.75" customHeight="1">
      <c r="A42" s="2" t="s">
        <v>390</v>
      </c>
      <c r="B42" s="35"/>
      <c r="C42" s="113"/>
      <c r="D42" s="80">
        <f t="shared" si="13"/>
        <v>0</v>
      </c>
      <c r="E42" s="178"/>
      <c r="F42" s="80">
        <f t="shared" si="14"/>
        <v>0</v>
      </c>
      <c r="G42" s="178"/>
      <c r="H42" s="80">
        <f t="shared" si="15"/>
        <v>0</v>
      </c>
      <c r="I42" s="178"/>
      <c r="J42" s="80">
        <f t="shared" si="16"/>
        <v>0</v>
      </c>
      <c r="K42" s="178"/>
      <c r="L42" s="80">
        <f t="shared" si="17"/>
        <v>0</v>
      </c>
      <c r="M42" s="178"/>
      <c r="N42" s="80">
        <f t="shared" si="18"/>
        <v>0</v>
      </c>
      <c r="O42" s="178"/>
      <c r="P42" s="80">
        <f t="shared" si="19"/>
        <v>0</v>
      </c>
      <c r="Q42" s="178"/>
      <c r="R42" s="80">
        <f t="shared" si="20"/>
        <v>0</v>
      </c>
      <c r="S42" s="178"/>
      <c r="T42" s="80">
        <f t="shared" si="21"/>
        <v>0</v>
      </c>
      <c r="U42" s="178"/>
      <c r="V42" s="80">
        <f t="shared" si="22"/>
        <v>0</v>
      </c>
    </row>
    <row r="43" spans="1:22" ht="12.75" customHeight="1">
      <c r="A43" s="2" t="s">
        <v>391</v>
      </c>
      <c r="B43" s="35"/>
      <c r="C43" s="113"/>
      <c r="D43" s="80">
        <f t="shared" si="13"/>
        <v>0</v>
      </c>
      <c r="E43" s="178"/>
      <c r="F43" s="80">
        <f t="shared" si="14"/>
        <v>0</v>
      </c>
      <c r="G43" s="178"/>
      <c r="H43" s="80">
        <f t="shared" si="15"/>
        <v>0</v>
      </c>
      <c r="I43" s="178"/>
      <c r="J43" s="80">
        <f t="shared" si="16"/>
        <v>0</v>
      </c>
      <c r="K43" s="178"/>
      <c r="L43" s="80">
        <f t="shared" si="17"/>
        <v>0</v>
      </c>
      <c r="M43" s="178"/>
      <c r="N43" s="80">
        <f t="shared" si="18"/>
        <v>0</v>
      </c>
      <c r="O43" s="178"/>
      <c r="P43" s="80">
        <f t="shared" si="19"/>
        <v>0</v>
      </c>
      <c r="Q43" s="178"/>
      <c r="R43" s="80">
        <f t="shared" si="20"/>
        <v>0</v>
      </c>
      <c r="S43" s="178"/>
      <c r="T43" s="80">
        <f t="shared" si="21"/>
        <v>0</v>
      </c>
      <c r="U43" s="178"/>
      <c r="V43" s="80">
        <f t="shared" si="22"/>
        <v>0</v>
      </c>
    </row>
    <row r="44" spans="1:22" ht="12.75" customHeight="1">
      <c r="A44" s="2" t="s">
        <v>392</v>
      </c>
      <c r="B44" s="35"/>
      <c r="C44" s="113"/>
      <c r="D44" s="80">
        <f t="shared" si="13"/>
        <v>0</v>
      </c>
      <c r="E44" s="178"/>
      <c r="F44" s="80">
        <f t="shared" si="14"/>
        <v>0</v>
      </c>
      <c r="G44" s="178"/>
      <c r="H44" s="80">
        <f t="shared" si="15"/>
        <v>0</v>
      </c>
      <c r="I44" s="178"/>
      <c r="J44" s="80">
        <f t="shared" si="16"/>
        <v>0</v>
      </c>
      <c r="K44" s="178"/>
      <c r="L44" s="80">
        <f t="shared" si="17"/>
        <v>0</v>
      </c>
      <c r="M44" s="178"/>
      <c r="N44" s="80">
        <f t="shared" si="18"/>
        <v>0</v>
      </c>
      <c r="O44" s="178"/>
      <c r="P44" s="80">
        <f t="shared" si="19"/>
        <v>0</v>
      </c>
      <c r="Q44" s="178"/>
      <c r="R44" s="80">
        <f t="shared" si="20"/>
        <v>0</v>
      </c>
      <c r="S44" s="178"/>
      <c r="T44" s="80">
        <f t="shared" si="21"/>
        <v>0</v>
      </c>
      <c r="U44" s="178"/>
      <c r="V44" s="80">
        <f t="shared" si="22"/>
        <v>0</v>
      </c>
    </row>
    <row r="45" spans="1:22" ht="12.75" customHeight="1">
      <c r="A45" s="2" t="s">
        <v>393</v>
      </c>
      <c r="B45" s="35"/>
      <c r="C45" s="114"/>
      <c r="D45" s="80">
        <f t="shared" si="13"/>
        <v>0</v>
      </c>
      <c r="E45" s="114"/>
      <c r="F45" s="80">
        <f t="shared" si="14"/>
        <v>0</v>
      </c>
      <c r="G45" s="181">
        <f>SUM(G36:G39)*0.094</f>
        <v>47470</v>
      </c>
      <c r="H45" s="80">
        <f t="shared" si="15"/>
        <v>2.8247545373400774E-2</v>
      </c>
      <c r="I45" s="181">
        <f>SUM(I36:I39)*0.094</f>
        <v>48876.616000000002</v>
      </c>
      <c r="J45" s="80">
        <f t="shared" si="16"/>
        <v>2.8514282047243177E-2</v>
      </c>
      <c r="K45" s="181">
        <f>SUM(K36:K39)*0.094</f>
        <v>50098.5314</v>
      </c>
      <c r="L45" s="80">
        <f t="shared" si="17"/>
        <v>2.8654057939631623E-2</v>
      </c>
      <c r="M45" s="181">
        <f>SUM(M36:M39)*0.094</f>
        <v>51350.994684999991</v>
      </c>
      <c r="N45" s="80">
        <f t="shared" si="18"/>
        <v>2.8794519007963145E-2</v>
      </c>
      <c r="O45" s="181">
        <f>SUM(O36:O39)*0.094</f>
        <v>52378.014578699993</v>
      </c>
      <c r="P45" s="80">
        <f t="shared" si="19"/>
        <v>2.8794519007963145E-2</v>
      </c>
      <c r="Q45" s="181">
        <f>SUM(Q36:Q39)*0.094</f>
        <v>53425.574870273987</v>
      </c>
      <c r="R45" s="80">
        <f t="shared" si="20"/>
        <v>2.8794519007963142E-2</v>
      </c>
      <c r="S45" s="181">
        <f>SUM(S36:S39)*0.094</f>
        <v>54494.086367679476</v>
      </c>
      <c r="T45" s="80">
        <f t="shared" si="21"/>
        <v>2.8794519007963145E-2</v>
      </c>
      <c r="U45" s="181">
        <f>SUM(U36:U39)*0.094</f>
        <v>55856.438526871454</v>
      </c>
      <c r="V45" s="80">
        <f t="shared" si="22"/>
        <v>2.8935668610943353E-2</v>
      </c>
    </row>
    <row r="46" spans="1:22" ht="12.75" customHeight="1">
      <c r="A46" s="1" t="s">
        <v>394</v>
      </c>
      <c r="B46" s="53"/>
      <c r="C46" s="82">
        <f>SUM(C36:C45)</f>
        <v>0</v>
      </c>
      <c r="D46" s="83">
        <f t="shared" si="13"/>
        <v>0</v>
      </c>
      <c r="E46" s="82">
        <f>SUM(E36:E45)</f>
        <v>0</v>
      </c>
      <c r="F46" s="83">
        <f t="shared" si="14"/>
        <v>0</v>
      </c>
      <c r="G46" s="82">
        <f>SUM(G36:G45)</f>
        <v>595622</v>
      </c>
      <c r="H46" s="83">
        <f t="shared" si="15"/>
        <v>0.35443141922047011</v>
      </c>
      <c r="I46" s="82">
        <f>SUM(I36:I45)</f>
        <v>613225.17600000009</v>
      </c>
      <c r="J46" s="83">
        <f t="shared" si="16"/>
        <v>0.35775135551394022</v>
      </c>
      <c r="K46" s="82">
        <f>SUM(K36:K45)</f>
        <v>628555.80539999995</v>
      </c>
      <c r="L46" s="83">
        <f t="shared" si="17"/>
        <v>0.35950503862920458</v>
      </c>
      <c r="M46" s="82">
        <f>SUM(M36:M45)</f>
        <v>644269.70053499984</v>
      </c>
      <c r="N46" s="83">
        <f t="shared" si="18"/>
        <v>0.36126731823032804</v>
      </c>
      <c r="O46" s="82">
        <f>SUM(O36:O45)</f>
        <v>657155.09454569977</v>
      </c>
      <c r="P46" s="83">
        <f t="shared" si="19"/>
        <v>0.36126731823032798</v>
      </c>
      <c r="Q46" s="82">
        <f>SUM(Q36:Q45)</f>
        <v>670298.1964366138</v>
      </c>
      <c r="R46" s="83">
        <f t="shared" si="20"/>
        <v>0.36126731823032798</v>
      </c>
      <c r="S46" s="82">
        <f>SUM(S36:S45)</f>
        <v>683704.16036534635</v>
      </c>
      <c r="T46" s="83">
        <f t="shared" si="21"/>
        <v>0.36126731823032815</v>
      </c>
      <c r="U46" s="82">
        <f>SUM(U36:U45)</f>
        <v>700796.76437447977</v>
      </c>
      <c r="V46" s="83">
        <f t="shared" si="22"/>
        <v>0.36303823645694727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366</v>
      </c>
      <c r="E50" s="86" t="str">
        <f>E6</f>
        <v>FY 2019-20</v>
      </c>
      <c r="F50" s="86" t="s">
        <v>366</v>
      </c>
      <c r="G50" s="86" t="str">
        <f>G6</f>
        <v>FY 2020-21</v>
      </c>
      <c r="H50" s="86" t="s">
        <v>366</v>
      </c>
      <c r="I50" s="86" t="str">
        <f>I6</f>
        <v>FY 2021-22</v>
      </c>
      <c r="J50" s="86" t="s">
        <v>366</v>
      </c>
      <c r="K50" s="86" t="str">
        <f>K6</f>
        <v>FY 2022-23</v>
      </c>
      <c r="L50" s="86" t="s">
        <v>366</v>
      </c>
      <c r="M50" s="86" t="str">
        <f>M6</f>
        <v>FY 2023-24</v>
      </c>
      <c r="N50" s="86" t="s">
        <v>366</v>
      </c>
      <c r="O50" s="86" t="str">
        <f>O6</f>
        <v>FY 2024-25</v>
      </c>
      <c r="P50" s="86" t="s">
        <v>366</v>
      </c>
      <c r="Q50" s="86" t="str">
        <f>Q6</f>
        <v>FY 2025-26</v>
      </c>
      <c r="R50" s="86" t="s">
        <v>366</v>
      </c>
      <c r="S50" s="86" t="str">
        <f>S6</f>
        <v>FY 2026-27</v>
      </c>
      <c r="T50" s="86" t="s">
        <v>366</v>
      </c>
      <c r="U50" s="86" t="str">
        <f>U6</f>
        <v>FY 2027-28</v>
      </c>
      <c r="V50" s="86" t="s">
        <v>366</v>
      </c>
    </row>
    <row r="51" spans="1:24" ht="12.75" customHeight="1">
      <c r="A51" s="1" t="s">
        <v>395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396</v>
      </c>
      <c r="B52" s="35"/>
      <c r="C52" s="178">
        <v>0</v>
      </c>
      <c r="D52" s="80">
        <f t="shared" ref="D52:D104" si="23">IFERROR(C52/C$28,0)</f>
        <v>0</v>
      </c>
      <c r="E52" s="178">
        <v>0</v>
      </c>
      <c r="F52" s="80">
        <f t="shared" ref="F52:F104" si="24">IFERROR(E52/E$28,0)</f>
        <v>0</v>
      </c>
      <c r="G52" s="178">
        <v>0</v>
      </c>
      <c r="H52" s="80">
        <f t="shared" ref="H52:H104" si="25">IFERROR(G52/G$28,0)</f>
        <v>0</v>
      </c>
      <c r="I52" s="178">
        <v>0</v>
      </c>
      <c r="J52" s="80">
        <f t="shared" ref="J52:J104" si="26">IFERROR(I52/I$28,0)</f>
        <v>0</v>
      </c>
      <c r="K52" s="178">
        <v>0</v>
      </c>
      <c r="L52" s="80">
        <f t="shared" ref="L52:L104" si="27">IFERROR(K52/K$28,0)</f>
        <v>0</v>
      </c>
      <c r="M52" s="178">
        <v>0</v>
      </c>
      <c r="N52" s="80">
        <f t="shared" ref="N52:N104" si="28">IFERROR(M52/M$28,0)</f>
        <v>0</v>
      </c>
      <c r="O52" s="178">
        <v>0</v>
      </c>
      <c r="P52" s="80">
        <f t="shared" ref="P52:P104" si="29">IFERROR(O52/O$28,0)</f>
        <v>0</v>
      </c>
      <c r="Q52" s="178">
        <v>0</v>
      </c>
      <c r="R52" s="80">
        <f t="shared" ref="R52:R104" si="30">IFERROR(Q52/Q$28,0)</f>
        <v>0</v>
      </c>
      <c r="S52" s="178">
        <v>0</v>
      </c>
      <c r="T52" s="80">
        <f t="shared" ref="T52:T104" si="31">IFERROR(S52/S$28,0)</f>
        <v>0</v>
      </c>
      <c r="U52" s="178">
        <v>0</v>
      </c>
      <c r="V52" s="80">
        <f t="shared" ref="V52:V105" si="32">IFERROR(U52/U$28,0)</f>
        <v>0</v>
      </c>
      <c r="X52" s="192"/>
    </row>
    <row r="53" spans="1:24" ht="12.75" customHeight="1">
      <c r="A53" s="2" t="s">
        <v>397</v>
      </c>
      <c r="B53" s="35"/>
      <c r="C53" s="178">
        <v>0</v>
      </c>
      <c r="D53" s="80">
        <f t="shared" si="23"/>
        <v>0</v>
      </c>
      <c r="E53" s="178">
        <v>0</v>
      </c>
      <c r="F53" s="80">
        <f t="shared" si="24"/>
        <v>0</v>
      </c>
      <c r="G53" s="178">
        <v>0</v>
      </c>
      <c r="H53" s="80">
        <f t="shared" si="25"/>
        <v>0</v>
      </c>
      <c r="I53" s="178">
        <v>0</v>
      </c>
      <c r="J53" s="80">
        <f t="shared" si="26"/>
        <v>0</v>
      </c>
      <c r="K53" s="178">
        <v>0</v>
      </c>
      <c r="L53" s="80">
        <f t="shared" si="27"/>
        <v>0</v>
      </c>
      <c r="M53" s="178">
        <v>0</v>
      </c>
      <c r="N53" s="80">
        <f t="shared" si="28"/>
        <v>0</v>
      </c>
      <c r="O53" s="178">
        <v>0</v>
      </c>
      <c r="P53" s="80">
        <f t="shared" si="29"/>
        <v>0</v>
      </c>
      <c r="Q53" s="178">
        <v>0</v>
      </c>
      <c r="R53" s="80">
        <f t="shared" si="30"/>
        <v>0</v>
      </c>
      <c r="S53" s="178">
        <v>0</v>
      </c>
      <c r="T53" s="80">
        <f t="shared" si="31"/>
        <v>0</v>
      </c>
      <c r="U53" s="178">
        <v>0</v>
      </c>
      <c r="V53" s="80">
        <f t="shared" si="32"/>
        <v>0</v>
      </c>
      <c r="X53" s="192"/>
    </row>
    <row r="54" spans="1:24" ht="12.75" customHeight="1">
      <c r="A54" s="2" t="s">
        <v>398</v>
      </c>
      <c r="B54" s="35"/>
      <c r="C54" s="178">
        <v>0</v>
      </c>
      <c r="D54" s="80">
        <f t="shared" si="23"/>
        <v>0</v>
      </c>
      <c r="E54" s="178">
        <v>0</v>
      </c>
      <c r="F54" s="80">
        <f t="shared" si="24"/>
        <v>0</v>
      </c>
      <c r="G54" s="178">
        <v>1176.3500000000001</v>
      </c>
      <c r="H54" s="80">
        <f t="shared" si="25"/>
        <v>7.000000000000001E-4</v>
      </c>
      <c r="I54" s="178">
        <v>1199.877</v>
      </c>
      <c r="J54" s="80">
        <f t="shared" si="26"/>
        <v>6.9999999999999999E-4</v>
      </c>
      <c r="K54" s="178">
        <v>1223.8745399999998</v>
      </c>
      <c r="L54" s="80">
        <f t="shared" si="27"/>
        <v>6.9999999999999988E-4</v>
      </c>
      <c r="M54" s="178">
        <v>1248.3520308000002</v>
      </c>
      <c r="N54" s="80">
        <f t="shared" si="28"/>
        <v>7.000000000000001E-4</v>
      </c>
      <c r="O54" s="178">
        <v>1273.319071416</v>
      </c>
      <c r="P54" s="80">
        <f t="shared" si="29"/>
        <v>6.9999999999999999E-4</v>
      </c>
      <c r="Q54" s="178">
        <v>1298.7854528443202</v>
      </c>
      <c r="R54" s="80">
        <f t="shared" si="30"/>
        <v>6.9999999999999999E-4</v>
      </c>
      <c r="S54" s="178">
        <v>1324.7611619012066</v>
      </c>
      <c r="T54" s="80">
        <f t="shared" si="31"/>
        <v>6.9999999999999999E-4</v>
      </c>
      <c r="U54" s="178">
        <v>1351.2563851392306</v>
      </c>
      <c r="V54" s="80">
        <f t="shared" si="32"/>
        <v>6.9999999999999988E-4</v>
      </c>
      <c r="X54" s="192"/>
    </row>
    <row r="55" spans="1:24" ht="12.75" customHeight="1">
      <c r="A55" s="2" t="s">
        <v>399</v>
      </c>
      <c r="B55" s="35"/>
      <c r="C55" s="178">
        <v>0</v>
      </c>
      <c r="D55" s="80">
        <f t="shared" si="23"/>
        <v>0</v>
      </c>
      <c r="E55" s="178">
        <v>0</v>
      </c>
      <c r="F55" s="80">
        <f t="shared" si="24"/>
        <v>0</v>
      </c>
      <c r="G55" s="178"/>
      <c r="H55" s="80">
        <f t="shared" si="25"/>
        <v>0</v>
      </c>
      <c r="I55" s="178"/>
      <c r="J55" s="80">
        <f t="shared" si="26"/>
        <v>0</v>
      </c>
      <c r="K55" s="178"/>
      <c r="L55" s="80">
        <f t="shared" si="27"/>
        <v>0</v>
      </c>
      <c r="M55" s="178"/>
      <c r="N55" s="80">
        <f t="shared" si="28"/>
        <v>0</v>
      </c>
      <c r="O55" s="178"/>
      <c r="P55" s="80">
        <f t="shared" si="29"/>
        <v>0</v>
      </c>
      <c r="Q55" s="178"/>
      <c r="R55" s="80">
        <f t="shared" si="30"/>
        <v>0</v>
      </c>
      <c r="S55" s="178"/>
      <c r="T55" s="80">
        <f t="shared" si="31"/>
        <v>0</v>
      </c>
      <c r="U55" s="178"/>
      <c r="V55" s="80">
        <f t="shared" si="32"/>
        <v>0</v>
      </c>
      <c r="X55" s="192"/>
    </row>
    <row r="56" spans="1:24" ht="12.75" customHeight="1">
      <c r="A56" s="2" t="s">
        <v>400</v>
      </c>
      <c r="B56" s="35"/>
      <c r="C56" s="178">
        <v>0</v>
      </c>
      <c r="D56" s="80">
        <f t="shared" si="23"/>
        <v>0</v>
      </c>
      <c r="E56" s="178">
        <v>0</v>
      </c>
      <c r="F56" s="80">
        <f t="shared" si="24"/>
        <v>0</v>
      </c>
      <c r="G56" s="178">
        <v>857.05500000000006</v>
      </c>
      <c r="H56" s="80">
        <f t="shared" si="25"/>
        <v>5.1000000000000004E-4</v>
      </c>
      <c r="I56" s="178">
        <v>874.1961</v>
      </c>
      <c r="J56" s="80">
        <f t="shared" si="26"/>
        <v>5.1000000000000004E-4</v>
      </c>
      <c r="K56" s="178">
        <v>891.68002200000001</v>
      </c>
      <c r="L56" s="80">
        <f t="shared" si="27"/>
        <v>5.1000000000000004E-4</v>
      </c>
      <c r="M56" s="178">
        <v>909.51362244000006</v>
      </c>
      <c r="N56" s="80">
        <f t="shared" si="28"/>
        <v>5.1000000000000004E-4</v>
      </c>
      <c r="O56" s="178">
        <v>927.70389488880005</v>
      </c>
      <c r="P56" s="80">
        <f t="shared" si="29"/>
        <v>5.1000000000000004E-4</v>
      </c>
      <c r="Q56" s="178">
        <v>946.25797278657626</v>
      </c>
      <c r="R56" s="80">
        <f t="shared" si="30"/>
        <v>5.1000000000000004E-4</v>
      </c>
      <c r="S56" s="178">
        <v>965.18313224230769</v>
      </c>
      <c r="T56" s="80">
        <f t="shared" si="31"/>
        <v>5.1000000000000004E-4</v>
      </c>
      <c r="U56" s="178">
        <v>984.48679488715379</v>
      </c>
      <c r="V56" s="80">
        <f t="shared" si="32"/>
        <v>5.1000000000000004E-4</v>
      </c>
      <c r="X56" s="192"/>
    </row>
    <row r="57" spans="1:24" ht="12.75" customHeight="1">
      <c r="A57" s="2" t="s">
        <v>401</v>
      </c>
      <c r="B57" s="35"/>
      <c r="C57" s="178">
        <v>0</v>
      </c>
      <c r="D57" s="80">
        <f t="shared" si="23"/>
        <v>0</v>
      </c>
      <c r="E57" s="178">
        <v>0</v>
      </c>
      <c r="F57" s="80">
        <f t="shared" si="24"/>
        <v>0</v>
      </c>
      <c r="G57" s="178">
        <v>0</v>
      </c>
      <c r="H57" s="80">
        <f t="shared" si="25"/>
        <v>0</v>
      </c>
      <c r="I57" s="178">
        <v>0</v>
      </c>
      <c r="J57" s="80">
        <f t="shared" si="26"/>
        <v>0</v>
      </c>
      <c r="K57" s="178">
        <v>0</v>
      </c>
      <c r="L57" s="80">
        <f t="shared" si="27"/>
        <v>0</v>
      </c>
      <c r="M57" s="178">
        <v>0</v>
      </c>
      <c r="N57" s="80">
        <f t="shared" si="28"/>
        <v>0</v>
      </c>
      <c r="O57" s="178">
        <v>0</v>
      </c>
      <c r="P57" s="80">
        <f t="shared" si="29"/>
        <v>0</v>
      </c>
      <c r="Q57" s="178">
        <v>0</v>
      </c>
      <c r="R57" s="80">
        <f t="shared" si="30"/>
        <v>0</v>
      </c>
      <c r="S57" s="178">
        <v>0</v>
      </c>
      <c r="T57" s="80">
        <f t="shared" si="31"/>
        <v>0</v>
      </c>
      <c r="U57" s="178">
        <v>0</v>
      </c>
      <c r="V57" s="80">
        <f t="shared" si="32"/>
        <v>0</v>
      </c>
      <c r="X57" s="192"/>
    </row>
    <row r="58" spans="1:24" ht="12.75" customHeight="1">
      <c r="A58" s="2" t="s">
        <v>402</v>
      </c>
      <c r="B58" s="35"/>
      <c r="C58" s="178">
        <v>0</v>
      </c>
      <c r="D58" s="80">
        <f t="shared" si="23"/>
        <v>0</v>
      </c>
      <c r="E58" s="178">
        <v>0</v>
      </c>
      <c r="F58" s="80">
        <f t="shared" si="24"/>
        <v>0</v>
      </c>
      <c r="G58" s="178">
        <v>0</v>
      </c>
      <c r="H58" s="80">
        <f t="shared" si="25"/>
        <v>0</v>
      </c>
      <c r="I58" s="178">
        <v>0</v>
      </c>
      <c r="J58" s="80">
        <f t="shared" si="26"/>
        <v>0</v>
      </c>
      <c r="K58" s="178">
        <v>0</v>
      </c>
      <c r="L58" s="80">
        <f t="shared" si="27"/>
        <v>0</v>
      </c>
      <c r="M58" s="178">
        <v>0</v>
      </c>
      <c r="N58" s="80">
        <f t="shared" si="28"/>
        <v>0</v>
      </c>
      <c r="O58" s="178">
        <v>0</v>
      </c>
      <c r="P58" s="80">
        <f t="shared" si="29"/>
        <v>0</v>
      </c>
      <c r="Q58" s="178">
        <v>0</v>
      </c>
      <c r="R58" s="80">
        <f t="shared" si="30"/>
        <v>0</v>
      </c>
      <c r="S58" s="178">
        <v>0</v>
      </c>
      <c r="T58" s="80">
        <f t="shared" si="31"/>
        <v>0</v>
      </c>
      <c r="U58" s="178">
        <v>0</v>
      </c>
      <c r="V58" s="80">
        <f t="shared" si="32"/>
        <v>0</v>
      </c>
      <c r="X58" s="192"/>
    </row>
    <row r="59" spans="1:24" ht="12.75" customHeight="1">
      <c r="A59" s="2" t="s">
        <v>403</v>
      </c>
      <c r="B59" s="35"/>
      <c r="C59" s="178"/>
      <c r="D59" s="80">
        <f t="shared" si="23"/>
        <v>0</v>
      </c>
      <c r="E59" s="178"/>
      <c r="F59" s="80">
        <f t="shared" si="24"/>
        <v>0</v>
      </c>
      <c r="G59" s="178"/>
      <c r="H59" s="80">
        <f t="shared" si="25"/>
        <v>0</v>
      </c>
      <c r="I59" s="178"/>
      <c r="J59" s="80">
        <f t="shared" si="26"/>
        <v>0</v>
      </c>
      <c r="K59" s="178"/>
      <c r="L59" s="80">
        <f t="shared" si="27"/>
        <v>0</v>
      </c>
      <c r="M59" s="178"/>
      <c r="N59" s="80">
        <f t="shared" si="28"/>
        <v>0</v>
      </c>
      <c r="O59" s="178"/>
      <c r="P59" s="80">
        <f t="shared" si="29"/>
        <v>0</v>
      </c>
      <c r="Q59" s="178"/>
      <c r="R59" s="80">
        <f t="shared" si="30"/>
        <v>0</v>
      </c>
      <c r="S59" s="178"/>
      <c r="T59" s="80">
        <f t="shared" si="31"/>
        <v>0</v>
      </c>
      <c r="U59" s="178"/>
      <c r="V59" s="80">
        <f t="shared" si="32"/>
        <v>0</v>
      </c>
      <c r="X59" s="192"/>
    </row>
    <row r="60" spans="1:24" ht="12.75" customHeight="1">
      <c r="A60" s="2" t="s">
        <v>404</v>
      </c>
      <c r="B60" s="35"/>
      <c r="C60" s="178">
        <v>0</v>
      </c>
      <c r="D60" s="80">
        <f t="shared" si="23"/>
        <v>0</v>
      </c>
      <c r="E60" s="178">
        <v>0</v>
      </c>
      <c r="F60" s="80">
        <f t="shared" si="24"/>
        <v>0</v>
      </c>
      <c r="G60" s="178">
        <v>0</v>
      </c>
      <c r="H60" s="80">
        <f t="shared" si="25"/>
        <v>0</v>
      </c>
      <c r="I60" s="178">
        <v>0</v>
      </c>
      <c r="J60" s="80">
        <f t="shared" si="26"/>
        <v>0</v>
      </c>
      <c r="K60" s="178">
        <v>0</v>
      </c>
      <c r="L60" s="80">
        <f t="shared" si="27"/>
        <v>0</v>
      </c>
      <c r="M60" s="178">
        <v>0</v>
      </c>
      <c r="N60" s="80">
        <f t="shared" si="28"/>
        <v>0</v>
      </c>
      <c r="O60" s="178">
        <v>0</v>
      </c>
      <c r="P60" s="80">
        <f t="shared" si="29"/>
        <v>0</v>
      </c>
      <c r="Q60" s="178">
        <v>0</v>
      </c>
      <c r="R60" s="80">
        <f t="shared" si="30"/>
        <v>0</v>
      </c>
      <c r="S60" s="178">
        <v>0</v>
      </c>
      <c r="T60" s="80">
        <f t="shared" si="31"/>
        <v>0</v>
      </c>
      <c r="U60" s="178">
        <v>0</v>
      </c>
      <c r="V60" s="80">
        <f t="shared" si="32"/>
        <v>0</v>
      </c>
      <c r="X60" s="192"/>
    </row>
    <row r="61" spans="1:24" ht="12.75" customHeight="1">
      <c r="A61" s="2" t="s">
        <v>405</v>
      </c>
      <c r="B61" s="35"/>
      <c r="C61" s="178">
        <v>0</v>
      </c>
      <c r="D61" s="80">
        <f t="shared" si="23"/>
        <v>0</v>
      </c>
      <c r="E61" s="178">
        <v>0</v>
      </c>
      <c r="F61" s="80">
        <f t="shared" si="24"/>
        <v>0</v>
      </c>
      <c r="G61" s="178">
        <v>0</v>
      </c>
      <c r="H61" s="80">
        <f t="shared" si="25"/>
        <v>0</v>
      </c>
      <c r="I61" s="178">
        <v>0</v>
      </c>
      <c r="J61" s="80">
        <f t="shared" si="26"/>
        <v>0</v>
      </c>
      <c r="K61" s="178">
        <v>0</v>
      </c>
      <c r="L61" s="80">
        <f t="shared" si="27"/>
        <v>0</v>
      </c>
      <c r="M61" s="178">
        <v>0</v>
      </c>
      <c r="N61" s="80">
        <f t="shared" si="28"/>
        <v>0</v>
      </c>
      <c r="O61" s="178">
        <v>0</v>
      </c>
      <c r="P61" s="80">
        <f t="shared" si="29"/>
        <v>0</v>
      </c>
      <c r="Q61" s="178">
        <v>0</v>
      </c>
      <c r="R61" s="80">
        <f t="shared" si="30"/>
        <v>0</v>
      </c>
      <c r="S61" s="178">
        <v>0</v>
      </c>
      <c r="T61" s="80">
        <f t="shared" si="31"/>
        <v>0</v>
      </c>
      <c r="U61" s="178">
        <v>0</v>
      </c>
      <c r="V61" s="80">
        <f t="shared" si="32"/>
        <v>0</v>
      </c>
      <c r="X61" s="192"/>
    </row>
    <row r="62" spans="1:24" ht="12.75" customHeight="1">
      <c r="A62" s="2" t="s">
        <v>406</v>
      </c>
      <c r="B62" s="35"/>
      <c r="C62" s="178">
        <v>0</v>
      </c>
      <c r="D62" s="80">
        <f t="shared" si="23"/>
        <v>0</v>
      </c>
      <c r="E62" s="178">
        <v>0</v>
      </c>
      <c r="F62" s="80">
        <f t="shared" si="24"/>
        <v>0</v>
      </c>
      <c r="G62" s="178">
        <v>0</v>
      </c>
      <c r="H62" s="80">
        <f t="shared" si="25"/>
        <v>0</v>
      </c>
      <c r="I62" s="178">
        <v>0</v>
      </c>
      <c r="J62" s="80">
        <f t="shared" si="26"/>
        <v>0</v>
      </c>
      <c r="K62" s="178">
        <v>0</v>
      </c>
      <c r="L62" s="80">
        <f t="shared" si="27"/>
        <v>0</v>
      </c>
      <c r="M62" s="178">
        <v>0</v>
      </c>
      <c r="N62" s="80">
        <f t="shared" si="28"/>
        <v>0</v>
      </c>
      <c r="O62" s="178">
        <v>0</v>
      </c>
      <c r="P62" s="80">
        <f t="shared" si="29"/>
        <v>0</v>
      </c>
      <c r="Q62" s="178">
        <v>0</v>
      </c>
      <c r="R62" s="80">
        <f t="shared" si="30"/>
        <v>0</v>
      </c>
      <c r="S62" s="178">
        <v>0</v>
      </c>
      <c r="T62" s="80">
        <f t="shared" si="31"/>
        <v>0</v>
      </c>
      <c r="U62" s="178">
        <v>0</v>
      </c>
      <c r="V62" s="80">
        <f t="shared" si="32"/>
        <v>0</v>
      </c>
      <c r="X62" s="192"/>
    </row>
    <row r="63" spans="1:24" ht="12.75" customHeight="1">
      <c r="A63" s="2" t="s">
        <v>407</v>
      </c>
      <c r="B63" s="35"/>
      <c r="C63" s="178">
        <v>0</v>
      </c>
      <c r="D63" s="80">
        <f t="shared" si="23"/>
        <v>0</v>
      </c>
      <c r="E63" s="178">
        <v>0</v>
      </c>
      <c r="F63" s="80">
        <f t="shared" si="24"/>
        <v>0</v>
      </c>
      <c r="G63" s="178">
        <v>20526.66262648227</v>
      </c>
      <c r="H63" s="80">
        <f t="shared" si="25"/>
        <v>1.2214616260923695E-2</v>
      </c>
      <c r="I63" s="178">
        <v>20990.957874862488</v>
      </c>
      <c r="J63" s="80">
        <f t="shared" si="26"/>
        <v>1.224598064001872E-2</v>
      </c>
      <c r="K63" s="178">
        <v>21344.789801970775</v>
      </c>
      <c r="L63" s="80">
        <f t="shared" si="27"/>
        <v>1.2208238976341107E-2</v>
      </c>
      <c r="M63" s="178">
        <v>21808.3904931078</v>
      </c>
      <c r="N63" s="80">
        <f t="shared" si="28"/>
        <v>1.2228820852233807E-2</v>
      </c>
      <c r="O63" s="178">
        <v>22290.417859938621</v>
      </c>
      <c r="P63" s="80">
        <f t="shared" si="29"/>
        <v>1.2254031885822086E-2</v>
      </c>
      <c r="Q63" s="178">
        <v>22802.998513777962</v>
      </c>
      <c r="R63" s="80">
        <f t="shared" si="30"/>
        <v>1.2290019821740245E-2</v>
      </c>
      <c r="S63" s="178">
        <v>23325.502839227076</v>
      </c>
      <c r="T63" s="80">
        <f t="shared" si="31"/>
        <v>1.2325128828525088E-2</v>
      </c>
      <c r="U63" s="178">
        <v>23864.434318018109</v>
      </c>
      <c r="V63" s="80">
        <f t="shared" si="32"/>
        <v>1.236264576162681E-2</v>
      </c>
      <c r="X63" s="192"/>
    </row>
    <row r="64" spans="1:24" ht="12.75" customHeight="1">
      <c r="A64" s="2" t="s">
        <v>408</v>
      </c>
      <c r="B64" s="35"/>
      <c r="C64" s="178">
        <v>0</v>
      </c>
      <c r="D64" s="80">
        <f t="shared" si="23"/>
        <v>0</v>
      </c>
      <c r="E64" s="178">
        <v>0</v>
      </c>
      <c r="F64" s="80">
        <f t="shared" si="24"/>
        <v>0</v>
      </c>
      <c r="G64" s="178">
        <v>8066.4</v>
      </c>
      <c r="H64" s="80">
        <f t="shared" si="25"/>
        <v>4.7999999999999996E-3</v>
      </c>
      <c r="I64" s="178">
        <v>8227.7279999999992</v>
      </c>
      <c r="J64" s="80">
        <f t="shared" si="26"/>
        <v>4.7999999999999996E-3</v>
      </c>
      <c r="K64" s="178">
        <v>8392.2825599999996</v>
      </c>
      <c r="L64" s="80">
        <f t="shared" si="27"/>
        <v>4.7999999999999996E-3</v>
      </c>
      <c r="M64" s="178">
        <v>8560.128211199999</v>
      </c>
      <c r="N64" s="80">
        <f t="shared" si="28"/>
        <v>4.7999999999999996E-3</v>
      </c>
      <c r="O64" s="178">
        <v>8731.3307754239995</v>
      </c>
      <c r="P64" s="80">
        <f t="shared" si="29"/>
        <v>4.7999999999999996E-3</v>
      </c>
      <c r="Q64" s="178">
        <v>8905.957390932479</v>
      </c>
      <c r="R64" s="80">
        <f t="shared" si="30"/>
        <v>4.7999999999999987E-3</v>
      </c>
      <c r="S64" s="178">
        <v>9084.0765387511292</v>
      </c>
      <c r="T64" s="80">
        <f t="shared" si="31"/>
        <v>4.7999999999999987E-3</v>
      </c>
      <c r="U64" s="178">
        <v>9265.7580695261513</v>
      </c>
      <c r="V64" s="80">
        <f t="shared" si="32"/>
        <v>4.7999999999999987E-3</v>
      </c>
      <c r="X64" s="192"/>
    </row>
    <row r="65" spans="1:24" ht="12.75" customHeight="1">
      <c r="A65" s="2" t="s">
        <v>409</v>
      </c>
      <c r="B65" s="35"/>
      <c r="C65" s="178">
        <v>0</v>
      </c>
      <c r="D65" s="80">
        <f t="shared" si="23"/>
        <v>0</v>
      </c>
      <c r="E65" s="178">
        <v>0</v>
      </c>
      <c r="F65" s="80">
        <f t="shared" si="24"/>
        <v>0</v>
      </c>
      <c r="G65" s="178">
        <v>840.25000000000011</v>
      </c>
      <c r="H65" s="80">
        <f t="shared" si="25"/>
        <v>5.0000000000000012E-4</v>
      </c>
      <c r="I65" s="178">
        <v>857.05500000000006</v>
      </c>
      <c r="J65" s="80">
        <f t="shared" si="26"/>
        <v>5.0000000000000001E-4</v>
      </c>
      <c r="K65" s="178">
        <v>874.19609999999989</v>
      </c>
      <c r="L65" s="80">
        <f t="shared" si="27"/>
        <v>4.999999999999999E-4</v>
      </c>
      <c r="M65" s="178">
        <v>891.68002200000001</v>
      </c>
      <c r="N65" s="80">
        <f t="shared" si="28"/>
        <v>5.0000000000000001E-4</v>
      </c>
      <c r="O65" s="178">
        <v>909.51362244000006</v>
      </c>
      <c r="P65" s="80">
        <f t="shared" si="29"/>
        <v>5.0000000000000001E-4</v>
      </c>
      <c r="Q65" s="178">
        <v>927.70389488880016</v>
      </c>
      <c r="R65" s="80">
        <f t="shared" si="30"/>
        <v>5.0000000000000001E-4</v>
      </c>
      <c r="S65" s="178">
        <v>946.25797278657615</v>
      </c>
      <c r="T65" s="80">
        <f t="shared" si="31"/>
        <v>5.0000000000000001E-4</v>
      </c>
      <c r="U65" s="178">
        <v>965.18313224230758</v>
      </c>
      <c r="V65" s="80">
        <f t="shared" si="32"/>
        <v>5.0000000000000001E-4</v>
      </c>
      <c r="X65" s="192"/>
    </row>
    <row r="66" spans="1:24" ht="12.75" customHeight="1">
      <c r="A66" s="2" t="s">
        <v>410</v>
      </c>
      <c r="B66" s="35"/>
      <c r="C66" s="178">
        <v>0</v>
      </c>
      <c r="D66" s="80">
        <f t="shared" si="23"/>
        <v>0</v>
      </c>
      <c r="E66" s="178">
        <v>0</v>
      </c>
      <c r="F66" s="80">
        <f t="shared" si="24"/>
        <v>0</v>
      </c>
      <c r="G66" s="178">
        <v>4705.4000000000005</v>
      </c>
      <c r="H66" s="80">
        <f t="shared" si="25"/>
        <v>2.8000000000000004E-3</v>
      </c>
      <c r="I66" s="178">
        <v>4799.5079999999998</v>
      </c>
      <c r="J66" s="80">
        <f t="shared" si="26"/>
        <v>2.8E-3</v>
      </c>
      <c r="K66" s="178">
        <v>4895.4981599999992</v>
      </c>
      <c r="L66" s="80">
        <f t="shared" si="27"/>
        <v>2.7999999999999995E-3</v>
      </c>
      <c r="M66" s="178">
        <v>4993.4081232000008</v>
      </c>
      <c r="N66" s="80">
        <f t="shared" si="28"/>
        <v>2.8000000000000004E-3</v>
      </c>
      <c r="O66" s="178">
        <v>5093.2762856640002</v>
      </c>
      <c r="P66" s="80">
        <f t="shared" si="29"/>
        <v>2.8E-3</v>
      </c>
      <c r="Q66" s="178">
        <v>5195.1418113772806</v>
      </c>
      <c r="R66" s="80">
        <f t="shared" si="30"/>
        <v>2.8E-3</v>
      </c>
      <c r="S66" s="178">
        <v>5299.0446476048264</v>
      </c>
      <c r="T66" s="80">
        <f t="shared" si="31"/>
        <v>2.8E-3</v>
      </c>
      <c r="U66" s="178">
        <v>5405.0255405569224</v>
      </c>
      <c r="V66" s="80">
        <f t="shared" si="32"/>
        <v>2.7999999999999995E-3</v>
      </c>
      <c r="X66" s="192"/>
    </row>
    <row r="67" spans="1:24" ht="12.75" customHeight="1">
      <c r="A67" s="2" t="s">
        <v>411</v>
      </c>
      <c r="B67" s="35"/>
      <c r="C67" s="178">
        <v>0</v>
      </c>
      <c r="D67" s="80">
        <f t="shared" si="23"/>
        <v>0</v>
      </c>
      <c r="E67" s="178">
        <v>0</v>
      </c>
      <c r="F67" s="80">
        <f t="shared" si="24"/>
        <v>0</v>
      </c>
      <c r="G67" s="178">
        <v>25207.5</v>
      </c>
      <c r="H67" s="80">
        <f t="shared" si="25"/>
        <v>1.4999999999999999E-2</v>
      </c>
      <c r="I67" s="178">
        <v>25711.649999999998</v>
      </c>
      <c r="J67" s="80">
        <f t="shared" si="26"/>
        <v>1.4999999999999999E-2</v>
      </c>
      <c r="K67" s="178">
        <v>26225.882999999994</v>
      </c>
      <c r="L67" s="80">
        <f t="shared" si="27"/>
        <v>1.4999999999999998E-2</v>
      </c>
      <c r="M67" s="178">
        <v>26750.400659999999</v>
      </c>
      <c r="N67" s="80">
        <f t="shared" si="28"/>
        <v>1.4999999999999999E-2</v>
      </c>
      <c r="O67" s="178">
        <v>27285.4086732</v>
      </c>
      <c r="P67" s="80">
        <f t="shared" si="29"/>
        <v>1.4999999999999999E-2</v>
      </c>
      <c r="Q67" s="178">
        <v>27831.116846664001</v>
      </c>
      <c r="R67" s="80">
        <f t="shared" si="30"/>
        <v>1.4999999999999999E-2</v>
      </c>
      <c r="S67" s="178">
        <v>28387.739183597285</v>
      </c>
      <c r="T67" s="80">
        <f t="shared" si="31"/>
        <v>1.5000000000000001E-2</v>
      </c>
      <c r="U67" s="178">
        <v>28955.493967269227</v>
      </c>
      <c r="V67" s="80">
        <f t="shared" si="32"/>
        <v>1.4999999999999999E-2</v>
      </c>
      <c r="X67" s="192"/>
    </row>
    <row r="68" spans="1:24" ht="12.75" customHeight="1">
      <c r="A68" s="2" t="s">
        <v>412</v>
      </c>
      <c r="B68" s="35"/>
      <c r="C68" s="178">
        <v>0</v>
      </c>
      <c r="D68" s="80">
        <f t="shared" si="23"/>
        <v>0</v>
      </c>
      <c r="E68" s="178">
        <v>0</v>
      </c>
      <c r="F68" s="80">
        <f t="shared" si="24"/>
        <v>0</v>
      </c>
      <c r="G68" s="178">
        <v>2856.85</v>
      </c>
      <c r="H68" s="80">
        <f t="shared" si="25"/>
        <v>1.6999999999999999E-3</v>
      </c>
      <c r="I68" s="178">
        <v>2913.9869999999996</v>
      </c>
      <c r="J68" s="80">
        <f t="shared" si="26"/>
        <v>1.6999999999999997E-3</v>
      </c>
      <c r="K68" s="178">
        <v>2972.2667399999996</v>
      </c>
      <c r="L68" s="80">
        <f t="shared" si="27"/>
        <v>1.6999999999999999E-3</v>
      </c>
      <c r="M68" s="178">
        <v>3031.7120747999998</v>
      </c>
      <c r="N68" s="80">
        <f t="shared" si="28"/>
        <v>1.6999999999999999E-3</v>
      </c>
      <c r="O68" s="178">
        <v>3092.3463162959997</v>
      </c>
      <c r="P68" s="80">
        <f t="shared" si="29"/>
        <v>1.6999999999999997E-3</v>
      </c>
      <c r="Q68" s="178">
        <v>3154.1932426219205</v>
      </c>
      <c r="R68" s="80">
        <f t="shared" si="30"/>
        <v>1.7000000000000001E-3</v>
      </c>
      <c r="S68" s="178">
        <v>3217.2771074743587</v>
      </c>
      <c r="T68" s="80">
        <f t="shared" si="31"/>
        <v>1.6999999999999999E-3</v>
      </c>
      <c r="U68" s="178">
        <v>3281.6226496238455</v>
      </c>
      <c r="V68" s="80">
        <f t="shared" si="32"/>
        <v>1.6999999999999997E-3</v>
      </c>
      <c r="X68" s="192"/>
    </row>
    <row r="69" spans="1:24" ht="12.75" customHeight="1">
      <c r="A69" s="2" t="s">
        <v>413</v>
      </c>
      <c r="B69" s="35"/>
      <c r="C69" s="178">
        <v>0</v>
      </c>
      <c r="D69" s="80">
        <f t="shared" si="23"/>
        <v>0</v>
      </c>
      <c r="E69" s="178">
        <v>0</v>
      </c>
      <c r="F69" s="80">
        <f t="shared" si="24"/>
        <v>0</v>
      </c>
      <c r="G69" s="178">
        <v>0</v>
      </c>
      <c r="H69" s="80">
        <f t="shared" si="25"/>
        <v>0</v>
      </c>
      <c r="I69" s="178">
        <v>0</v>
      </c>
      <c r="J69" s="80">
        <f t="shared" si="26"/>
        <v>0</v>
      </c>
      <c r="K69" s="178">
        <v>0</v>
      </c>
      <c r="L69" s="80">
        <f t="shared" si="27"/>
        <v>0</v>
      </c>
      <c r="M69" s="178">
        <v>0</v>
      </c>
      <c r="N69" s="80">
        <f t="shared" si="28"/>
        <v>0</v>
      </c>
      <c r="O69" s="178">
        <v>0</v>
      </c>
      <c r="P69" s="80">
        <f t="shared" si="29"/>
        <v>0</v>
      </c>
      <c r="Q69" s="178">
        <v>0</v>
      </c>
      <c r="R69" s="80">
        <f t="shared" si="30"/>
        <v>0</v>
      </c>
      <c r="S69" s="178">
        <v>0</v>
      </c>
      <c r="T69" s="80">
        <f t="shared" si="31"/>
        <v>0</v>
      </c>
      <c r="U69" s="178">
        <v>0</v>
      </c>
      <c r="V69" s="80">
        <f t="shared" si="32"/>
        <v>0</v>
      </c>
      <c r="X69" s="192"/>
    </row>
    <row r="70" spans="1:24" ht="12.75" customHeight="1">
      <c r="A70" s="2" t="s">
        <v>414</v>
      </c>
      <c r="B70" s="35"/>
      <c r="C70" s="178">
        <v>0</v>
      </c>
      <c r="D70" s="80">
        <f t="shared" si="23"/>
        <v>0</v>
      </c>
      <c r="E70" s="178">
        <v>0</v>
      </c>
      <c r="F70" s="80">
        <f t="shared" si="24"/>
        <v>0</v>
      </c>
      <c r="G70" s="178">
        <v>168.05</v>
      </c>
      <c r="H70" s="80">
        <f t="shared" si="25"/>
        <v>1E-4</v>
      </c>
      <c r="I70" s="178">
        <v>171.411</v>
      </c>
      <c r="J70" s="80">
        <f t="shared" si="26"/>
        <v>1E-4</v>
      </c>
      <c r="K70" s="178">
        <v>174.83921999999998</v>
      </c>
      <c r="L70" s="80">
        <f t="shared" si="27"/>
        <v>9.9999999999999991E-5</v>
      </c>
      <c r="M70" s="178">
        <v>178.33600440000001</v>
      </c>
      <c r="N70" s="80">
        <f t="shared" si="28"/>
        <v>1E-4</v>
      </c>
      <c r="O70" s="178">
        <v>181.90272448800002</v>
      </c>
      <c r="P70" s="80">
        <f t="shared" si="29"/>
        <v>1E-4</v>
      </c>
      <c r="Q70" s="178">
        <v>185.54077897776006</v>
      </c>
      <c r="R70" s="80">
        <f t="shared" si="30"/>
        <v>1.0000000000000002E-4</v>
      </c>
      <c r="S70" s="178">
        <v>189.25159455731523</v>
      </c>
      <c r="T70" s="80">
        <f t="shared" si="31"/>
        <v>1E-4</v>
      </c>
      <c r="U70" s="178">
        <v>193.03662644846153</v>
      </c>
      <c r="V70" s="80">
        <f t="shared" si="32"/>
        <v>1E-4</v>
      </c>
      <c r="X70" s="192"/>
    </row>
    <row r="71" spans="1:24" ht="12.75" customHeight="1">
      <c r="A71" s="2" t="s">
        <v>415</v>
      </c>
      <c r="B71" s="35"/>
      <c r="C71" s="178">
        <v>0</v>
      </c>
      <c r="D71" s="80">
        <f t="shared" si="23"/>
        <v>0</v>
      </c>
      <c r="E71" s="178">
        <v>0</v>
      </c>
      <c r="F71" s="80">
        <f t="shared" si="24"/>
        <v>0</v>
      </c>
      <c r="G71" s="178">
        <v>0</v>
      </c>
      <c r="H71" s="80">
        <f t="shared" si="25"/>
        <v>0</v>
      </c>
      <c r="I71" s="178">
        <v>0</v>
      </c>
      <c r="J71" s="80">
        <f t="shared" si="26"/>
        <v>0</v>
      </c>
      <c r="K71" s="178">
        <v>0</v>
      </c>
      <c r="L71" s="80">
        <f t="shared" si="27"/>
        <v>0</v>
      </c>
      <c r="M71" s="178">
        <v>0</v>
      </c>
      <c r="N71" s="80">
        <f t="shared" si="28"/>
        <v>0</v>
      </c>
      <c r="O71" s="178">
        <v>0</v>
      </c>
      <c r="P71" s="80">
        <f t="shared" si="29"/>
        <v>0</v>
      </c>
      <c r="Q71" s="178">
        <v>0</v>
      </c>
      <c r="R71" s="80">
        <f t="shared" si="30"/>
        <v>0</v>
      </c>
      <c r="S71" s="178">
        <v>0</v>
      </c>
      <c r="T71" s="80">
        <f t="shared" si="31"/>
        <v>0</v>
      </c>
      <c r="U71" s="178">
        <v>0</v>
      </c>
      <c r="V71" s="80">
        <f t="shared" si="32"/>
        <v>0</v>
      </c>
      <c r="X71" s="192"/>
    </row>
    <row r="72" spans="1:24" ht="12.75" customHeight="1">
      <c r="A72" s="2" t="s">
        <v>416</v>
      </c>
      <c r="B72" s="35"/>
      <c r="C72" s="178">
        <v>0</v>
      </c>
      <c r="D72" s="80">
        <f t="shared" si="23"/>
        <v>0</v>
      </c>
      <c r="E72" s="178">
        <v>0</v>
      </c>
      <c r="F72" s="80">
        <f t="shared" si="24"/>
        <v>0</v>
      </c>
      <c r="G72" s="178">
        <v>0</v>
      </c>
      <c r="H72" s="80">
        <f t="shared" si="25"/>
        <v>0</v>
      </c>
      <c r="I72" s="178">
        <v>0</v>
      </c>
      <c r="J72" s="80">
        <f t="shared" si="26"/>
        <v>0</v>
      </c>
      <c r="K72" s="178">
        <v>0</v>
      </c>
      <c r="L72" s="80">
        <f t="shared" si="27"/>
        <v>0</v>
      </c>
      <c r="M72" s="178">
        <v>0</v>
      </c>
      <c r="N72" s="80">
        <f t="shared" si="28"/>
        <v>0</v>
      </c>
      <c r="O72" s="178">
        <v>0</v>
      </c>
      <c r="P72" s="80">
        <f t="shared" si="29"/>
        <v>0</v>
      </c>
      <c r="Q72" s="178">
        <v>0</v>
      </c>
      <c r="R72" s="80">
        <f t="shared" si="30"/>
        <v>0</v>
      </c>
      <c r="S72" s="178">
        <v>0</v>
      </c>
      <c r="T72" s="80">
        <f t="shared" si="31"/>
        <v>0</v>
      </c>
      <c r="U72" s="178">
        <v>0</v>
      </c>
      <c r="V72" s="80">
        <f t="shared" si="32"/>
        <v>0</v>
      </c>
      <c r="X72" s="192"/>
    </row>
    <row r="73" spans="1:24" ht="12.75" customHeight="1">
      <c r="A73" s="2" t="s">
        <v>417</v>
      </c>
      <c r="B73" s="35"/>
      <c r="C73" s="178">
        <v>0</v>
      </c>
      <c r="D73" s="80">
        <f t="shared" si="23"/>
        <v>0</v>
      </c>
      <c r="E73" s="178">
        <v>0</v>
      </c>
      <c r="F73" s="80">
        <f t="shared" si="24"/>
        <v>0</v>
      </c>
      <c r="G73" s="178">
        <v>0</v>
      </c>
      <c r="H73" s="80">
        <f t="shared" si="25"/>
        <v>0</v>
      </c>
      <c r="I73" s="178">
        <v>0</v>
      </c>
      <c r="J73" s="80">
        <f t="shared" si="26"/>
        <v>0</v>
      </c>
      <c r="K73" s="178">
        <v>0</v>
      </c>
      <c r="L73" s="80">
        <f t="shared" si="27"/>
        <v>0</v>
      </c>
      <c r="M73" s="178">
        <v>0</v>
      </c>
      <c r="N73" s="80">
        <f t="shared" si="28"/>
        <v>0</v>
      </c>
      <c r="O73" s="178">
        <v>0</v>
      </c>
      <c r="P73" s="80">
        <f t="shared" si="29"/>
        <v>0</v>
      </c>
      <c r="Q73" s="178">
        <v>0</v>
      </c>
      <c r="R73" s="80">
        <f t="shared" si="30"/>
        <v>0</v>
      </c>
      <c r="S73" s="178">
        <v>0</v>
      </c>
      <c r="T73" s="80">
        <f t="shared" si="31"/>
        <v>0</v>
      </c>
      <c r="U73" s="178">
        <v>0</v>
      </c>
      <c r="V73" s="80">
        <f t="shared" si="32"/>
        <v>0</v>
      </c>
      <c r="X73" s="192"/>
    </row>
    <row r="74" spans="1:24" ht="12.75" customHeight="1">
      <c r="A74" s="2" t="s">
        <v>418</v>
      </c>
      <c r="B74" s="35"/>
      <c r="C74" s="178">
        <v>0</v>
      </c>
      <c r="D74" s="80">
        <f t="shared" si="23"/>
        <v>0</v>
      </c>
      <c r="E74" s="178">
        <v>0</v>
      </c>
      <c r="F74" s="80">
        <f t="shared" si="24"/>
        <v>0</v>
      </c>
      <c r="G74" s="178">
        <v>0</v>
      </c>
      <c r="H74" s="80">
        <f t="shared" si="25"/>
        <v>0</v>
      </c>
      <c r="I74" s="178">
        <v>0</v>
      </c>
      <c r="J74" s="80">
        <f t="shared" si="26"/>
        <v>0</v>
      </c>
      <c r="K74" s="178">
        <v>0</v>
      </c>
      <c r="L74" s="80">
        <f t="shared" si="27"/>
        <v>0</v>
      </c>
      <c r="M74" s="178">
        <v>0</v>
      </c>
      <c r="N74" s="80">
        <f t="shared" si="28"/>
        <v>0</v>
      </c>
      <c r="O74" s="178">
        <v>0</v>
      </c>
      <c r="P74" s="80">
        <f t="shared" si="29"/>
        <v>0</v>
      </c>
      <c r="Q74" s="178">
        <v>0</v>
      </c>
      <c r="R74" s="80">
        <f t="shared" si="30"/>
        <v>0</v>
      </c>
      <c r="S74" s="178">
        <v>0</v>
      </c>
      <c r="T74" s="80">
        <f t="shared" si="31"/>
        <v>0</v>
      </c>
      <c r="U74" s="178">
        <v>0</v>
      </c>
      <c r="V74" s="80">
        <f t="shared" si="32"/>
        <v>0</v>
      </c>
      <c r="X74" s="192"/>
    </row>
    <row r="75" spans="1:24" ht="12.75" customHeight="1">
      <c r="A75" s="2" t="s">
        <v>419</v>
      </c>
      <c r="B75" s="35"/>
      <c r="C75" s="178">
        <v>0</v>
      </c>
      <c r="D75" s="80">
        <f t="shared" si="23"/>
        <v>0</v>
      </c>
      <c r="E75" s="178">
        <v>0</v>
      </c>
      <c r="F75" s="80">
        <f t="shared" si="24"/>
        <v>0</v>
      </c>
      <c r="G75" s="178">
        <v>7562.25</v>
      </c>
      <c r="H75" s="80">
        <f t="shared" si="25"/>
        <v>4.4999999999999997E-3</v>
      </c>
      <c r="I75" s="178">
        <v>7713.4949999999999</v>
      </c>
      <c r="J75" s="80">
        <f t="shared" si="26"/>
        <v>4.4999999999999997E-3</v>
      </c>
      <c r="K75" s="178">
        <v>7867.7648999999983</v>
      </c>
      <c r="L75" s="80">
        <f t="shared" si="27"/>
        <v>4.4999999999999988E-3</v>
      </c>
      <c r="M75" s="178">
        <v>8025.1201979999996</v>
      </c>
      <c r="N75" s="80">
        <f t="shared" si="28"/>
        <v>4.4999999999999997E-3</v>
      </c>
      <c r="O75" s="178">
        <v>8185.6226019599999</v>
      </c>
      <c r="P75" s="80">
        <f t="shared" si="29"/>
        <v>4.4999999999999997E-3</v>
      </c>
      <c r="Q75" s="178">
        <v>8349.3350539992007</v>
      </c>
      <c r="R75" s="80">
        <f t="shared" si="30"/>
        <v>4.4999999999999997E-3</v>
      </c>
      <c r="S75" s="178">
        <v>8516.3217550791851</v>
      </c>
      <c r="T75" s="80">
        <f t="shared" si="31"/>
        <v>4.4999999999999997E-3</v>
      </c>
      <c r="U75" s="178">
        <v>8686.6481901807674</v>
      </c>
      <c r="V75" s="80">
        <f t="shared" si="32"/>
        <v>4.4999999999999997E-3</v>
      </c>
      <c r="X75" s="192"/>
    </row>
    <row r="76" spans="1:24" ht="12.75" customHeight="1">
      <c r="A76" s="2" t="s">
        <v>420</v>
      </c>
      <c r="B76" s="35"/>
      <c r="C76" s="178">
        <v>0</v>
      </c>
      <c r="D76" s="80">
        <f t="shared" si="23"/>
        <v>0</v>
      </c>
      <c r="E76" s="178">
        <v>0</v>
      </c>
      <c r="F76" s="80">
        <f t="shared" si="24"/>
        <v>0</v>
      </c>
      <c r="G76" s="178">
        <v>672.2</v>
      </c>
      <c r="H76" s="80">
        <f t="shared" si="25"/>
        <v>4.0000000000000002E-4</v>
      </c>
      <c r="I76" s="178">
        <v>685.64400000000001</v>
      </c>
      <c r="J76" s="80">
        <f t="shared" si="26"/>
        <v>4.0000000000000002E-4</v>
      </c>
      <c r="K76" s="178">
        <v>699.35687999999993</v>
      </c>
      <c r="L76" s="80">
        <f t="shared" si="27"/>
        <v>3.9999999999999996E-4</v>
      </c>
      <c r="M76" s="178">
        <v>713.34401760000003</v>
      </c>
      <c r="N76" s="80">
        <f t="shared" si="28"/>
        <v>4.0000000000000002E-4</v>
      </c>
      <c r="O76" s="178">
        <v>727.61089795200007</v>
      </c>
      <c r="P76" s="80">
        <f t="shared" si="29"/>
        <v>4.0000000000000002E-4</v>
      </c>
      <c r="Q76" s="178">
        <v>742.16311591104022</v>
      </c>
      <c r="R76" s="80">
        <f t="shared" si="30"/>
        <v>4.0000000000000007E-4</v>
      </c>
      <c r="S76" s="178">
        <v>757.00637822926092</v>
      </c>
      <c r="T76" s="80">
        <f t="shared" si="31"/>
        <v>4.0000000000000002E-4</v>
      </c>
      <c r="U76" s="178">
        <v>772.14650579384613</v>
      </c>
      <c r="V76" s="80">
        <f t="shared" si="32"/>
        <v>4.0000000000000002E-4</v>
      </c>
      <c r="X76" s="192"/>
    </row>
    <row r="77" spans="1:24" ht="12.75" customHeight="1">
      <c r="A77" s="2" t="s">
        <v>421</v>
      </c>
      <c r="B77" s="35"/>
      <c r="C77" s="178">
        <v>0</v>
      </c>
      <c r="D77" s="80">
        <f t="shared" si="23"/>
        <v>0</v>
      </c>
      <c r="E77" s="178">
        <v>0</v>
      </c>
      <c r="F77" s="80">
        <f t="shared" si="24"/>
        <v>0</v>
      </c>
      <c r="G77" s="178">
        <v>2184.65</v>
      </c>
      <c r="H77" s="80">
        <f t="shared" si="25"/>
        <v>1.3000000000000002E-3</v>
      </c>
      <c r="I77" s="178">
        <v>2228.3429999999998</v>
      </c>
      <c r="J77" s="80">
        <f t="shared" si="26"/>
        <v>1.2999999999999999E-3</v>
      </c>
      <c r="K77" s="178">
        <v>2272.9098599999998</v>
      </c>
      <c r="L77" s="80">
        <f t="shared" si="27"/>
        <v>1.2999999999999999E-3</v>
      </c>
      <c r="M77" s="178">
        <v>2318.3680571999998</v>
      </c>
      <c r="N77" s="80">
        <f t="shared" si="28"/>
        <v>1.2999999999999999E-3</v>
      </c>
      <c r="O77" s="178">
        <v>2364.7354183439998</v>
      </c>
      <c r="P77" s="80">
        <f t="shared" si="29"/>
        <v>1.2999999999999997E-3</v>
      </c>
      <c r="Q77" s="178">
        <v>2412.0301267108798</v>
      </c>
      <c r="R77" s="80">
        <f t="shared" si="30"/>
        <v>1.2999999999999997E-3</v>
      </c>
      <c r="S77" s="178">
        <v>2460.2707292450982</v>
      </c>
      <c r="T77" s="80">
        <f t="shared" si="31"/>
        <v>1.3000000000000002E-3</v>
      </c>
      <c r="U77" s="178">
        <v>2509.4761438299997</v>
      </c>
      <c r="V77" s="80">
        <f t="shared" si="32"/>
        <v>1.2999999999999999E-3</v>
      </c>
      <c r="X77" s="192"/>
    </row>
    <row r="78" spans="1:24" ht="12.75" customHeight="1">
      <c r="A78" s="2" t="s">
        <v>422</v>
      </c>
      <c r="B78" s="35"/>
      <c r="C78" s="178">
        <v>0</v>
      </c>
      <c r="D78" s="80">
        <f t="shared" si="23"/>
        <v>0</v>
      </c>
      <c r="E78" s="178">
        <v>0</v>
      </c>
      <c r="F78" s="80">
        <f t="shared" si="24"/>
        <v>0</v>
      </c>
      <c r="G78" s="178">
        <v>36971</v>
      </c>
      <c r="H78" s="80">
        <f t="shared" si="25"/>
        <v>2.1999999999999999E-2</v>
      </c>
      <c r="I78" s="178">
        <v>37710.42</v>
      </c>
      <c r="J78" s="80">
        <f t="shared" si="26"/>
        <v>2.1999999999999999E-2</v>
      </c>
      <c r="K78" s="178">
        <v>38464.628399999994</v>
      </c>
      <c r="L78" s="80">
        <f t="shared" si="27"/>
        <v>2.1999999999999999E-2</v>
      </c>
      <c r="M78" s="178">
        <v>39233.920967999999</v>
      </c>
      <c r="N78" s="80">
        <f t="shared" si="28"/>
        <v>2.1999999999999999E-2</v>
      </c>
      <c r="O78" s="178">
        <v>40018.599387359995</v>
      </c>
      <c r="P78" s="80">
        <f t="shared" si="29"/>
        <v>2.1999999999999995E-2</v>
      </c>
      <c r="Q78" s="178">
        <v>40818.971375107198</v>
      </c>
      <c r="R78" s="80">
        <f t="shared" si="30"/>
        <v>2.1999999999999995E-2</v>
      </c>
      <c r="S78" s="178">
        <v>41635.350802609348</v>
      </c>
      <c r="T78" s="80">
        <f t="shared" si="31"/>
        <v>2.1999999999999999E-2</v>
      </c>
      <c r="U78" s="178">
        <v>42468.057818661531</v>
      </c>
      <c r="V78" s="80">
        <f t="shared" si="32"/>
        <v>2.1999999999999999E-2</v>
      </c>
      <c r="X78" s="192"/>
    </row>
    <row r="79" spans="1:24" ht="12.75" customHeight="1">
      <c r="A79" s="2" t="s">
        <v>423</v>
      </c>
      <c r="B79" s="35"/>
      <c r="C79" s="178">
        <v>0</v>
      </c>
      <c r="D79" s="80">
        <f t="shared" si="23"/>
        <v>0</v>
      </c>
      <c r="E79" s="178">
        <v>0</v>
      </c>
      <c r="F79" s="80">
        <f t="shared" si="24"/>
        <v>0</v>
      </c>
      <c r="G79" s="178">
        <v>0</v>
      </c>
      <c r="H79" s="80">
        <f t="shared" si="25"/>
        <v>0</v>
      </c>
      <c r="I79" s="178">
        <v>0</v>
      </c>
      <c r="J79" s="80">
        <f t="shared" si="26"/>
        <v>0</v>
      </c>
      <c r="K79" s="178">
        <v>0</v>
      </c>
      <c r="L79" s="80">
        <f t="shared" si="27"/>
        <v>0</v>
      </c>
      <c r="M79" s="178">
        <v>0</v>
      </c>
      <c r="N79" s="80">
        <f t="shared" si="28"/>
        <v>0</v>
      </c>
      <c r="O79" s="178">
        <v>0</v>
      </c>
      <c r="P79" s="80">
        <f t="shared" si="29"/>
        <v>0</v>
      </c>
      <c r="Q79" s="178">
        <v>0</v>
      </c>
      <c r="R79" s="80">
        <f t="shared" si="30"/>
        <v>0</v>
      </c>
      <c r="S79" s="178">
        <v>0</v>
      </c>
      <c r="T79" s="80">
        <f t="shared" si="31"/>
        <v>0</v>
      </c>
      <c r="U79" s="178">
        <v>0</v>
      </c>
      <c r="V79" s="80">
        <f t="shared" si="32"/>
        <v>0</v>
      </c>
      <c r="X79" s="192"/>
    </row>
    <row r="80" spans="1:24" ht="12.75" customHeight="1">
      <c r="A80" s="2" t="s">
        <v>424</v>
      </c>
      <c r="B80" s="35"/>
      <c r="C80" s="178">
        <v>0</v>
      </c>
      <c r="D80" s="80">
        <f t="shared" si="23"/>
        <v>0</v>
      </c>
      <c r="E80" s="178">
        <v>0</v>
      </c>
      <c r="F80" s="80">
        <f t="shared" si="24"/>
        <v>0</v>
      </c>
      <c r="G80" s="178">
        <v>0</v>
      </c>
      <c r="H80" s="80">
        <f t="shared" si="25"/>
        <v>0</v>
      </c>
      <c r="I80" s="178">
        <v>0</v>
      </c>
      <c r="J80" s="80">
        <f t="shared" si="26"/>
        <v>0</v>
      </c>
      <c r="K80" s="178">
        <v>0</v>
      </c>
      <c r="L80" s="80">
        <f t="shared" si="27"/>
        <v>0</v>
      </c>
      <c r="M80" s="178">
        <v>0</v>
      </c>
      <c r="N80" s="80">
        <f t="shared" si="28"/>
        <v>0</v>
      </c>
      <c r="O80" s="178">
        <v>0</v>
      </c>
      <c r="P80" s="80">
        <f t="shared" si="29"/>
        <v>0</v>
      </c>
      <c r="Q80" s="178">
        <v>0</v>
      </c>
      <c r="R80" s="80">
        <f t="shared" si="30"/>
        <v>0</v>
      </c>
      <c r="S80" s="178">
        <v>0</v>
      </c>
      <c r="T80" s="80">
        <f t="shared" si="31"/>
        <v>0</v>
      </c>
      <c r="U80" s="178">
        <v>0</v>
      </c>
      <c r="V80" s="80">
        <f t="shared" si="32"/>
        <v>0</v>
      </c>
      <c r="X80" s="192"/>
    </row>
    <row r="81" spans="1:24" ht="12.75" customHeight="1">
      <c r="A81" s="2" t="s">
        <v>425</v>
      </c>
      <c r="B81" s="35"/>
      <c r="C81" s="178">
        <v>0</v>
      </c>
      <c r="D81" s="80">
        <f t="shared" si="23"/>
        <v>0</v>
      </c>
      <c r="E81" s="178">
        <v>0</v>
      </c>
      <c r="F81" s="80">
        <f t="shared" si="24"/>
        <v>0</v>
      </c>
      <c r="G81" s="178">
        <v>0</v>
      </c>
      <c r="H81" s="80">
        <f t="shared" si="25"/>
        <v>0</v>
      </c>
      <c r="I81" s="178">
        <v>0</v>
      </c>
      <c r="J81" s="80">
        <f t="shared" si="26"/>
        <v>0</v>
      </c>
      <c r="K81" s="178">
        <v>0</v>
      </c>
      <c r="L81" s="80">
        <f t="shared" si="27"/>
        <v>0</v>
      </c>
      <c r="M81" s="178">
        <v>0</v>
      </c>
      <c r="N81" s="80">
        <f t="shared" si="28"/>
        <v>0</v>
      </c>
      <c r="O81" s="178">
        <v>0</v>
      </c>
      <c r="P81" s="80">
        <f t="shared" si="29"/>
        <v>0</v>
      </c>
      <c r="Q81" s="178">
        <v>0</v>
      </c>
      <c r="R81" s="80">
        <f t="shared" si="30"/>
        <v>0</v>
      </c>
      <c r="S81" s="178">
        <v>0</v>
      </c>
      <c r="T81" s="80">
        <f t="shared" si="31"/>
        <v>0</v>
      </c>
      <c r="U81" s="178">
        <v>0</v>
      </c>
      <c r="V81" s="80">
        <f t="shared" si="32"/>
        <v>0</v>
      </c>
      <c r="X81" s="192"/>
    </row>
    <row r="82" spans="1:24" ht="12.75" customHeight="1">
      <c r="A82" s="2" t="s">
        <v>426</v>
      </c>
      <c r="B82" s="35"/>
      <c r="C82" s="178">
        <v>0</v>
      </c>
      <c r="D82" s="80">
        <f t="shared" si="23"/>
        <v>0</v>
      </c>
      <c r="E82" s="178">
        <v>0</v>
      </c>
      <c r="F82" s="80">
        <f t="shared" si="24"/>
        <v>0</v>
      </c>
      <c r="G82" s="178">
        <v>0</v>
      </c>
      <c r="H82" s="80">
        <f t="shared" si="25"/>
        <v>0</v>
      </c>
      <c r="I82" s="178">
        <v>0</v>
      </c>
      <c r="J82" s="80">
        <f t="shared" si="26"/>
        <v>0</v>
      </c>
      <c r="K82" s="178">
        <v>0</v>
      </c>
      <c r="L82" s="80">
        <f t="shared" si="27"/>
        <v>0</v>
      </c>
      <c r="M82" s="178">
        <v>0</v>
      </c>
      <c r="N82" s="80">
        <f t="shared" si="28"/>
        <v>0</v>
      </c>
      <c r="O82" s="178">
        <v>0</v>
      </c>
      <c r="P82" s="80">
        <f t="shared" si="29"/>
        <v>0</v>
      </c>
      <c r="Q82" s="178">
        <v>0</v>
      </c>
      <c r="R82" s="80">
        <f t="shared" si="30"/>
        <v>0</v>
      </c>
      <c r="S82" s="178">
        <v>0</v>
      </c>
      <c r="T82" s="80">
        <f t="shared" si="31"/>
        <v>0</v>
      </c>
      <c r="U82" s="178">
        <v>0</v>
      </c>
      <c r="V82" s="80">
        <f t="shared" si="32"/>
        <v>0</v>
      </c>
      <c r="X82" s="192"/>
    </row>
    <row r="83" spans="1:24" ht="12.75" customHeight="1">
      <c r="A83" s="2" t="s">
        <v>427</v>
      </c>
      <c r="B83" s="35"/>
      <c r="C83" s="178">
        <v>0</v>
      </c>
      <c r="D83" s="80">
        <f t="shared" si="23"/>
        <v>0</v>
      </c>
      <c r="E83" s="178">
        <v>0</v>
      </c>
      <c r="F83" s="80">
        <f t="shared" si="24"/>
        <v>0</v>
      </c>
      <c r="G83" s="178">
        <v>0</v>
      </c>
      <c r="H83" s="80">
        <f t="shared" si="25"/>
        <v>0</v>
      </c>
      <c r="I83" s="178">
        <v>0</v>
      </c>
      <c r="J83" s="80">
        <f t="shared" si="26"/>
        <v>0</v>
      </c>
      <c r="K83" s="178">
        <v>0</v>
      </c>
      <c r="L83" s="80">
        <f t="shared" si="27"/>
        <v>0</v>
      </c>
      <c r="M83" s="178">
        <v>0</v>
      </c>
      <c r="N83" s="80">
        <f t="shared" si="28"/>
        <v>0</v>
      </c>
      <c r="O83" s="178">
        <v>0</v>
      </c>
      <c r="P83" s="80">
        <f t="shared" si="29"/>
        <v>0</v>
      </c>
      <c r="Q83" s="178">
        <v>0</v>
      </c>
      <c r="R83" s="80">
        <f t="shared" si="30"/>
        <v>0</v>
      </c>
      <c r="S83" s="178">
        <v>0</v>
      </c>
      <c r="T83" s="80">
        <f t="shared" si="31"/>
        <v>0</v>
      </c>
      <c r="U83" s="178">
        <v>0</v>
      </c>
      <c r="V83" s="80">
        <f t="shared" si="32"/>
        <v>0</v>
      </c>
      <c r="X83" s="192"/>
    </row>
    <row r="84" spans="1:24" ht="12.75" customHeight="1">
      <c r="A84" s="2" t="s">
        <v>428</v>
      </c>
      <c r="B84" s="35"/>
      <c r="C84" s="178">
        <v>0</v>
      </c>
      <c r="D84" s="80">
        <f t="shared" si="23"/>
        <v>0</v>
      </c>
      <c r="E84" s="178">
        <v>0</v>
      </c>
      <c r="F84" s="80">
        <f t="shared" si="24"/>
        <v>0</v>
      </c>
      <c r="G84" s="178">
        <v>0</v>
      </c>
      <c r="H84" s="80">
        <f t="shared" si="25"/>
        <v>0</v>
      </c>
      <c r="I84" s="178">
        <v>0</v>
      </c>
      <c r="J84" s="80">
        <f t="shared" si="26"/>
        <v>0</v>
      </c>
      <c r="K84" s="178">
        <v>0</v>
      </c>
      <c r="L84" s="80">
        <f t="shared" si="27"/>
        <v>0</v>
      </c>
      <c r="M84" s="178">
        <v>0</v>
      </c>
      <c r="N84" s="80">
        <f t="shared" si="28"/>
        <v>0</v>
      </c>
      <c r="O84" s="178">
        <v>0</v>
      </c>
      <c r="P84" s="80">
        <f t="shared" si="29"/>
        <v>0</v>
      </c>
      <c r="Q84" s="178">
        <v>0</v>
      </c>
      <c r="R84" s="80">
        <f t="shared" si="30"/>
        <v>0</v>
      </c>
      <c r="S84" s="178">
        <v>0</v>
      </c>
      <c r="T84" s="80">
        <f t="shared" si="31"/>
        <v>0</v>
      </c>
      <c r="U84" s="178">
        <v>0</v>
      </c>
      <c r="V84" s="80">
        <f t="shared" si="32"/>
        <v>0</v>
      </c>
      <c r="X84" s="192"/>
    </row>
    <row r="85" spans="1:24" ht="12.75" customHeight="1">
      <c r="A85" s="2" t="s">
        <v>429</v>
      </c>
      <c r="B85" s="35"/>
      <c r="C85" s="178">
        <v>0</v>
      </c>
      <c r="D85" s="80">
        <f t="shared" si="23"/>
        <v>0</v>
      </c>
      <c r="E85" s="178">
        <v>0</v>
      </c>
      <c r="F85" s="80">
        <f t="shared" si="24"/>
        <v>0</v>
      </c>
      <c r="G85" s="178">
        <v>0</v>
      </c>
      <c r="H85" s="80">
        <f t="shared" si="25"/>
        <v>0</v>
      </c>
      <c r="I85" s="178">
        <v>0</v>
      </c>
      <c r="J85" s="80">
        <f t="shared" si="26"/>
        <v>0</v>
      </c>
      <c r="K85" s="178">
        <v>0</v>
      </c>
      <c r="L85" s="80">
        <f t="shared" si="27"/>
        <v>0</v>
      </c>
      <c r="M85" s="178">
        <v>0</v>
      </c>
      <c r="N85" s="80">
        <f t="shared" si="28"/>
        <v>0</v>
      </c>
      <c r="O85" s="178">
        <v>0</v>
      </c>
      <c r="P85" s="80">
        <f t="shared" si="29"/>
        <v>0</v>
      </c>
      <c r="Q85" s="178">
        <v>0</v>
      </c>
      <c r="R85" s="80">
        <f t="shared" si="30"/>
        <v>0</v>
      </c>
      <c r="S85" s="178">
        <v>0</v>
      </c>
      <c r="T85" s="80">
        <f t="shared" si="31"/>
        <v>0</v>
      </c>
      <c r="U85" s="178">
        <v>0</v>
      </c>
      <c r="V85" s="80">
        <f t="shared" si="32"/>
        <v>0</v>
      </c>
      <c r="X85" s="192"/>
    </row>
    <row r="86" spans="1:24" ht="12.75" customHeight="1">
      <c r="A86" s="2" t="s">
        <v>430</v>
      </c>
      <c r="B86" s="35"/>
      <c r="C86" s="178">
        <v>0</v>
      </c>
      <c r="D86" s="80">
        <f t="shared" si="23"/>
        <v>0</v>
      </c>
      <c r="E86" s="178">
        <v>0</v>
      </c>
      <c r="F86" s="80">
        <f t="shared" si="24"/>
        <v>0</v>
      </c>
      <c r="G86" s="178">
        <v>6722.0000000000009</v>
      </c>
      <c r="H86" s="80">
        <f t="shared" si="25"/>
        <v>4.000000000000001E-3</v>
      </c>
      <c r="I86" s="178">
        <v>6856.4400000000005</v>
      </c>
      <c r="J86" s="80">
        <f t="shared" si="26"/>
        <v>4.0000000000000001E-3</v>
      </c>
      <c r="K86" s="178">
        <v>6993.5687999999991</v>
      </c>
      <c r="L86" s="80">
        <f t="shared" si="27"/>
        <v>3.9999999999999992E-3</v>
      </c>
      <c r="M86" s="178">
        <v>7133.4401760000001</v>
      </c>
      <c r="N86" s="80">
        <f t="shared" si="28"/>
        <v>4.0000000000000001E-3</v>
      </c>
      <c r="O86" s="178">
        <v>7276.1089795200005</v>
      </c>
      <c r="P86" s="80">
        <f t="shared" si="29"/>
        <v>4.0000000000000001E-3</v>
      </c>
      <c r="Q86" s="178">
        <v>7421.6311591104013</v>
      </c>
      <c r="R86" s="80">
        <f t="shared" si="30"/>
        <v>4.0000000000000001E-3</v>
      </c>
      <c r="S86" s="178">
        <v>7570.0637822926092</v>
      </c>
      <c r="T86" s="80">
        <f t="shared" si="31"/>
        <v>4.0000000000000001E-3</v>
      </c>
      <c r="U86" s="178">
        <v>7721.4650579384606</v>
      </c>
      <c r="V86" s="80">
        <f t="shared" si="32"/>
        <v>4.0000000000000001E-3</v>
      </c>
      <c r="X86" s="192"/>
    </row>
    <row r="87" spans="1:24" ht="12.75" customHeight="1">
      <c r="A87" s="2" t="s">
        <v>431</v>
      </c>
      <c r="B87" s="35"/>
      <c r="C87" s="178">
        <v>0</v>
      </c>
      <c r="D87" s="80">
        <f t="shared" si="23"/>
        <v>0</v>
      </c>
      <c r="E87" s="178">
        <v>0</v>
      </c>
      <c r="F87" s="80">
        <f t="shared" si="24"/>
        <v>0</v>
      </c>
      <c r="G87" s="178">
        <v>0</v>
      </c>
      <c r="H87" s="80">
        <f t="shared" si="25"/>
        <v>0</v>
      </c>
      <c r="I87" s="178">
        <v>0</v>
      </c>
      <c r="J87" s="80">
        <f t="shared" si="26"/>
        <v>0</v>
      </c>
      <c r="K87" s="178">
        <v>0</v>
      </c>
      <c r="L87" s="80">
        <f t="shared" si="27"/>
        <v>0</v>
      </c>
      <c r="M87" s="178">
        <v>0</v>
      </c>
      <c r="N87" s="80">
        <f t="shared" si="28"/>
        <v>0</v>
      </c>
      <c r="O87" s="178">
        <v>0</v>
      </c>
      <c r="P87" s="80">
        <f t="shared" si="29"/>
        <v>0</v>
      </c>
      <c r="Q87" s="178">
        <v>0</v>
      </c>
      <c r="R87" s="80">
        <f t="shared" si="30"/>
        <v>0</v>
      </c>
      <c r="S87" s="178">
        <v>0</v>
      </c>
      <c r="T87" s="80">
        <f t="shared" si="31"/>
        <v>0</v>
      </c>
      <c r="U87" s="178">
        <v>0</v>
      </c>
      <c r="V87" s="80">
        <f t="shared" si="32"/>
        <v>0</v>
      </c>
      <c r="X87" s="192"/>
    </row>
    <row r="88" spans="1:24" ht="12.75" customHeight="1">
      <c r="A88" s="2" t="s">
        <v>432</v>
      </c>
      <c r="B88" s="35"/>
      <c r="C88" s="178">
        <v>0</v>
      </c>
      <c r="D88" s="80">
        <f t="shared" si="23"/>
        <v>0</v>
      </c>
      <c r="E88" s="178">
        <v>0</v>
      </c>
      <c r="F88" s="80">
        <f t="shared" si="24"/>
        <v>0</v>
      </c>
      <c r="G88" s="178">
        <v>8570.5500000000011</v>
      </c>
      <c r="H88" s="80">
        <f t="shared" si="25"/>
        <v>5.1000000000000004E-3</v>
      </c>
      <c r="I88" s="178">
        <v>8741.9610000000011</v>
      </c>
      <c r="J88" s="80">
        <f t="shared" si="26"/>
        <v>5.1000000000000004E-3</v>
      </c>
      <c r="K88" s="178">
        <v>8916.8002199999992</v>
      </c>
      <c r="L88" s="80">
        <f t="shared" si="27"/>
        <v>5.0999999999999995E-3</v>
      </c>
      <c r="M88" s="178">
        <v>9095.1362244000011</v>
      </c>
      <c r="N88" s="80">
        <f t="shared" si="28"/>
        <v>5.1000000000000004E-3</v>
      </c>
      <c r="O88" s="178">
        <v>9277.038948888001</v>
      </c>
      <c r="P88" s="80">
        <f t="shared" si="29"/>
        <v>5.1000000000000004E-3</v>
      </c>
      <c r="Q88" s="178">
        <v>9462.579727865761</v>
      </c>
      <c r="R88" s="80">
        <f t="shared" si="30"/>
        <v>5.1000000000000004E-3</v>
      </c>
      <c r="S88" s="178">
        <v>9651.8313224230769</v>
      </c>
      <c r="T88" s="80">
        <f t="shared" si="31"/>
        <v>5.1000000000000004E-3</v>
      </c>
      <c r="U88" s="178">
        <v>9844.8679488715388</v>
      </c>
      <c r="V88" s="80">
        <f t="shared" si="32"/>
        <v>5.1000000000000004E-3</v>
      </c>
      <c r="X88" s="192"/>
    </row>
    <row r="89" spans="1:24" ht="12.75" customHeight="1">
      <c r="A89" s="2" t="s">
        <v>433</v>
      </c>
      <c r="B89" s="35"/>
      <c r="C89" s="178">
        <v>0</v>
      </c>
      <c r="D89" s="80">
        <f t="shared" si="23"/>
        <v>0</v>
      </c>
      <c r="E89" s="178">
        <v>0</v>
      </c>
      <c r="F89" s="80">
        <f t="shared" si="24"/>
        <v>0</v>
      </c>
      <c r="G89" s="178">
        <v>0</v>
      </c>
      <c r="H89" s="80">
        <f t="shared" si="25"/>
        <v>0</v>
      </c>
      <c r="I89" s="178">
        <v>0</v>
      </c>
      <c r="J89" s="80">
        <f t="shared" si="26"/>
        <v>0</v>
      </c>
      <c r="K89" s="178">
        <v>0</v>
      </c>
      <c r="L89" s="80">
        <f t="shared" si="27"/>
        <v>0</v>
      </c>
      <c r="M89" s="178">
        <v>0</v>
      </c>
      <c r="N89" s="80">
        <f t="shared" si="28"/>
        <v>0</v>
      </c>
      <c r="O89" s="178">
        <v>0</v>
      </c>
      <c r="P89" s="80">
        <f t="shared" si="29"/>
        <v>0</v>
      </c>
      <c r="Q89" s="178">
        <v>0</v>
      </c>
      <c r="R89" s="80">
        <f t="shared" si="30"/>
        <v>0</v>
      </c>
      <c r="S89" s="178">
        <v>0</v>
      </c>
      <c r="T89" s="80">
        <f t="shared" si="31"/>
        <v>0</v>
      </c>
      <c r="U89" s="178">
        <v>0</v>
      </c>
      <c r="V89" s="80">
        <f t="shared" si="32"/>
        <v>0</v>
      </c>
      <c r="X89" s="192"/>
    </row>
    <row r="90" spans="1:24" ht="12.75" customHeight="1">
      <c r="A90" s="2" t="s">
        <v>434</v>
      </c>
      <c r="B90" s="35"/>
      <c r="C90" s="178">
        <v>0</v>
      </c>
      <c r="D90" s="80">
        <f t="shared" si="23"/>
        <v>0</v>
      </c>
      <c r="E90" s="178">
        <v>0</v>
      </c>
      <c r="F90" s="80">
        <f t="shared" si="24"/>
        <v>0</v>
      </c>
      <c r="G90" s="178">
        <v>336.1</v>
      </c>
      <c r="H90" s="80">
        <f t="shared" si="25"/>
        <v>2.0000000000000001E-4</v>
      </c>
      <c r="I90" s="178">
        <v>342.822</v>
      </c>
      <c r="J90" s="80">
        <f t="shared" si="26"/>
        <v>2.0000000000000001E-4</v>
      </c>
      <c r="K90" s="178">
        <v>349.67843999999997</v>
      </c>
      <c r="L90" s="80">
        <f t="shared" si="27"/>
        <v>1.9999999999999998E-4</v>
      </c>
      <c r="M90" s="178">
        <v>356.67200880000001</v>
      </c>
      <c r="N90" s="80">
        <f t="shared" si="28"/>
        <v>2.0000000000000001E-4</v>
      </c>
      <c r="O90" s="178">
        <v>363.80544897600004</v>
      </c>
      <c r="P90" s="80">
        <f t="shared" si="29"/>
        <v>2.0000000000000001E-4</v>
      </c>
      <c r="Q90" s="178">
        <v>371.08155795552011</v>
      </c>
      <c r="R90" s="80">
        <f t="shared" si="30"/>
        <v>2.0000000000000004E-4</v>
      </c>
      <c r="S90" s="178">
        <v>378.50318911463046</v>
      </c>
      <c r="T90" s="80">
        <f t="shared" si="31"/>
        <v>2.0000000000000001E-4</v>
      </c>
      <c r="U90" s="178">
        <v>386.07325289692307</v>
      </c>
      <c r="V90" s="80">
        <f t="shared" si="32"/>
        <v>2.0000000000000001E-4</v>
      </c>
      <c r="X90" s="192"/>
    </row>
    <row r="91" spans="1:24" ht="12.75" customHeight="1">
      <c r="A91" s="2" t="s">
        <v>435</v>
      </c>
      <c r="C91" s="178">
        <v>0</v>
      </c>
      <c r="D91" s="80">
        <f t="shared" si="23"/>
        <v>0</v>
      </c>
      <c r="E91" s="178">
        <v>0</v>
      </c>
      <c r="F91" s="80">
        <f t="shared" si="24"/>
        <v>0</v>
      </c>
      <c r="G91" s="178">
        <v>0</v>
      </c>
      <c r="H91" s="80">
        <f t="shared" si="25"/>
        <v>0</v>
      </c>
      <c r="I91" s="178">
        <v>0</v>
      </c>
      <c r="J91" s="80">
        <f t="shared" si="26"/>
        <v>0</v>
      </c>
      <c r="K91" s="178">
        <v>0</v>
      </c>
      <c r="L91" s="80">
        <f t="shared" si="27"/>
        <v>0</v>
      </c>
      <c r="M91" s="178">
        <v>0</v>
      </c>
      <c r="N91" s="80">
        <f t="shared" si="28"/>
        <v>0</v>
      </c>
      <c r="O91" s="178">
        <v>0</v>
      </c>
      <c r="P91" s="80">
        <f t="shared" si="29"/>
        <v>0</v>
      </c>
      <c r="Q91" s="178">
        <v>0</v>
      </c>
      <c r="R91" s="80">
        <f t="shared" si="30"/>
        <v>0</v>
      </c>
      <c r="S91" s="178">
        <v>0</v>
      </c>
      <c r="T91" s="80">
        <f t="shared" si="31"/>
        <v>0</v>
      </c>
      <c r="U91" s="178">
        <v>0</v>
      </c>
      <c r="V91" s="80">
        <f t="shared" si="32"/>
        <v>0</v>
      </c>
      <c r="X91" s="192"/>
    </row>
    <row r="92" spans="1:24" ht="12.75" customHeight="1">
      <c r="A92" s="2" t="s">
        <v>436</v>
      </c>
      <c r="B92" s="35"/>
      <c r="C92" s="178">
        <v>0</v>
      </c>
      <c r="D92" s="80">
        <f t="shared" si="23"/>
        <v>0</v>
      </c>
      <c r="E92" s="178">
        <v>0</v>
      </c>
      <c r="F92" s="80">
        <f t="shared" si="24"/>
        <v>0</v>
      </c>
      <c r="G92" s="178">
        <v>8738.6</v>
      </c>
      <c r="H92" s="80">
        <f t="shared" si="25"/>
        <v>5.2000000000000006E-3</v>
      </c>
      <c r="I92" s="178">
        <v>8913.3719999999994</v>
      </c>
      <c r="J92" s="80">
        <f t="shared" si="26"/>
        <v>5.1999999999999998E-3</v>
      </c>
      <c r="K92" s="178">
        <v>9091.639439999999</v>
      </c>
      <c r="L92" s="80">
        <f t="shared" si="27"/>
        <v>5.1999999999999998E-3</v>
      </c>
      <c r="M92" s="178">
        <v>9273.4722287999994</v>
      </c>
      <c r="N92" s="80">
        <f t="shared" si="28"/>
        <v>5.1999999999999998E-3</v>
      </c>
      <c r="O92" s="178">
        <v>9458.941673375999</v>
      </c>
      <c r="P92" s="80">
        <f t="shared" si="29"/>
        <v>5.1999999999999989E-3</v>
      </c>
      <c r="Q92" s="178">
        <v>9648.1205068435193</v>
      </c>
      <c r="R92" s="80">
        <f t="shared" si="30"/>
        <v>5.1999999999999989E-3</v>
      </c>
      <c r="S92" s="178">
        <v>9841.0829169803928</v>
      </c>
      <c r="T92" s="80">
        <f t="shared" si="31"/>
        <v>5.2000000000000006E-3</v>
      </c>
      <c r="U92" s="178">
        <v>10037.904575319999</v>
      </c>
      <c r="V92" s="80">
        <f t="shared" si="32"/>
        <v>5.1999999999999998E-3</v>
      </c>
      <c r="X92" s="192"/>
    </row>
    <row r="93" spans="1:24" ht="12.75" customHeight="1">
      <c r="A93" s="2" t="s">
        <v>437</v>
      </c>
      <c r="B93" s="35"/>
      <c r="C93" s="178">
        <v>0</v>
      </c>
      <c r="D93" s="80">
        <f t="shared" si="23"/>
        <v>0</v>
      </c>
      <c r="E93" s="178">
        <v>0</v>
      </c>
      <c r="F93" s="80">
        <f t="shared" si="24"/>
        <v>0</v>
      </c>
      <c r="G93" s="178">
        <v>0</v>
      </c>
      <c r="H93" s="80">
        <f t="shared" si="25"/>
        <v>0</v>
      </c>
      <c r="I93" s="178">
        <v>0</v>
      </c>
      <c r="J93" s="80">
        <f t="shared" si="26"/>
        <v>0</v>
      </c>
      <c r="K93" s="178">
        <v>0</v>
      </c>
      <c r="L93" s="80">
        <f t="shared" si="27"/>
        <v>0</v>
      </c>
      <c r="M93" s="178">
        <v>0</v>
      </c>
      <c r="N93" s="80">
        <f t="shared" si="28"/>
        <v>0</v>
      </c>
      <c r="O93" s="178">
        <v>0</v>
      </c>
      <c r="P93" s="80">
        <f t="shared" si="29"/>
        <v>0</v>
      </c>
      <c r="Q93" s="178">
        <v>0</v>
      </c>
      <c r="R93" s="80">
        <f t="shared" si="30"/>
        <v>0</v>
      </c>
      <c r="S93" s="178">
        <v>0</v>
      </c>
      <c r="T93" s="80">
        <f t="shared" si="31"/>
        <v>0</v>
      </c>
      <c r="U93" s="178">
        <v>0</v>
      </c>
      <c r="V93" s="80">
        <f t="shared" si="32"/>
        <v>0</v>
      </c>
      <c r="X93" s="192"/>
    </row>
    <row r="94" spans="1:24" ht="12.75" customHeight="1">
      <c r="A94" s="2" t="s">
        <v>438</v>
      </c>
      <c r="B94" s="35"/>
      <c r="C94" s="178">
        <v>0</v>
      </c>
      <c r="D94" s="80">
        <f t="shared" si="23"/>
        <v>0</v>
      </c>
      <c r="E94" s="178">
        <v>0</v>
      </c>
      <c r="F94" s="80">
        <f t="shared" si="24"/>
        <v>0</v>
      </c>
      <c r="G94" s="178">
        <v>0</v>
      </c>
      <c r="H94" s="80">
        <f t="shared" si="25"/>
        <v>0</v>
      </c>
      <c r="I94" s="178">
        <v>0</v>
      </c>
      <c r="J94" s="80">
        <f t="shared" si="26"/>
        <v>0</v>
      </c>
      <c r="K94" s="178">
        <v>0</v>
      </c>
      <c r="L94" s="80">
        <f t="shared" si="27"/>
        <v>0</v>
      </c>
      <c r="M94" s="178">
        <v>0</v>
      </c>
      <c r="N94" s="80">
        <f t="shared" si="28"/>
        <v>0</v>
      </c>
      <c r="O94" s="178">
        <v>0</v>
      </c>
      <c r="P94" s="80">
        <f t="shared" si="29"/>
        <v>0</v>
      </c>
      <c r="Q94" s="178">
        <v>0</v>
      </c>
      <c r="R94" s="80">
        <f t="shared" si="30"/>
        <v>0</v>
      </c>
      <c r="S94" s="178">
        <v>0</v>
      </c>
      <c r="T94" s="80">
        <f t="shared" si="31"/>
        <v>0</v>
      </c>
      <c r="U94" s="178">
        <v>0</v>
      </c>
      <c r="V94" s="80">
        <f t="shared" si="32"/>
        <v>0</v>
      </c>
      <c r="X94" s="192"/>
    </row>
    <row r="95" spans="1:24" ht="12.75" customHeight="1">
      <c r="A95" s="2" t="s">
        <v>439</v>
      </c>
      <c r="B95" s="35"/>
      <c r="C95" s="178">
        <v>0</v>
      </c>
      <c r="D95" s="80">
        <f t="shared" si="23"/>
        <v>0</v>
      </c>
      <c r="E95" s="178">
        <v>0</v>
      </c>
      <c r="F95" s="80">
        <f t="shared" si="24"/>
        <v>0</v>
      </c>
      <c r="G95" s="178">
        <v>0</v>
      </c>
      <c r="H95" s="80">
        <f t="shared" si="25"/>
        <v>0</v>
      </c>
      <c r="I95" s="178">
        <v>0</v>
      </c>
      <c r="J95" s="80">
        <f t="shared" si="26"/>
        <v>0</v>
      </c>
      <c r="K95" s="178">
        <v>0</v>
      </c>
      <c r="L95" s="80">
        <f t="shared" si="27"/>
        <v>0</v>
      </c>
      <c r="M95" s="178">
        <v>0</v>
      </c>
      <c r="N95" s="80">
        <f t="shared" si="28"/>
        <v>0</v>
      </c>
      <c r="O95" s="178">
        <v>0</v>
      </c>
      <c r="P95" s="80">
        <f t="shared" si="29"/>
        <v>0</v>
      </c>
      <c r="Q95" s="178">
        <v>0</v>
      </c>
      <c r="R95" s="80">
        <f t="shared" si="30"/>
        <v>0</v>
      </c>
      <c r="S95" s="178">
        <v>0</v>
      </c>
      <c r="T95" s="80">
        <f t="shared" si="31"/>
        <v>0</v>
      </c>
      <c r="U95" s="178">
        <v>0</v>
      </c>
      <c r="V95" s="80">
        <f t="shared" si="32"/>
        <v>0</v>
      </c>
      <c r="X95" s="192"/>
    </row>
    <row r="96" spans="1:24" ht="12.75" customHeight="1">
      <c r="A96" s="2" t="s">
        <v>440</v>
      </c>
      <c r="B96" s="35"/>
      <c r="C96" s="178">
        <v>0</v>
      </c>
      <c r="D96" s="80">
        <f t="shared" si="23"/>
        <v>0</v>
      </c>
      <c r="E96" s="178">
        <v>0</v>
      </c>
      <c r="F96" s="80">
        <f t="shared" si="24"/>
        <v>0</v>
      </c>
      <c r="G96" s="178">
        <v>0</v>
      </c>
      <c r="H96" s="80">
        <f t="shared" si="25"/>
        <v>0</v>
      </c>
      <c r="I96" s="178">
        <v>0</v>
      </c>
      <c r="J96" s="80">
        <f t="shared" si="26"/>
        <v>0</v>
      </c>
      <c r="K96" s="178">
        <v>0</v>
      </c>
      <c r="L96" s="80">
        <f t="shared" si="27"/>
        <v>0</v>
      </c>
      <c r="M96" s="178">
        <v>0</v>
      </c>
      <c r="N96" s="80">
        <f t="shared" si="28"/>
        <v>0</v>
      </c>
      <c r="O96" s="178">
        <v>0</v>
      </c>
      <c r="P96" s="80">
        <f t="shared" si="29"/>
        <v>0</v>
      </c>
      <c r="Q96" s="178">
        <v>0</v>
      </c>
      <c r="R96" s="80">
        <f t="shared" si="30"/>
        <v>0</v>
      </c>
      <c r="S96" s="178">
        <v>0</v>
      </c>
      <c r="T96" s="80">
        <f t="shared" si="31"/>
        <v>0</v>
      </c>
      <c r="U96" s="178">
        <v>0</v>
      </c>
      <c r="V96" s="80">
        <f t="shared" si="32"/>
        <v>0</v>
      </c>
      <c r="X96" s="192"/>
    </row>
    <row r="97" spans="1:24" ht="12.75" customHeight="1">
      <c r="A97" s="2" t="s">
        <v>441</v>
      </c>
      <c r="B97" s="35"/>
      <c r="C97" s="178">
        <v>0</v>
      </c>
      <c r="D97" s="80">
        <f t="shared" si="23"/>
        <v>0</v>
      </c>
      <c r="E97" s="178">
        <v>0</v>
      </c>
      <c r="F97" s="80">
        <f t="shared" si="24"/>
        <v>0</v>
      </c>
      <c r="G97" s="178">
        <v>22371.5</v>
      </c>
      <c r="H97" s="80">
        <f t="shared" si="25"/>
        <v>1.3312407021719727E-2</v>
      </c>
      <c r="I97" s="178">
        <v>23034.405200000001</v>
      </c>
      <c r="J97" s="80">
        <f t="shared" si="26"/>
        <v>1.3438113773328434E-2</v>
      </c>
      <c r="K97" s="178">
        <v>23610.265329999998</v>
      </c>
      <c r="L97" s="80">
        <f t="shared" si="27"/>
        <v>1.3503986880060435E-2</v>
      </c>
      <c r="M97" s="178">
        <v>24200.521963249994</v>
      </c>
      <c r="N97" s="80">
        <f t="shared" si="28"/>
        <v>1.3570182894178376E-2</v>
      </c>
      <c r="O97" s="178">
        <v>24684.532402514993</v>
      </c>
      <c r="P97" s="80">
        <f t="shared" si="29"/>
        <v>1.3570182894178374E-2</v>
      </c>
      <c r="Q97" s="178">
        <v>25178.223050565295</v>
      </c>
      <c r="R97" s="80">
        <f t="shared" si="30"/>
        <v>1.3570182894178374E-2</v>
      </c>
      <c r="S97" s="178">
        <v>25681.787511576604</v>
      </c>
      <c r="T97" s="80">
        <f t="shared" si="31"/>
        <v>1.3570182894178376E-2</v>
      </c>
      <c r="U97" s="178">
        <v>26323.832199366014</v>
      </c>
      <c r="V97" s="80">
        <f t="shared" si="32"/>
        <v>1.36367033985616E-2</v>
      </c>
      <c r="X97" s="192"/>
    </row>
    <row r="98" spans="1:24" ht="12.75" customHeight="1">
      <c r="A98" s="117" t="s">
        <v>444</v>
      </c>
      <c r="B98" s="35"/>
      <c r="C98" s="178">
        <v>0</v>
      </c>
      <c r="D98" s="80">
        <f t="shared" si="23"/>
        <v>0</v>
      </c>
      <c r="E98" s="178">
        <v>0</v>
      </c>
      <c r="F98" s="80">
        <f t="shared" si="24"/>
        <v>0</v>
      </c>
      <c r="G98" s="178">
        <v>2016.6</v>
      </c>
      <c r="H98" s="80">
        <f t="shared" si="25"/>
        <v>1.1999999999999999E-3</v>
      </c>
      <c r="I98" s="178">
        <v>2056.9319999999998</v>
      </c>
      <c r="J98" s="80">
        <f t="shared" si="26"/>
        <v>1.1999999999999999E-3</v>
      </c>
      <c r="K98" s="178">
        <v>2098.0706399999999</v>
      </c>
      <c r="L98" s="80">
        <f t="shared" si="27"/>
        <v>1.1999999999999999E-3</v>
      </c>
      <c r="M98" s="178">
        <v>2140.0320527999997</v>
      </c>
      <c r="N98" s="80">
        <f t="shared" si="28"/>
        <v>1.1999999999999999E-3</v>
      </c>
      <c r="O98" s="178">
        <v>2182.8326938559999</v>
      </c>
      <c r="P98" s="80">
        <f t="shared" si="29"/>
        <v>1.1999999999999999E-3</v>
      </c>
      <c r="Q98" s="178">
        <v>2226.4893477331198</v>
      </c>
      <c r="R98" s="80">
        <f t="shared" si="30"/>
        <v>1.1999999999999997E-3</v>
      </c>
      <c r="S98" s="178">
        <v>2271.0191346877823</v>
      </c>
      <c r="T98" s="80">
        <f t="shared" si="31"/>
        <v>1.1999999999999997E-3</v>
      </c>
      <c r="U98" s="178">
        <v>2316.4395173815378</v>
      </c>
      <c r="V98" s="80">
        <f t="shared" si="32"/>
        <v>1.1999999999999997E-3</v>
      </c>
      <c r="X98" s="192"/>
    </row>
    <row r="99" spans="1:24" ht="12.75" customHeight="1">
      <c r="A99" s="117" t="s">
        <v>444</v>
      </c>
      <c r="B99" s="35"/>
      <c r="C99" s="178">
        <v>0</v>
      </c>
      <c r="D99" s="80">
        <f t="shared" si="23"/>
        <v>0</v>
      </c>
      <c r="E99" s="178">
        <v>0</v>
      </c>
      <c r="F99" s="80">
        <f t="shared" si="24"/>
        <v>0</v>
      </c>
      <c r="G99" s="178">
        <v>0</v>
      </c>
      <c r="H99" s="80">
        <f t="shared" si="25"/>
        <v>0</v>
      </c>
      <c r="I99" s="178">
        <v>0</v>
      </c>
      <c r="J99" s="80">
        <f t="shared" si="26"/>
        <v>0</v>
      </c>
      <c r="K99" s="178">
        <v>0</v>
      </c>
      <c r="L99" s="80">
        <f t="shared" si="27"/>
        <v>0</v>
      </c>
      <c r="M99" s="178">
        <v>0</v>
      </c>
      <c r="N99" s="80">
        <f t="shared" si="28"/>
        <v>0</v>
      </c>
      <c r="O99" s="178">
        <v>0</v>
      </c>
      <c r="P99" s="80">
        <f t="shared" si="29"/>
        <v>0</v>
      </c>
      <c r="Q99" s="178">
        <v>0</v>
      </c>
      <c r="R99" s="80">
        <f t="shared" si="30"/>
        <v>0</v>
      </c>
      <c r="S99" s="178">
        <v>0</v>
      </c>
      <c r="T99" s="80">
        <f t="shared" si="31"/>
        <v>0</v>
      </c>
      <c r="U99" s="178">
        <v>0</v>
      </c>
      <c r="V99" s="80">
        <f t="shared" si="32"/>
        <v>0</v>
      </c>
      <c r="X99" s="192"/>
    </row>
    <row r="100" spans="1:24" ht="12.75" customHeight="1">
      <c r="A100" s="117" t="s">
        <v>444</v>
      </c>
      <c r="B100" s="35"/>
      <c r="C100" s="178">
        <v>0</v>
      </c>
      <c r="D100" s="80">
        <f t="shared" si="23"/>
        <v>0</v>
      </c>
      <c r="E100" s="178">
        <v>0</v>
      </c>
      <c r="F100" s="80">
        <f t="shared" si="24"/>
        <v>0</v>
      </c>
      <c r="G100" s="178">
        <v>0</v>
      </c>
      <c r="H100" s="80">
        <f t="shared" si="25"/>
        <v>0</v>
      </c>
      <c r="I100" s="178">
        <v>0</v>
      </c>
      <c r="J100" s="80">
        <f t="shared" si="26"/>
        <v>0</v>
      </c>
      <c r="K100" s="178">
        <v>0</v>
      </c>
      <c r="L100" s="80">
        <f t="shared" si="27"/>
        <v>0</v>
      </c>
      <c r="M100" s="178">
        <v>0</v>
      </c>
      <c r="N100" s="80">
        <f t="shared" si="28"/>
        <v>0</v>
      </c>
      <c r="O100" s="178">
        <v>0</v>
      </c>
      <c r="P100" s="80">
        <f t="shared" si="29"/>
        <v>0</v>
      </c>
      <c r="Q100" s="178">
        <v>0</v>
      </c>
      <c r="R100" s="80">
        <f t="shared" si="30"/>
        <v>0</v>
      </c>
      <c r="S100" s="178">
        <v>0</v>
      </c>
      <c r="T100" s="80">
        <f t="shared" si="31"/>
        <v>0</v>
      </c>
      <c r="U100" s="178">
        <v>0</v>
      </c>
      <c r="V100" s="80">
        <f t="shared" si="32"/>
        <v>0</v>
      </c>
      <c r="X100" s="192"/>
    </row>
    <row r="101" spans="1:24" ht="12.75" customHeight="1">
      <c r="A101" s="2" t="s">
        <v>445</v>
      </c>
      <c r="B101" s="35"/>
      <c r="C101" s="178"/>
      <c r="D101" s="80">
        <f t="shared" si="23"/>
        <v>0</v>
      </c>
      <c r="E101" s="178"/>
      <c r="F101" s="80">
        <f t="shared" si="24"/>
        <v>0</v>
      </c>
      <c r="G101" s="178"/>
      <c r="H101" s="80">
        <f t="shared" si="25"/>
        <v>0</v>
      </c>
      <c r="I101" s="178">
        <v>0</v>
      </c>
      <c r="J101" s="80">
        <f t="shared" si="26"/>
        <v>0</v>
      </c>
      <c r="K101" s="178">
        <v>0</v>
      </c>
      <c r="L101" s="80">
        <f t="shared" si="27"/>
        <v>0</v>
      </c>
      <c r="M101" s="178">
        <v>0</v>
      </c>
      <c r="N101" s="80">
        <f t="shared" si="28"/>
        <v>0</v>
      </c>
      <c r="O101" s="178">
        <v>0</v>
      </c>
      <c r="P101" s="80">
        <f t="shared" si="29"/>
        <v>0</v>
      </c>
      <c r="Q101" s="178">
        <v>0</v>
      </c>
      <c r="R101" s="80">
        <f t="shared" si="30"/>
        <v>0</v>
      </c>
      <c r="S101" s="178">
        <v>0</v>
      </c>
      <c r="T101" s="80">
        <f t="shared" si="31"/>
        <v>0</v>
      </c>
      <c r="U101" s="178">
        <v>0</v>
      </c>
      <c r="V101" s="80">
        <f t="shared" si="32"/>
        <v>0</v>
      </c>
      <c r="X101" s="192"/>
    </row>
    <row r="102" spans="1:24" ht="12.75" customHeight="1">
      <c r="A102" s="117" t="s">
        <v>446</v>
      </c>
      <c r="B102" s="35"/>
      <c r="C102" s="178">
        <v>0</v>
      </c>
      <c r="D102" s="80">
        <f t="shared" si="23"/>
        <v>0</v>
      </c>
      <c r="E102" s="178">
        <v>0</v>
      </c>
      <c r="F102" s="80">
        <f t="shared" si="24"/>
        <v>0</v>
      </c>
      <c r="G102" s="178">
        <v>16805</v>
      </c>
      <c r="H102" s="80">
        <f t="shared" si="25"/>
        <v>0.01</v>
      </c>
      <c r="I102" s="178">
        <v>17141.100000000002</v>
      </c>
      <c r="J102" s="80">
        <f t="shared" si="26"/>
        <v>1.0000000000000002E-2</v>
      </c>
      <c r="K102" s="178">
        <v>17483.921999999999</v>
      </c>
      <c r="L102" s="80">
        <f t="shared" si="27"/>
        <v>0.01</v>
      </c>
      <c r="M102" s="178">
        <v>17833.600439999998</v>
      </c>
      <c r="N102" s="80">
        <f t="shared" si="28"/>
        <v>9.9999999999999985E-3</v>
      </c>
      <c r="O102" s="178">
        <v>18190.272448800002</v>
      </c>
      <c r="P102" s="80">
        <f t="shared" si="29"/>
        <v>0.01</v>
      </c>
      <c r="Q102" s="178">
        <v>18554.077897776002</v>
      </c>
      <c r="R102" s="80">
        <f t="shared" si="30"/>
        <v>0.01</v>
      </c>
      <c r="S102" s="178">
        <v>18925.159455731522</v>
      </c>
      <c r="T102" s="80">
        <f t="shared" si="31"/>
        <v>0.01</v>
      </c>
      <c r="U102" s="178">
        <v>19303.66264484615</v>
      </c>
      <c r="V102" s="80">
        <f t="shared" si="32"/>
        <v>9.9999999999999985E-3</v>
      </c>
      <c r="X102" s="192"/>
    </row>
    <row r="103" spans="1:24" ht="12.75" customHeight="1">
      <c r="A103" s="117" t="s">
        <v>446</v>
      </c>
      <c r="B103" s="35"/>
      <c r="C103" s="178">
        <v>0</v>
      </c>
      <c r="D103" s="80">
        <f t="shared" si="23"/>
        <v>0</v>
      </c>
      <c r="E103" s="178">
        <v>0</v>
      </c>
      <c r="F103" s="80">
        <f t="shared" si="24"/>
        <v>0</v>
      </c>
      <c r="G103" s="178">
        <v>0</v>
      </c>
      <c r="H103" s="80">
        <f t="shared" si="25"/>
        <v>0</v>
      </c>
      <c r="I103" s="178">
        <v>0</v>
      </c>
      <c r="J103" s="80">
        <f t="shared" si="26"/>
        <v>0</v>
      </c>
      <c r="K103" s="178">
        <v>0</v>
      </c>
      <c r="L103" s="80">
        <f t="shared" si="27"/>
        <v>0</v>
      </c>
      <c r="M103" s="178">
        <v>0</v>
      </c>
      <c r="N103" s="80">
        <f t="shared" si="28"/>
        <v>0</v>
      </c>
      <c r="O103" s="178">
        <v>0</v>
      </c>
      <c r="P103" s="80">
        <f t="shared" si="29"/>
        <v>0</v>
      </c>
      <c r="Q103" s="178">
        <v>0</v>
      </c>
      <c r="R103" s="80">
        <f t="shared" si="30"/>
        <v>0</v>
      </c>
      <c r="S103" s="178">
        <v>0</v>
      </c>
      <c r="T103" s="80">
        <f t="shared" si="31"/>
        <v>0</v>
      </c>
      <c r="U103" s="178">
        <v>0</v>
      </c>
      <c r="V103" s="80">
        <f t="shared" si="32"/>
        <v>0</v>
      </c>
      <c r="X103" s="192"/>
    </row>
    <row r="104" spans="1:24" ht="12.75" customHeight="1">
      <c r="A104" s="117" t="s">
        <v>446</v>
      </c>
      <c r="B104" s="1"/>
      <c r="C104" s="178">
        <v>0</v>
      </c>
      <c r="D104" s="80">
        <f t="shared" si="23"/>
        <v>0</v>
      </c>
      <c r="E104" s="178">
        <v>0</v>
      </c>
      <c r="F104" s="80">
        <f t="shared" si="24"/>
        <v>0</v>
      </c>
      <c r="G104" s="178">
        <v>0</v>
      </c>
      <c r="H104" s="80">
        <f t="shared" si="25"/>
        <v>0</v>
      </c>
      <c r="I104" s="178">
        <v>0</v>
      </c>
      <c r="J104" s="80">
        <f t="shared" si="26"/>
        <v>0</v>
      </c>
      <c r="K104" s="178">
        <v>0</v>
      </c>
      <c r="L104" s="80">
        <f t="shared" si="27"/>
        <v>0</v>
      </c>
      <c r="M104" s="178">
        <v>0</v>
      </c>
      <c r="N104" s="80">
        <f t="shared" si="28"/>
        <v>0</v>
      </c>
      <c r="O104" s="178">
        <v>0</v>
      </c>
      <c r="P104" s="80">
        <f t="shared" si="29"/>
        <v>0</v>
      </c>
      <c r="Q104" s="178">
        <v>0</v>
      </c>
      <c r="R104" s="80">
        <f t="shared" si="30"/>
        <v>0</v>
      </c>
      <c r="S104" s="178">
        <v>0</v>
      </c>
      <c r="T104" s="80">
        <f t="shared" si="31"/>
        <v>0</v>
      </c>
      <c r="U104" s="178">
        <v>0</v>
      </c>
      <c r="V104" s="80">
        <f t="shared" si="32"/>
        <v>0</v>
      </c>
      <c r="X104" s="192"/>
    </row>
    <row r="105" spans="1:24" ht="12.75" customHeight="1">
      <c r="A105" s="1" t="s">
        <v>447</v>
      </c>
      <c r="B105" s="53"/>
      <c r="C105" s="82">
        <f>SUM(C52:C104)</f>
        <v>0</v>
      </c>
      <c r="D105" s="83">
        <f t="shared" ref="D105" si="33">IFERROR(C105/C$28,0)</f>
        <v>0</v>
      </c>
      <c r="E105" s="82">
        <f>SUM(E52:E104)</f>
        <v>0</v>
      </c>
      <c r="F105" s="83">
        <f t="shared" ref="F105" si="34">IFERROR(E105/E$28,0)</f>
        <v>0</v>
      </c>
      <c r="G105" s="82">
        <f>SUM(G52:G104)</f>
        <v>177354.96762648228</v>
      </c>
      <c r="H105" s="83">
        <f t="shared" ref="H105" si="35">IFERROR(G105/G$28,0)</f>
        <v>0.10553702328264343</v>
      </c>
      <c r="I105" s="82">
        <f>SUM(I52:I104)</f>
        <v>181171.30417486248</v>
      </c>
      <c r="J105" s="83">
        <f t="shared" ref="J105" si="36">IFERROR(I105/I$28,0)</f>
        <v>0.10569409441334715</v>
      </c>
      <c r="K105" s="82">
        <f>SUM(K52:K104)</f>
        <v>184843.9150539707</v>
      </c>
      <c r="L105" s="83">
        <f t="shared" ref="L105" si="37">IFERROR(K105/K$28,0)</f>
        <v>0.10572222585640151</v>
      </c>
      <c r="M105" s="82">
        <f>SUM(M52:M104)</f>
        <v>188695.54957679781</v>
      </c>
      <c r="N105" s="83">
        <f t="shared" ref="N105" si="38">IFERROR(M105/M$28,0)</f>
        <v>0.10580900374641219</v>
      </c>
      <c r="O105" s="82">
        <f>SUM(O52:O104)</f>
        <v>192515.32012530242</v>
      </c>
      <c r="P105" s="83">
        <f t="shared" ref="P105" si="39">IFERROR(O105/O$28,0)</f>
        <v>0.10583421478000045</v>
      </c>
      <c r="Q105" s="82">
        <f>SUM(Q52:Q104)</f>
        <v>196432.39882444902</v>
      </c>
      <c r="R105" s="83">
        <f t="shared" ref="R105" si="40">IFERROR(Q105/Q$28,0)</f>
        <v>0.1058702027159186</v>
      </c>
      <c r="S105" s="82">
        <f>SUM(S52:S104)</f>
        <v>200427.49115611159</v>
      </c>
      <c r="T105" s="83">
        <f t="shared" ref="T105" si="41">IFERROR(S105/S$28,0)</f>
        <v>0.10590531172270345</v>
      </c>
      <c r="U105" s="82">
        <f>SUM(U52:U104)</f>
        <v>204636.8713387982</v>
      </c>
      <c r="V105" s="83">
        <f t="shared" si="32"/>
        <v>0.10600934916018842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448</v>
      </c>
      <c r="B107" s="53"/>
      <c r="C107" s="82">
        <f>C28-C33-C46-C105</f>
        <v>0</v>
      </c>
      <c r="D107" s="83">
        <f>IFERROR(C107/C$28,0)</f>
        <v>0</v>
      </c>
      <c r="E107" s="82">
        <f>E28-E33-E46-E105</f>
        <v>0</v>
      </c>
      <c r="F107" s="83">
        <f>IFERROR(E107/E$28,0)</f>
        <v>0</v>
      </c>
      <c r="G107" s="82">
        <f>G28-G33-G46-G105</f>
        <v>336153.03237351775</v>
      </c>
      <c r="H107" s="83">
        <f>IFERROR(G107/G$28,0)</f>
        <v>0.2000315574968865</v>
      </c>
      <c r="I107" s="82">
        <f>I28-I33-I46-I105</f>
        <v>336916.11982513755</v>
      </c>
      <c r="J107" s="83">
        <f>IFERROR(I107/I$28,0)</f>
        <v>0.19655455007271269</v>
      </c>
      <c r="K107" s="82">
        <f>K28-K33-K46-K105</f>
        <v>340539.1315460293</v>
      </c>
      <c r="L107" s="83">
        <f>IFERROR(K107/K$28,0)</f>
        <v>0.19477273551439392</v>
      </c>
      <c r="M107" s="82">
        <f>M28-M33-M46-M105</f>
        <v>344052.37892820238</v>
      </c>
      <c r="N107" s="83">
        <f>IFERROR(M107/M$28,0)</f>
        <v>0.19292367802325977</v>
      </c>
      <c r="O107" s="82">
        <f>O28-O33-O46-O105</f>
        <v>350887.56694979779</v>
      </c>
      <c r="P107" s="83">
        <f>IFERROR(O107/O$28,0)</f>
        <v>0.1928984669896715</v>
      </c>
      <c r="Q107" s="82">
        <f>Q28-Q33-Q46-Q105</f>
        <v>357838.54599215335</v>
      </c>
      <c r="R107" s="83">
        <f>IFERROR(Q107/Q$28,0)</f>
        <v>0.19286247905375342</v>
      </c>
      <c r="S107" s="82">
        <f>S28-S33-S46-S105</f>
        <v>364928.87255682249</v>
      </c>
      <c r="T107" s="83">
        <f>IFERROR(S107/S$28,0)</f>
        <v>0.19282737004696837</v>
      </c>
      <c r="U107" s="82">
        <f>U28-U33-U46-U105</f>
        <v>458608.09884656814</v>
      </c>
      <c r="V107" s="83">
        <f>IFERROR(U107/U$28,0)</f>
        <v>0.2375756908334756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449</v>
      </c>
      <c r="B110" s="40"/>
      <c r="C110" s="86" t="str">
        <f>C50</f>
        <v>FY 2018-19</v>
      </c>
      <c r="D110" s="86" t="s">
        <v>366</v>
      </c>
      <c r="E110" s="86" t="str">
        <f>E50</f>
        <v>FY 2019-20</v>
      </c>
      <c r="F110" s="86" t="s">
        <v>366</v>
      </c>
      <c r="G110" s="86" t="str">
        <f>G50</f>
        <v>FY 2020-21</v>
      </c>
      <c r="H110" s="86" t="s">
        <v>366</v>
      </c>
      <c r="I110" s="86" t="str">
        <f>I50</f>
        <v>FY 2021-22</v>
      </c>
      <c r="J110" s="86" t="s">
        <v>366</v>
      </c>
      <c r="K110" s="86" t="str">
        <f>K50</f>
        <v>FY 2022-23</v>
      </c>
      <c r="L110" s="86" t="s">
        <v>366</v>
      </c>
      <c r="M110" s="86" t="str">
        <f>M50</f>
        <v>FY 2023-24</v>
      </c>
      <c r="N110" s="86" t="s">
        <v>366</v>
      </c>
      <c r="O110" s="86" t="str">
        <f>O50</f>
        <v>FY 2024-25</v>
      </c>
      <c r="P110" s="86" t="s">
        <v>366</v>
      </c>
      <c r="Q110" s="86" t="str">
        <f>Q50</f>
        <v>FY 2025-26</v>
      </c>
      <c r="R110" s="86" t="s">
        <v>366</v>
      </c>
      <c r="S110" s="86" t="str">
        <f>S50</f>
        <v>FY 2026-27</v>
      </c>
      <c r="T110" s="86" t="s">
        <v>366</v>
      </c>
      <c r="U110" s="86" t="str">
        <f>U50</f>
        <v>FY 2027-28</v>
      </c>
      <c r="V110" s="86" t="s">
        <v>366</v>
      </c>
    </row>
    <row r="111" spans="1:24" ht="12.75" customHeight="1">
      <c r="A111" s="2" t="s">
        <v>403</v>
      </c>
      <c r="B111" s="35"/>
      <c r="C111" s="79">
        <f>C59</f>
        <v>0</v>
      </c>
      <c r="D111" s="80">
        <f t="shared" ref="D111:D116" si="42">IFERROR(C111/C$28,0)</f>
        <v>0</v>
      </c>
      <c r="E111" s="79">
        <f>E59</f>
        <v>0</v>
      </c>
      <c r="F111" s="80">
        <f t="shared" ref="F111:F116" si="43">IFERROR(E111/E$28,0)</f>
        <v>0</v>
      </c>
      <c r="G111" s="79">
        <f>G59</f>
        <v>0</v>
      </c>
      <c r="H111" s="80">
        <f t="shared" ref="H111:H116" si="44">IFERROR(G111/G$28,0)</f>
        <v>0</v>
      </c>
      <c r="I111" s="79">
        <f>I59</f>
        <v>0</v>
      </c>
      <c r="J111" s="80">
        <f t="shared" ref="J111:J116" si="45">IFERROR(I111/I$28,0)</f>
        <v>0</v>
      </c>
      <c r="K111" s="79">
        <f>K59</f>
        <v>0</v>
      </c>
      <c r="L111" s="80">
        <f t="shared" ref="L111:L116" si="46">IFERROR(K111/K$28,0)</f>
        <v>0</v>
      </c>
      <c r="M111" s="79">
        <f>M59</f>
        <v>0</v>
      </c>
      <c r="N111" s="80">
        <f t="shared" ref="N111:N116" si="47">IFERROR(M111/M$28,0)</f>
        <v>0</v>
      </c>
      <c r="O111" s="79">
        <f>O59</f>
        <v>0</v>
      </c>
      <c r="P111" s="80">
        <f t="shared" ref="P111:P116" si="48">IFERROR(O111/O$28,0)</f>
        <v>0</v>
      </c>
      <c r="Q111" s="79">
        <f>Q59</f>
        <v>0</v>
      </c>
      <c r="R111" s="80">
        <f t="shared" ref="R111:R116" si="49">IFERROR(Q111/Q$28,0)</f>
        <v>0</v>
      </c>
      <c r="S111" s="79">
        <f>S59</f>
        <v>0</v>
      </c>
      <c r="T111" s="80">
        <f t="shared" ref="T111:T116" si="50">IFERROR(S111/S$28,0)</f>
        <v>0</v>
      </c>
      <c r="U111" s="79">
        <f>U59</f>
        <v>0</v>
      </c>
      <c r="V111" s="80">
        <f t="shared" ref="V111:V116" si="51">IFERROR(U111/U$28,0)</f>
        <v>0</v>
      </c>
    </row>
    <row r="112" spans="1:24" ht="12.75" customHeight="1">
      <c r="A112" s="2" t="s">
        <v>450</v>
      </c>
      <c r="B112" s="35"/>
      <c r="C112" s="79">
        <f>C62</f>
        <v>0</v>
      </c>
      <c r="D112" s="80">
        <f t="shared" si="42"/>
        <v>0</v>
      </c>
      <c r="E112" s="79">
        <f>E62</f>
        <v>0</v>
      </c>
      <c r="F112" s="80">
        <f t="shared" si="43"/>
        <v>0</v>
      </c>
      <c r="G112" s="79">
        <f>G62</f>
        <v>0</v>
      </c>
      <c r="H112" s="80">
        <f t="shared" si="44"/>
        <v>0</v>
      </c>
      <c r="I112" s="79">
        <f>I62</f>
        <v>0</v>
      </c>
      <c r="J112" s="80">
        <f t="shared" si="45"/>
        <v>0</v>
      </c>
      <c r="K112" s="79">
        <f>K62</f>
        <v>0</v>
      </c>
      <c r="L112" s="80">
        <f t="shared" si="46"/>
        <v>0</v>
      </c>
      <c r="M112" s="79">
        <f>M62</f>
        <v>0</v>
      </c>
      <c r="N112" s="80">
        <f t="shared" si="47"/>
        <v>0</v>
      </c>
      <c r="O112" s="79">
        <f>O62</f>
        <v>0</v>
      </c>
      <c r="P112" s="80">
        <f t="shared" si="48"/>
        <v>0</v>
      </c>
      <c r="Q112" s="79">
        <f>Q62</f>
        <v>0</v>
      </c>
      <c r="R112" s="80">
        <f t="shared" si="49"/>
        <v>0</v>
      </c>
      <c r="S112" s="79">
        <f>S62</f>
        <v>0</v>
      </c>
      <c r="T112" s="80">
        <f t="shared" si="50"/>
        <v>0</v>
      </c>
      <c r="U112" s="79">
        <f>U62</f>
        <v>0</v>
      </c>
      <c r="V112" s="80">
        <f t="shared" si="51"/>
        <v>0</v>
      </c>
    </row>
    <row r="113" spans="1:22" ht="12.75" customHeight="1">
      <c r="A113" s="117" t="s">
        <v>446</v>
      </c>
      <c r="B113" s="41"/>
      <c r="C113" s="111">
        <v>0</v>
      </c>
      <c r="D113" s="80">
        <f t="shared" si="42"/>
        <v>0</v>
      </c>
      <c r="E113" s="111">
        <v>0</v>
      </c>
      <c r="F113" s="80">
        <f t="shared" si="43"/>
        <v>0</v>
      </c>
      <c r="G113" s="111">
        <v>0</v>
      </c>
      <c r="H113" s="80">
        <f t="shared" si="44"/>
        <v>0</v>
      </c>
      <c r="I113" s="111">
        <v>0</v>
      </c>
      <c r="J113" s="80">
        <f t="shared" si="45"/>
        <v>0</v>
      </c>
      <c r="K113" s="111">
        <v>0</v>
      </c>
      <c r="L113" s="80">
        <f t="shared" si="46"/>
        <v>0</v>
      </c>
      <c r="M113" s="111">
        <v>0</v>
      </c>
      <c r="N113" s="80">
        <f t="shared" si="47"/>
        <v>0</v>
      </c>
      <c r="O113" s="111">
        <v>0</v>
      </c>
      <c r="P113" s="80">
        <f t="shared" si="48"/>
        <v>0</v>
      </c>
      <c r="Q113" s="111">
        <v>0</v>
      </c>
      <c r="R113" s="80">
        <f t="shared" si="49"/>
        <v>0</v>
      </c>
      <c r="S113" s="111">
        <v>0</v>
      </c>
      <c r="T113" s="80">
        <f t="shared" si="50"/>
        <v>0</v>
      </c>
      <c r="U113" s="111">
        <v>0</v>
      </c>
      <c r="V113" s="80">
        <f t="shared" si="51"/>
        <v>0</v>
      </c>
    </row>
    <row r="114" spans="1:22" ht="12.75" customHeight="1">
      <c r="A114" s="117" t="s">
        <v>446</v>
      </c>
      <c r="B114" s="41"/>
      <c r="C114" s="111">
        <v>0</v>
      </c>
      <c r="D114" s="80">
        <f t="shared" si="42"/>
        <v>0</v>
      </c>
      <c r="E114" s="111">
        <v>0</v>
      </c>
      <c r="F114" s="80">
        <f t="shared" si="43"/>
        <v>0</v>
      </c>
      <c r="G114" s="111">
        <v>0</v>
      </c>
      <c r="H114" s="80">
        <f t="shared" si="44"/>
        <v>0</v>
      </c>
      <c r="I114" s="111">
        <v>0</v>
      </c>
      <c r="J114" s="80">
        <f t="shared" si="45"/>
        <v>0</v>
      </c>
      <c r="K114" s="111">
        <v>0</v>
      </c>
      <c r="L114" s="80">
        <f t="shared" si="46"/>
        <v>0</v>
      </c>
      <c r="M114" s="111">
        <v>0</v>
      </c>
      <c r="N114" s="80">
        <f t="shared" si="47"/>
        <v>0</v>
      </c>
      <c r="O114" s="111">
        <v>0</v>
      </c>
      <c r="P114" s="80">
        <f t="shared" si="48"/>
        <v>0</v>
      </c>
      <c r="Q114" s="111">
        <v>0</v>
      </c>
      <c r="R114" s="80">
        <f t="shared" si="49"/>
        <v>0</v>
      </c>
      <c r="S114" s="111">
        <v>0</v>
      </c>
      <c r="T114" s="80">
        <f t="shared" si="50"/>
        <v>0</v>
      </c>
      <c r="U114" s="111">
        <v>0</v>
      </c>
      <c r="V114" s="80">
        <f t="shared" si="51"/>
        <v>0</v>
      </c>
    </row>
    <row r="115" spans="1:22" ht="12.75" customHeight="1">
      <c r="A115" s="117" t="s">
        <v>446</v>
      </c>
      <c r="B115" s="41"/>
      <c r="C115" s="112">
        <v>0</v>
      </c>
      <c r="D115" s="80">
        <f t="shared" si="42"/>
        <v>0</v>
      </c>
      <c r="E115" s="112">
        <v>0</v>
      </c>
      <c r="F115" s="80">
        <f t="shared" si="43"/>
        <v>0</v>
      </c>
      <c r="G115" s="112">
        <v>0</v>
      </c>
      <c r="H115" s="80">
        <f t="shared" si="44"/>
        <v>0</v>
      </c>
      <c r="I115" s="112">
        <v>0</v>
      </c>
      <c r="J115" s="80">
        <f t="shared" si="45"/>
        <v>0</v>
      </c>
      <c r="K115" s="112">
        <v>0</v>
      </c>
      <c r="L115" s="80">
        <f t="shared" si="46"/>
        <v>0</v>
      </c>
      <c r="M115" s="112">
        <v>0</v>
      </c>
      <c r="N115" s="80">
        <f t="shared" si="47"/>
        <v>0</v>
      </c>
      <c r="O115" s="112">
        <v>0</v>
      </c>
      <c r="P115" s="80">
        <f t="shared" si="48"/>
        <v>0</v>
      </c>
      <c r="Q115" s="112">
        <v>0</v>
      </c>
      <c r="R115" s="80">
        <f t="shared" si="49"/>
        <v>0</v>
      </c>
      <c r="S115" s="112">
        <v>0</v>
      </c>
      <c r="T115" s="80">
        <f t="shared" si="50"/>
        <v>0</v>
      </c>
      <c r="U115" s="112">
        <v>0</v>
      </c>
      <c r="V115" s="80">
        <f t="shared" si="51"/>
        <v>0</v>
      </c>
    </row>
    <row r="116" spans="1:22" ht="12.75" customHeight="1">
      <c r="A116" s="40" t="s">
        <v>451</v>
      </c>
      <c r="B116" s="42"/>
      <c r="C116" s="85">
        <f>SUM(C111:C115)</f>
        <v>0</v>
      </c>
      <c r="D116" s="83">
        <f t="shared" si="42"/>
        <v>0</v>
      </c>
      <c r="E116" s="85">
        <f>SUM(E111:E115)</f>
        <v>0</v>
      </c>
      <c r="F116" s="83">
        <f t="shared" si="43"/>
        <v>0</v>
      </c>
      <c r="G116" s="85">
        <f>SUM(G111:G115)</f>
        <v>0</v>
      </c>
      <c r="H116" s="83">
        <f t="shared" si="44"/>
        <v>0</v>
      </c>
      <c r="I116" s="85">
        <f>SUM(I111:I115)</f>
        <v>0</v>
      </c>
      <c r="J116" s="83">
        <f t="shared" si="45"/>
        <v>0</v>
      </c>
      <c r="K116" s="85">
        <f>SUM(K111:K115)</f>
        <v>0</v>
      </c>
      <c r="L116" s="83">
        <f t="shared" si="46"/>
        <v>0</v>
      </c>
      <c r="M116" s="85">
        <f>SUM(M111:M115)</f>
        <v>0</v>
      </c>
      <c r="N116" s="83">
        <f t="shared" si="47"/>
        <v>0</v>
      </c>
      <c r="O116" s="85">
        <f>SUM(O111:O115)</f>
        <v>0</v>
      </c>
      <c r="P116" s="83">
        <f t="shared" si="48"/>
        <v>0</v>
      </c>
      <c r="Q116" s="85">
        <f>SUM(Q111:Q115)</f>
        <v>0</v>
      </c>
      <c r="R116" s="83">
        <f t="shared" si="49"/>
        <v>0</v>
      </c>
      <c r="S116" s="85">
        <f>SUM(S111:S115)</f>
        <v>0</v>
      </c>
      <c r="T116" s="83">
        <f t="shared" si="50"/>
        <v>0</v>
      </c>
      <c r="U116" s="85">
        <f>SUM(U111:U115)</f>
        <v>0</v>
      </c>
      <c r="V116" s="83">
        <f t="shared" si="51"/>
        <v>0</v>
      </c>
    </row>
    <row r="118" spans="1:22" ht="12.75" customHeight="1">
      <c r="A118" s="43" t="s">
        <v>452</v>
      </c>
      <c r="B118" s="43"/>
    </row>
    <row r="119" spans="1:22" ht="12.75" customHeight="1">
      <c r="A119" s="47" t="s">
        <v>453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7" tint="-0.249977111117893"/>
  </sheetPr>
  <dimension ref="A1:V119"/>
  <sheetViews>
    <sheetView topLeftCell="A12" zoomScale="70" zoomScaleNormal="70" workbookViewId="0" xr3:uid="{2DFAA6B7-64D6-5785-A35B-5A71D07F531F}">
      <selection activeCell="G28" sqref="G28"/>
    </sheetView>
  </sheetViews>
  <sheetFormatPr defaultColWidth="9.140625" defaultRowHeight="12.75" customHeight="1"/>
  <cols>
    <col min="1" max="1" width="9.5703125" style="2" customWidth="1"/>
    <col min="2" max="2" width="43.42578125" style="2" customWidth="1"/>
    <col min="3" max="3" width="15.140625" style="2" customWidth="1"/>
    <col min="4" max="4" width="8.7109375" style="2" customWidth="1"/>
    <col min="5" max="5" width="16" style="2" customWidth="1"/>
    <col min="6" max="6" width="8.7109375" style="2" customWidth="1"/>
    <col min="7" max="7" width="16.5703125" style="2" customWidth="1"/>
    <col min="8" max="8" width="8.7109375" style="2" customWidth="1"/>
    <col min="9" max="9" width="19.4257812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513</v>
      </c>
      <c r="B1" s="1"/>
    </row>
    <row r="2" spans="1:22" ht="12.75" customHeight="1">
      <c r="A2" s="1" t="s">
        <v>1</v>
      </c>
      <c r="B2" s="1"/>
      <c r="D2" s="118" t="s">
        <v>355</v>
      </c>
      <c r="G2" s="33" t="s">
        <v>514</v>
      </c>
      <c r="H2" s="34"/>
      <c r="I2" s="34"/>
      <c r="V2" s="32"/>
    </row>
    <row r="3" spans="1:22" ht="12.75" customHeight="1">
      <c r="A3" s="1" t="s">
        <v>357</v>
      </c>
      <c r="D3" s="118" t="s">
        <v>358</v>
      </c>
      <c r="G3" s="158"/>
      <c r="H3" s="159"/>
      <c r="I3" s="159"/>
      <c r="V3" s="32"/>
    </row>
    <row r="4" spans="1:22" ht="12.75" customHeight="1">
      <c r="A4" s="1" t="s">
        <v>359</v>
      </c>
      <c r="B4" s="129" t="s">
        <v>221</v>
      </c>
      <c r="D4" s="118" t="s">
        <v>360</v>
      </c>
      <c r="G4" s="158"/>
      <c r="H4" s="159"/>
      <c r="I4" s="159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89" t="s">
        <v>361</v>
      </c>
      <c r="B7" s="89"/>
      <c r="C7" s="90"/>
      <c r="D7" s="90"/>
      <c r="E7" s="90"/>
      <c r="F7" s="90"/>
      <c r="G7" s="90"/>
      <c r="H7" s="90"/>
      <c r="I7" s="90"/>
      <c r="J7" s="90"/>
      <c r="K7" s="90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</row>
    <row r="8" spans="1:22" ht="12.75" customHeight="1">
      <c r="A8" s="90" t="s">
        <v>362</v>
      </c>
      <c r="B8" s="90"/>
      <c r="C8" s="91"/>
      <c r="D8" s="90"/>
      <c r="E8" s="91"/>
      <c r="F8" s="90"/>
      <c r="G8" s="91"/>
      <c r="H8" s="90"/>
      <c r="I8" s="91"/>
      <c r="J8" s="90"/>
      <c r="K8" s="91"/>
      <c r="L8" s="90"/>
      <c r="M8" s="91"/>
      <c r="N8" s="90"/>
      <c r="O8" s="91"/>
      <c r="P8" s="90"/>
      <c r="Q8" s="91"/>
      <c r="R8" s="90"/>
      <c r="S8" s="91"/>
      <c r="T8" s="90"/>
      <c r="U8" s="91"/>
      <c r="V8" s="90"/>
    </row>
    <row r="9" spans="1:22" ht="12.75" customHeight="1">
      <c r="A9" s="90"/>
      <c r="B9" s="90"/>
      <c r="C9" s="90"/>
      <c r="D9" s="90"/>
      <c r="E9" s="90"/>
      <c r="F9" s="90"/>
      <c r="G9" s="90"/>
      <c r="H9" s="90"/>
      <c r="I9" s="90"/>
      <c r="J9" s="90"/>
      <c r="K9" s="90"/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</row>
    <row r="10" spans="1:22" ht="12.75" customHeight="1">
      <c r="A10" s="90" t="s">
        <v>462</v>
      </c>
      <c r="B10" s="90"/>
      <c r="C10" s="91"/>
      <c r="D10" s="90"/>
      <c r="E10" s="91"/>
      <c r="F10" s="90"/>
      <c r="G10" s="91"/>
      <c r="H10" s="90"/>
      <c r="I10" s="91"/>
      <c r="J10" s="90"/>
      <c r="K10" s="91"/>
      <c r="L10" s="90"/>
      <c r="M10" s="91"/>
      <c r="N10" s="90"/>
      <c r="O10" s="91"/>
      <c r="P10" s="90"/>
      <c r="Q10" s="91"/>
      <c r="R10" s="90"/>
      <c r="S10" s="91"/>
      <c r="T10" s="90"/>
      <c r="U10" s="91"/>
      <c r="V10" s="90"/>
    </row>
    <row r="11" spans="1:22" ht="12.75" customHeight="1">
      <c r="A11" s="90"/>
      <c r="B11" s="90"/>
      <c r="C11" s="90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1:22" ht="12.75" customHeight="1">
      <c r="A12" s="90" t="s">
        <v>463</v>
      </c>
      <c r="B12" s="90"/>
      <c r="C12" s="92"/>
      <c r="D12" s="90"/>
      <c r="E12" s="92"/>
      <c r="F12" s="90"/>
      <c r="G12" s="92"/>
      <c r="H12" s="90"/>
      <c r="I12" s="92"/>
      <c r="J12" s="90"/>
      <c r="K12" s="92"/>
      <c r="L12" s="90"/>
      <c r="M12" s="92"/>
      <c r="N12" s="90"/>
      <c r="O12" s="92"/>
      <c r="P12" s="90"/>
      <c r="Q12" s="92"/>
      <c r="R12" s="90"/>
      <c r="S12" s="92"/>
      <c r="T12" s="90"/>
      <c r="U12" s="92"/>
      <c r="V12" s="90"/>
    </row>
    <row r="13" spans="1:22" ht="12.75" customHeight="1">
      <c r="A13" s="90"/>
      <c r="B13" s="90"/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1:22" ht="12.75" customHeight="1">
      <c r="A14" s="90" t="s">
        <v>464</v>
      </c>
      <c r="B14" s="90"/>
      <c r="C14" s="124">
        <f>C12*C10*C8</f>
        <v>0</v>
      </c>
      <c r="D14" s="90"/>
      <c r="E14" s="124">
        <f>E12*E10*E8</f>
        <v>0</v>
      </c>
      <c r="F14" s="90"/>
      <c r="G14" s="124">
        <f>G12*G10*G8</f>
        <v>0</v>
      </c>
      <c r="H14" s="90"/>
      <c r="I14" s="124">
        <f>I12*I10*I8</f>
        <v>0</v>
      </c>
      <c r="J14" s="90"/>
      <c r="K14" s="124">
        <f>K12*K10*K8</f>
        <v>0</v>
      </c>
      <c r="L14" s="90"/>
      <c r="M14" s="124">
        <f>M12*M10*M8</f>
        <v>0</v>
      </c>
      <c r="N14" s="90"/>
      <c r="O14" s="124">
        <f>O12*O10*O8</f>
        <v>0</v>
      </c>
      <c r="P14" s="90"/>
      <c r="Q14" s="124">
        <f>Q12*Q10*Q8</f>
        <v>0</v>
      </c>
      <c r="R14" s="90"/>
      <c r="S14" s="124">
        <f>S12*S10*S8</f>
        <v>0</v>
      </c>
      <c r="T14" s="90"/>
      <c r="U14" s="124">
        <f>U12*U10*U8</f>
        <v>0</v>
      </c>
      <c r="V14" s="90"/>
    </row>
    <row r="16" spans="1:22" ht="12.75" customHeight="1">
      <c r="B16" s="35"/>
      <c r="C16" s="86" t="str">
        <f>C6</f>
        <v>FY 2018-19</v>
      </c>
      <c r="D16" s="86" t="s">
        <v>366</v>
      </c>
      <c r="E16" s="86" t="str">
        <f>E6</f>
        <v>FY 2019-20</v>
      </c>
      <c r="F16" s="86" t="s">
        <v>366</v>
      </c>
      <c r="G16" s="86" t="str">
        <f>G6</f>
        <v>FY 2020-21</v>
      </c>
      <c r="H16" s="86" t="s">
        <v>366</v>
      </c>
      <c r="I16" s="86" t="str">
        <f>I6</f>
        <v>FY 2021-22</v>
      </c>
      <c r="J16" s="86" t="s">
        <v>366</v>
      </c>
      <c r="K16" s="86" t="str">
        <f>K6</f>
        <v>FY 2022-23</v>
      </c>
      <c r="L16" s="86" t="s">
        <v>366</v>
      </c>
      <c r="M16" s="86" t="str">
        <f>M6</f>
        <v>FY 2023-24</v>
      </c>
      <c r="N16" s="86" t="s">
        <v>366</v>
      </c>
      <c r="O16" s="86" t="str">
        <f>O6</f>
        <v>FY 2024-25</v>
      </c>
      <c r="P16" s="86" t="s">
        <v>366</v>
      </c>
      <c r="Q16" s="86" t="str">
        <f>Q6</f>
        <v>FY 2025-26</v>
      </c>
      <c r="R16" s="86" t="s">
        <v>366</v>
      </c>
      <c r="S16" s="86" t="str">
        <f>S6</f>
        <v>FY 2026-27</v>
      </c>
      <c r="T16" s="86" t="s">
        <v>366</v>
      </c>
      <c r="U16" s="86" t="str">
        <f>U6</f>
        <v>FY 2027-28</v>
      </c>
      <c r="V16" s="86" t="s">
        <v>366</v>
      </c>
    </row>
    <row r="17" spans="1:22" ht="12.75" customHeight="1">
      <c r="A17" s="1" t="s">
        <v>367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2" ht="12.75" customHeight="1">
      <c r="A18" s="2" t="s">
        <v>368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</row>
    <row r="19" spans="1:22" ht="12.75" customHeight="1">
      <c r="A19" s="2" t="s">
        <v>369</v>
      </c>
      <c r="B19" s="35"/>
      <c r="C19" s="79">
        <f>'POD Breezeway'!C19+'Express GL'!C19+'Starbucks GL-SBX Truck'!C19+'Miro''s'!C19+'Faculty Club'!C19+'Almazar &amp; Brand X'!C19+'Burger King'!C19+Bustelo!C19+Chilis!C19+Einstein!C19+Jamba!C19+'Pollo Tropical'!C19+'Subway GC'!C19+'Sushi Maki'!C19+Panda!C19+'Starbucks Mango'!C19+'Taco Bell'!C19+'Chick-fil-A'!C19+Dunkin!C19+Chipotle!C19+Sergios!C19+'Moes PG5'!C19+'Papa Johns'!C19+Salad!C19+'Half Moon &amp; Trop Smoothie'!C19+'Athletic Concessions -Kitchen'!C19+'Starbucks BBC'!C19+'Moes BBC'!C19+'Grille Works BBC &amp; Shipping'!C19+'Subway BBC'!C19+'Market Pavillion'!C19+'Chic Fil A BBC'!C19+Panera!C19+'Heritage Market'!C19</f>
        <v>13427796.656115999</v>
      </c>
      <c r="D19" s="80">
        <f>IFERROR(C19/C$28,0)</f>
        <v>0.84709412181195309</v>
      </c>
      <c r="E19" s="79">
        <f>'POD Breezeway'!E19+'Express GL'!E19+'Starbucks GL-SBX Truck'!E19+'Miro''s'!E19+'Faculty Club'!E19+'Almazar &amp; Brand X'!E19+'Burger King'!E19+Bustelo!E19+Chilis!E19+Einstein!E19+Jamba!E19+'Pollo Tropical'!E19+'Subway GC'!E19+'Sushi Maki'!E19+Panda!E19+'Starbucks Mango'!E19+'Taco Bell'!E19+'Chick-fil-A'!E19+Dunkin!E19+Chipotle!E19+Sergios!E19+'Moes PG5'!E19+'Papa Johns'!E19+Salad!E19+'Half Moon &amp; Trop Smoothie'!E19+'Athletic Concessions -Kitchen'!E19+'Starbucks BBC'!E19+'Moes BBC'!E19+'Grille Works BBC &amp; Shipping'!E19+'Subway BBC'!E19+'Market Pavillion'!E19+'Chic Fil A BBC'!E19+Panera!E19+'Heritage Market'!E19</f>
        <v>14976710</v>
      </c>
      <c r="F19" s="80">
        <f>IFERROR(E19/E$28,0)</f>
        <v>0.79620783590645239</v>
      </c>
      <c r="G19" s="79">
        <f>'POD Breezeway'!G19+'Express GL'!G19+'Starbucks GL-SBX Truck'!G19+'Miro''s'!G19+'Faculty Club'!G19+'Almazar &amp; Brand X'!G19+'Burger King'!G19+Bustelo!G19+Chilis!G19+Einstein!G19+Jamba!G19+'Pollo Tropical'!G19+'Subway GC'!G19+'Sushi Maki'!G19+Panda!G19+'Starbucks Mango'!G19+'Taco Bell'!G19+'Chick-fil-A'!G19+Dunkin!G19+Chipotle!G19+Sergios!G19+'Moes PG5'!G19+'Papa Johns'!G19+Salad!G19+'Half Moon &amp; Trop Smoothie'!G19+'Athletic Concessions -Kitchen'!G19+'Starbucks BBC'!G19+'Moes BBC'!G19+'Grille Works BBC &amp; Shipping'!G19+'Subway BBC'!G19+'Market Pavillion'!G19+'Chic Fil A BBC'!G19+Panera!G19+'Heritage Market'!G19</f>
        <v>16177574.689999999</v>
      </c>
      <c r="H19" s="80">
        <f>IFERROR(G19/G$28,0)</f>
        <v>0.78387860012967525</v>
      </c>
      <c r="I19" s="79">
        <f>'POD Breezeway'!I19+'Express GL'!I19+'Starbucks GL-SBX Truck'!I19+'Miro''s'!I19+'Faculty Club'!I19+'Almazar &amp; Brand X'!I19+'Burger King'!I19+Bustelo!I19+Chilis!I19+Einstein!I19+Jamba!I19+'Pollo Tropical'!I19+'Subway GC'!I19+'Sushi Maki'!I19+Panda!I19+'Starbucks Mango'!I19+'Taco Bell'!I19+'Chick-fil-A'!I19+Dunkin!I19+Chipotle!I19+Sergios!I19+'Moes PG5'!I19+'Papa Johns'!I19+Salad!I19+'Half Moon &amp; Trop Smoothie'!I19+'Athletic Concessions -Kitchen'!I19+'Starbucks BBC'!I19+'Moes BBC'!I19+'Grille Works BBC &amp; Shipping'!I19+'Subway BBC'!I19+'Market Pavillion'!I19+'Chic Fil A BBC'!I19+Panera!I19+'Heritage Market'!I19</f>
        <v>16842810.316099998</v>
      </c>
      <c r="J19" s="80">
        <f>IFERROR(I19/I$28,0)</f>
        <v>0.78636110855863983</v>
      </c>
      <c r="K19" s="79">
        <f>'POD Breezeway'!K19+'Express GL'!K19+'Starbucks GL-SBX Truck'!K19+'Miro''s'!K19+'Faculty Club'!K19+'Almazar &amp; Brand X'!K19+'Burger King'!K19+Bustelo!K19+Chilis!K19+Einstein!K19+Jamba!K19+'Pollo Tropical'!K19+'Subway GC'!K19+'Sushi Maki'!K19+Panda!K19+'Starbucks Mango'!K19+'Taco Bell'!K19+'Chick-fil-A'!K19+Dunkin!K19+Chipotle!K19+Sergios!K19+'Moes PG5'!K19+'Papa Johns'!K19+Salad!K19+'Half Moon &amp; Trop Smoothie'!K19+'Athletic Concessions -Kitchen'!K19+'Starbucks BBC'!K19+'Moes BBC'!K19+'Grille Works BBC &amp; Shipping'!K19+'Subway BBC'!K19+'Market Pavillion'!K19+'Chic Fil A BBC'!K19+Panera!K19+'Heritage Market'!K19</f>
        <v>17376760.765805002</v>
      </c>
      <c r="L19" s="80">
        <f>IFERROR(K19/K$28,0)</f>
        <v>0.78747014350304945</v>
      </c>
      <c r="M19" s="79">
        <f>'POD Breezeway'!M19+'Express GL'!M19+'Starbucks GL-SBX Truck'!M19+'Miro''s'!M19+'Faculty Club'!M19+'Almazar &amp; Brand X'!M19+'Burger King'!M19+Bustelo!M19+Chilis!M19+Einstein!M19+Jamba!M19+'Pollo Tropical'!M19+'Subway GC'!M19+'Sushi Maki'!M19+Panda!M19+'Starbucks Mango'!M19+'Taco Bell'!M19+'Chick-fil-A'!M19+Dunkin!M19+Chipotle!M19+Sergios!M19+'Moes PG5'!M19+'Papa Johns'!M19+Salad!M19+'Half Moon &amp; Trop Smoothie'!M19+'Athletic Concessions -Kitchen'!M19+'Starbucks BBC'!M19+'Moes BBC'!M19+'Grille Works BBC &amp; Shipping'!M19+'Subway BBC'!M19+'Market Pavillion'!M19+'Chic Fil A BBC'!M19+Panera!M19+'Heritage Market'!M19</f>
        <v>17938394.325337738</v>
      </c>
      <c r="N19" s="80">
        <f>IFERROR(M19/M$28,0)</f>
        <v>0.78876154623192052</v>
      </c>
      <c r="O19" s="79">
        <f>'POD Breezeway'!O19+'Express GL'!O19+'Starbucks GL-SBX Truck'!O19+'Miro''s'!O19+'Faculty Club'!O19+'Almazar &amp; Brand X'!O19+'Burger King'!O19+Bustelo!O19+Chilis!O19+Einstein!O19+Jamba!O19+'Pollo Tropical'!O19+'Subway GC'!O19+'Sushi Maki'!O19+Panda!O19+'Starbucks Mango'!O19+'Taco Bell'!O19+'Chick-fil-A'!O19+Dunkin!O19+Chipotle!O19+Sergios!O19+'Moes PG5'!O19+'Papa Johns'!O19+Salad!O19+'Half Moon &amp; Trop Smoothie'!O19+'Athletic Concessions -Kitchen'!O19+'Starbucks BBC'!O19+'Moes BBC'!O19+'Grille Works BBC &amp; Shipping'!O19+'Subway BBC'!O19+'Market Pavillion'!O19+'Chic Fil A BBC'!O19+Panera!O19+'Heritage Market'!O19</f>
        <v>18537211.201359596</v>
      </c>
      <c r="P19" s="80">
        <f>IFERROR(O19/O$28,0)</f>
        <v>0.79025649765008343</v>
      </c>
      <c r="Q19" s="79">
        <f>'POD Breezeway'!Q19+'Express GL'!Q19+'Starbucks GL-SBX Truck'!Q19+'Miro''s'!Q19+'Faculty Club'!Q19+'Almazar &amp; Brand X'!Q19+'Burger King'!Q19+Bustelo!Q19+Chilis!Q19+Einstein!Q19+Jamba!Q19+'Pollo Tropical'!Q19+'Subway GC'!Q19+'Sushi Maki'!Q19+Panda!Q19+'Starbucks Mango'!Q19+'Taco Bell'!Q19+'Chick-fil-A'!Q19+Dunkin!Q19+Chipotle!Q19+Sergios!Q19+'Moes PG5'!Q19+'Papa Johns'!Q19+Salad!Q19+'Half Moon &amp; Trop Smoothie'!Q19+'Athletic Concessions -Kitchen'!Q19+'Starbucks BBC'!Q19+'Moes BBC'!Q19+'Grille Works BBC &amp; Shipping'!Q19+'Subway BBC'!Q19+'Market Pavillion'!Q19+'Chic Fil A BBC'!Q19+Panera!Q19+'Heritage Market'!Q19</f>
        <v>19175319.12871683</v>
      </c>
      <c r="R19" s="80">
        <f>IFERROR(Q19/Q$28,0)</f>
        <v>0.79215947765773909</v>
      </c>
      <c r="S19" s="79">
        <f>'POD Breezeway'!S19+'Express GL'!S19+'Starbucks GL-SBX Truck'!S19+'Miro''s'!S19+'Faculty Club'!S19+'Almazar &amp; Brand X'!S19+'Burger King'!S19+Bustelo!S19+Chilis!S19+Einstein!S19+Jamba!S19+'Pollo Tropical'!S19+'Subway GC'!S19+'Sushi Maki'!S19+Panda!S19+'Starbucks Mango'!S19+'Taco Bell'!S19+'Chick-fil-A'!S19+Dunkin!S19+Chipotle!S19+Sergios!S19+'Moes PG5'!S19+'Papa Johns'!S19+Salad!S19+'Half Moon &amp; Trop Smoothie'!S19+'Athletic Concessions -Kitchen'!S19+'Starbucks BBC'!S19+'Moes BBC'!S19+'Grille Works BBC &amp; Shipping'!S19+'Subway BBC'!S19+'Market Pavillion'!S19+'Chic Fil A BBC'!S19+Panera!S19+'Heritage Market'!S19</f>
        <v>19830823.361425806</v>
      </c>
      <c r="T19" s="80">
        <f>IFERROR(S19/S$28,0)</f>
        <v>0.79368424274696359</v>
      </c>
      <c r="U19" s="79">
        <f>'POD Breezeway'!U19+'Express GL'!U19+'Starbucks GL-SBX Truck'!U19+'Miro''s'!U19+'Faculty Club'!U19+'Almazar &amp; Brand X'!U19+'Burger King'!U19+Bustelo!U19+Chilis!U19+Einstein!U19+Jamba!U19+'Pollo Tropical'!U19+'Subway GC'!U19+'Sushi Maki'!U19+Panda!U19+'Starbucks Mango'!U19+'Taco Bell'!U19+'Chick-fil-A'!U19+Dunkin!U19+Chipotle!U19+Sergios!U19+'Moes PG5'!U19+'Papa Johns'!U19+Salad!U19+'Half Moon &amp; Trop Smoothie'!U19+'Athletic Concessions -Kitchen'!U19+'Starbucks BBC'!U19+'Moes BBC'!U19+'Grille Works BBC &amp; Shipping'!U19+'Subway BBC'!U19+'Market Pavillion'!U19+'Chic Fil A BBC'!U19+Panera!U19+'Heritage Market'!U19</f>
        <v>20518482.128154069</v>
      </c>
      <c r="V19" s="80">
        <f>IFERROR(U19/U$28,0)</f>
        <v>0.79542162588571963</v>
      </c>
    </row>
    <row r="20" spans="1:22" ht="12.75" customHeight="1">
      <c r="A20" s="2" t="s">
        <v>370</v>
      </c>
      <c r="B20" s="35"/>
      <c r="C20" s="79">
        <f>'POD Breezeway'!C20+'Express GL'!C20+'Starbucks GL-SBX Truck'!C20+'Miro''s'!C20+'Faculty Club'!C20+'Almazar &amp; Brand X'!C20+'Burger King'!C20+Bustelo!C20+Chilis!C20+Einstein!C20+Jamba!C20+'Pollo Tropical'!C20+'Subway GC'!C20+'Sushi Maki'!C20+Panda!C20+'Starbucks Mango'!C20+'Taco Bell'!C20+'Chick-fil-A'!C20+Dunkin!C20+Chipotle!C20+Sergios!C20+'Moes PG5'!C20+'Papa Johns'!C20+Salad!C20+'Half Moon &amp; Trop Smoothie'!C20+'Athletic Concessions -Kitchen'!C20+'Starbucks BBC'!C20+'Moes BBC'!C20+'Grille Works BBC &amp; Shipping'!C20+'Subway BBC'!C20+'Market Pavillion'!C20+'Chic Fil A BBC'!C20+Panera!C20+'Heritage Market'!C20</f>
        <v>1924817.5632439996</v>
      </c>
      <c r="D20" s="80">
        <f>IFERROR(C20/C$28,0)</f>
        <v>0.12142734099579545</v>
      </c>
      <c r="E20" s="79">
        <f>'POD Breezeway'!E20+'Express GL'!E20+'Starbucks GL-SBX Truck'!E20+'Miro''s'!E20+'Faculty Club'!E20+'Almazar &amp; Brand X'!E20+'Burger King'!E20+Bustelo!E20+Chilis!E20+Einstein!E20+Jamba!E20+'Pollo Tropical'!E20+'Subway GC'!E20+'Sushi Maki'!E20+Panda!E20+'Starbucks Mango'!E20+'Taco Bell'!E20+'Chick-fil-A'!E20+Dunkin!E20+Chipotle!E20+Sergios!E20+'Moes PG5'!E20+'Papa Johns'!E20+Salad!E20+'Half Moon &amp; Trop Smoothie'!E20+'Athletic Concessions -Kitchen'!E20+'Starbucks BBC'!E20+'Moes BBC'!E20+'Grille Works BBC &amp; Shipping'!E20+'Subway BBC'!E20+'Market Pavillion'!E20+'Chic Fil A BBC'!E20+Panera!E20+'Heritage Market'!E20</f>
        <v>3124593</v>
      </c>
      <c r="F20" s="80">
        <f>IFERROR(E20/E$28,0)</f>
        <v>0.16611294674320659</v>
      </c>
      <c r="G20" s="79">
        <f>'POD Breezeway'!G20+'Express GL'!G20+'Starbucks GL-SBX Truck'!G20+'Miro''s'!G20+'Faculty Club'!G20+'Almazar &amp; Brand X'!G20+'Burger King'!G20+Bustelo!G20+Chilis!G20+Einstein!G20+Jamba!G20+'Pollo Tropical'!G20+'Subway GC'!G20+'Sushi Maki'!G20+Panda!G20+'Starbucks Mango'!G20+'Taco Bell'!G20+'Chick-fil-A'!G20+Dunkin!G20+Chipotle!G20+Sergios!G20+'Moes PG5'!G20+'Papa Johns'!G20+Salad!G20+'Half Moon &amp; Trop Smoothie'!G20+'Athletic Concessions -Kitchen'!G20+'Starbucks BBC'!G20+'Moes BBC'!G20+'Grille Works BBC &amp; Shipping'!G20+'Subway BBC'!G20+'Market Pavillion'!G20+'Chic Fil A BBC'!G20+Panera!G20+'Heritage Market'!G20</f>
        <v>3806374.21</v>
      </c>
      <c r="H20" s="80">
        <f>IFERROR(G20/G$28,0)</f>
        <v>0.18443650203938564</v>
      </c>
      <c r="I20" s="79">
        <f>'POD Breezeway'!I20+'Express GL'!I20+'Starbucks GL-SBX Truck'!I20+'Miro''s'!I20+'Faculty Club'!I20+'Almazar &amp; Brand X'!I20+'Burger King'!I20+Bustelo!I20+Chilis!I20+Einstein!I20+Jamba!I20+'Pollo Tropical'!I20+'Subway GC'!I20+'Sushi Maki'!I20+Panda!I20+'Starbucks Mango'!I20+'Taco Bell'!I20+'Chick-fil-A'!I20+Dunkin!I20+Chipotle!I20+Sergios!I20+'Moes PG5'!I20+'Papa Johns'!I20+Salad!I20+'Half Moon &amp; Trop Smoothie'!I20+'Athletic Concessions -Kitchen'!I20+'Starbucks BBC'!I20+'Moes BBC'!I20+'Grille Works BBC &amp; Shipping'!I20+'Subway BBC'!I20+'Market Pavillion'!I20+'Chic Fil A BBC'!I20+Panera!I20+'Heritage Market'!I20</f>
        <v>3895319.7782000005</v>
      </c>
      <c r="J20" s="80">
        <f>IFERROR(I20/I$28,0)</f>
        <v>0.18186561039921656</v>
      </c>
      <c r="K20" s="79">
        <f>'POD Breezeway'!K20+'Express GL'!K20+'Starbucks GL-SBX Truck'!K20+'Miro''s'!K20+'Faculty Club'!K20+'Almazar &amp; Brand X'!K20+'Burger King'!K20+Bustelo!K20+Chilis!K20+Einstein!K20+Jamba!K20+'Pollo Tropical'!K20+'Subway GC'!K20+'Sushi Maki'!K20+Panda!K20+'Starbucks Mango'!K20+'Taco Bell'!K20+'Chick-fil-A'!K20+Dunkin!K20+Chipotle!K20+Sergios!K20+'Moes PG5'!K20+'Papa Johns'!K20+Salad!K20+'Half Moon &amp; Trop Smoothie'!K20+'Athletic Concessions -Kitchen'!K20+'Starbucks BBC'!K20+'Moes BBC'!K20+'Grille Works BBC &amp; Shipping'!K20+'Subway BBC'!K20+'Market Pavillion'!K20+'Chic Fil A BBC'!K20+Panera!K20+'Heritage Market'!K20</f>
        <v>3980266.8337640008</v>
      </c>
      <c r="L20" s="80">
        <f>IFERROR(K20/K$28,0)</f>
        <v>0.18037546450731512</v>
      </c>
      <c r="M20" s="79">
        <f>'POD Breezeway'!M20+'Express GL'!M20+'Starbucks GL-SBX Truck'!M20+'Miro''s'!M20+'Faculty Club'!M20+'Almazar &amp; Brand X'!M20+'Burger King'!M20+Bustelo!M20+Chilis!M20+Einstein!M20+Jamba!M20+'Pollo Tropical'!M20+'Subway GC'!M20+'Sushi Maki'!M20+Panda!M20+'Starbucks Mango'!M20+'Taco Bell'!M20+'Chick-fil-A'!M20+Dunkin!M20+Chipotle!M20+Sergios!M20+'Moes PG5'!M20+'Papa Johns'!M20+Salad!M20+'Half Moon &amp; Trop Smoothie'!M20+'Athletic Concessions -Kitchen'!M20+'Starbucks BBC'!M20+'Moes BBC'!M20+'Grille Works BBC &amp; Shipping'!M20+'Subway BBC'!M20+'Market Pavillion'!M20+'Chic Fil A BBC'!M20+Panera!M20+'Heritage Market'!M20</f>
        <v>4065716.7064392809</v>
      </c>
      <c r="N20" s="80">
        <f>IFERROR(M20/M$28,0)</f>
        <v>0.17877190888720307</v>
      </c>
      <c r="O20" s="79">
        <f>'POD Breezeway'!O20+'Express GL'!O20+'Starbucks GL-SBX Truck'!O20+'Miro''s'!O20+'Faculty Club'!O20+'Almazar &amp; Brand X'!O20+'Burger King'!O20+Bustelo!O20+Chilis!O20+Einstein!O20+Jamba!O20+'Pollo Tropical'!O20+'Subway GC'!O20+'Sushi Maki'!O20+Panda!O20+'Starbucks Mango'!O20+'Taco Bell'!O20+'Chick-fil-A'!O20+Dunkin!O20+Chipotle!O20+Sergios!O20+'Moes PG5'!O20+'Papa Johns'!O20+Salad!O20+'Half Moon &amp; Trop Smoothie'!O20+'Athletic Concessions -Kitchen'!O20+'Starbucks BBC'!O20+'Moes BBC'!O20+'Grille Works BBC &amp; Shipping'!O20+'Subway BBC'!O20+'Market Pavillion'!O20+'Chic Fil A BBC'!O20+Panera!O20+'Heritage Market'!O20</f>
        <v>4154333.0988080669</v>
      </c>
      <c r="P20" s="80">
        <f>IFERROR(O20/O$28,0)</f>
        <v>0.1771026228851022</v>
      </c>
      <c r="Q20" s="79">
        <f>'POD Breezeway'!Q20+'Express GL'!Q20+'Starbucks GL-SBX Truck'!Q20+'Miro''s'!Q20+'Faculty Club'!Q20+'Almazar &amp; Brand X'!Q20+'Burger King'!Q20+Bustelo!Q20+Chilis!Q20+Einstein!Q20+Jamba!Q20+'Pollo Tropical'!Q20+'Subway GC'!Q20+'Sushi Maki'!Q20+Panda!Q20+'Starbucks Mango'!Q20+'Taco Bell'!Q20+'Chick-fil-A'!Q20+Dunkin!Q20+Chipotle!Q20+Sergios!Q20+'Moes PG5'!Q20+'Papa Johns'!Q20+Salad!Q20+'Half Moon &amp; Trop Smoothie'!Q20+'Athletic Concessions -Kitchen'!Q20+'Starbucks BBC'!Q20+'Moes BBC'!Q20+'Grille Works BBC &amp; Shipping'!Q20+'Subway BBC'!Q20+'Market Pavillion'!Q20+'Chic Fil A BBC'!Q20+Panera!Q20+'Heritage Market'!Q20</f>
        <v>4245386.298651428</v>
      </c>
      <c r="R20" s="80">
        <f>IFERROR(Q20/Q$28,0)</f>
        <v>0.17538289559721573</v>
      </c>
      <c r="S20" s="79">
        <f>'POD Breezeway'!S20+'Express GL'!S20+'Starbucks GL-SBX Truck'!S20+'Miro''s'!S20+'Faculty Club'!S20+'Almazar &amp; Brand X'!S20+'Burger King'!S20+Bustelo!S20+Chilis!S20+Einstein!S20+Jamba!S20+'Pollo Tropical'!S20+'Subway GC'!S20+'Sushi Maki'!S20+Panda!S20+'Starbucks Mango'!S20+'Taco Bell'!S20+'Chick-fil-A'!S20+Dunkin!S20+Chipotle!S20+Sergios!S20+'Moes PG5'!S20+'Papa Johns'!S20+Salad!S20+'Half Moon &amp; Trop Smoothie'!S20+'Athletic Concessions -Kitchen'!S20+'Starbucks BBC'!S20+'Moes BBC'!S20+'Grille Works BBC &amp; Shipping'!S20+'Subway BBC'!S20+'Market Pavillion'!S20+'Chic Fil A BBC'!S20+Panera!S20+'Heritage Market'!S20</f>
        <v>4338105.1915876716</v>
      </c>
      <c r="T20" s="80">
        <f>IFERROR(S20/S$28,0)</f>
        <v>0.17362293391404501</v>
      </c>
      <c r="U20" s="79">
        <f>'POD Breezeway'!U20+'Express GL'!U20+'Starbucks GL-SBX Truck'!U20+'Miro''s'!U20+'Faculty Club'!U20+'Almazar &amp; Brand X'!U20+'Burger King'!U20+Bustelo!U20+Chilis!U20+Einstein!U20+Jamba!U20+'Pollo Tropical'!U20+'Subway GC'!U20+'Sushi Maki'!U20+Panda!U20+'Starbucks Mango'!U20+'Taco Bell'!U20+'Chick-fil-A'!U20+Dunkin!U20+Chipotle!U20+Sergios!U20+'Moes PG5'!U20+'Papa Johns'!U20+Salad!U20+'Half Moon &amp; Trop Smoothie'!U20+'Athletic Concessions -Kitchen'!U20+'Starbucks BBC'!U20+'Moes BBC'!U20+'Grille Works BBC &amp; Shipping'!U20+'Subway BBC'!U20+'Market Pavillion'!U20+'Chic Fil A BBC'!U20+Panera!U20+'Heritage Market'!U20</f>
        <v>4432875.4739915384</v>
      </c>
      <c r="V20" s="80">
        <f>IFERROR(U20/U$28,0)</f>
        <v>0.17184531462164712</v>
      </c>
    </row>
    <row r="21" spans="1:22" ht="12.75" customHeight="1">
      <c r="A21" s="2" t="s">
        <v>371</v>
      </c>
      <c r="B21" s="35"/>
      <c r="C21" s="79">
        <f>'POD Breezeway'!C21+'Express GL'!C21+'Starbucks GL-SBX Truck'!C21+'Miro''s'!C21+'Faculty Club'!C21+'Almazar &amp; Brand X'!C21+'Burger King'!C21+Bustelo!C21+Chilis!C21+Einstein!C21+Jamba!C21+'Pollo Tropical'!C21+'Subway GC'!C21+'Sushi Maki'!C21+Panda!C21+'Starbucks Mango'!C21+'Taco Bell'!C21+'Chick-fil-A'!C21+Dunkin!C21+Chipotle!C21+Sergios!C21+'Moes PG5'!C21+'Papa Johns'!C21+Salad!C21+'Half Moon &amp; Trop Smoothie'!C21+'Athletic Concessions -Kitchen'!C21+'Starbucks BBC'!C21+'Moes BBC'!C21+'Grille Works BBC &amp; Shipping'!C21+'Subway BBC'!C21+'Market Pavillion'!C21+'Chic Fil A BBC'!C21+Panera!C21+'Heritage Market'!C21</f>
        <v>195185.16063999999</v>
      </c>
      <c r="D21" s="80">
        <f>IFERROR(C21/C$28,0)</f>
        <v>1.2313278676867495E-2</v>
      </c>
      <c r="E21" s="79">
        <f>'POD Breezeway'!E21+'Express GL'!E21+'Starbucks GL-SBX Truck'!E21+'Miro''s'!E21+'Faculty Club'!E21+'Almazar &amp; Brand X'!E21+'Burger King'!E21+Bustelo!E21+Chilis!E21+Einstein!E21+Jamba!E21+'Pollo Tropical'!E21+'Subway GC'!E21+'Sushi Maki'!E21+Panda!E21+'Starbucks Mango'!E21+'Taco Bell'!E21+'Chick-fil-A'!E21+Dunkin!E21+Chipotle!E21+Sergios!E21+'Moes PG5'!E21+'Papa Johns'!E21+Salad!E21+'Half Moon &amp; Trop Smoothie'!E21+'Athletic Concessions -Kitchen'!E21+'Starbucks BBC'!E21+'Moes BBC'!E21+'Grille Works BBC &amp; Shipping'!E21+'Subway BBC'!E21+'Market Pavillion'!E21+'Chic Fil A BBC'!E21+Panera!E21+'Heritage Market'!E21</f>
        <v>155372</v>
      </c>
      <c r="F21" s="80">
        <f>IFERROR(E21/E$28,0)</f>
        <v>8.2600520328201133E-3</v>
      </c>
      <c r="G21" s="79">
        <f>'POD Breezeway'!G21+'Express GL'!G21+'Starbucks GL-SBX Truck'!G21+'Miro''s'!G21+'Faculty Club'!G21+'Almazar &amp; Brand X'!G21+'Burger King'!G21+Bustelo!G21+Chilis!G21+Einstein!G21+Jamba!G21+'Pollo Tropical'!G21+'Subway GC'!G21+'Sushi Maki'!G21+Panda!G21+'Starbucks Mango'!G21+'Taco Bell'!G21+'Chick-fil-A'!G21+Dunkin!G21+Chipotle!G21+Sergios!G21+'Moes PG5'!G21+'Papa Johns'!G21+Salad!G21+'Half Moon &amp; Trop Smoothie'!G21+'Athletic Concessions -Kitchen'!G21+'Starbucks BBC'!G21+'Moes BBC'!G21+'Grille Works BBC &amp; Shipping'!G21+'Subway BBC'!G21+'Market Pavillion'!G21+'Chic Fil A BBC'!G21+Panera!G21+'Heritage Market'!G21</f>
        <v>163808.6</v>
      </c>
      <c r="H21" s="80">
        <f>IFERROR(G21/G$28,0)</f>
        <v>7.9372871717646766E-3</v>
      </c>
      <c r="I21" s="79">
        <f>'POD Breezeway'!I21+'Express GL'!I21+'Starbucks GL-SBX Truck'!I21+'Miro''s'!I21+'Faculty Club'!I21+'Almazar &amp; Brand X'!I21+'Burger King'!I21+Bustelo!I21+Chilis!I21+Einstein!I21+Jamba!I21+'Pollo Tropical'!I21+'Subway GC'!I21+'Sushi Maki'!I21+Panda!I21+'Starbucks Mango'!I21+'Taco Bell'!I21+'Chick-fil-A'!I21+Dunkin!I21+Chipotle!I21+Sergios!I21+'Moes PG5'!I21+'Papa Johns'!I21+Salad!I21+'Half Moon &amp; Trop Smoothie'!I21+'Athletic Concessions -Kitchen'!I21+'Starbucks BBC'!I21+'Moes BBC'!I21+'Grille Works BBC &amp; Shipping'!I21+'Subway BBC'!I21+'Market Pavillion'!I21+'Chic Fil A BBC'!I21+Panera!I21+'Heritage Market'!I21</f>
        <v>180639.67519999997</v>
      </c>
      <c r="J21" s="80">
        <f>IFERROR(I21/I$28,0)</f>
        <v>8.4337478469469727E-3</v>
      </c>
      <c r="K21" s="79">
        <f>'POD Breezeway'!K21+'Express GL'!K21+'Starbucks GL-SBX Truck'!K21+'Miro''s'!K21+'Faculty Club'!K21+'Almazar &amp; Brand X'!K21+'Burger King'!K21+Bustelo!K21+Chilis!K21+Einstein!K21+Jamba!K21+'Pollo Tropical'!K21+'Subway GC'!K21+'Sushi Maki'!K21+Panda!K21+'Starbucks Mango'!K21+'Taco Bell'!K21+'Chick-fil-A'!K21+Dunkin!K21+Chipotle!K21+Sergios!K21+'Moes PG5'!K21+'Papa Johns'!K21+Salad!K21+'Half Moon &amp; Trop Smoothie'!K21+'Athletic Concessions -Kitchen'!K21+'Starbucks BBC'!K21+'Moes BBC'!K21+'Grille Works BBC &amp; Shipping'!K21+'Subway BBC'!K21+'Market Pavillion'!K21+'Chic Fil A BBC'!K21+Panera!K21+'Heritage Market'!K21</f>
        <v>197174.50821599999</v>
      </c>
      <c r="L21" s="80">
        <f>IFERROR(K21/K$28,0)</f>
        <v>8.9354420177979402E-3</v>
      </c>
      <c r="M21" s="79">
        <f>'POD Breezeway'!M21+'Express GL'!M21+'Starbucks GL-SBX Truck'!M21+'Miro''s'!M21+'Faculty Club'!M21+'Almazar &amp; Brand X'!M21+'Burger King'!M21+Bustelo!M21+Chilis!M21+Einstein!M21+Jamba!M21+'Pollo Tropical'!M21+'Subway GC'!M21+'Sushi Maki'!M21+Panda!M21+'Starbucks Mango'!M21+'Taco Bell'!M21+'Chick-fil-A'!M21+Dunkin!M21+Chipotle!M21+Sergios!M21+'Moes PG5'!M21+'Papa Johns'!M21+Salad!M21+'Half Moon &amp; Trop Smoothie'!M21+'Athletic Concessions -Kitchen'!M21+'Starbucks BBC'!M21+'Moes BBC'!M21+'Grille Works BBC &amp; Shipping'!M21+'Subway BBC'!M21+'Market Pavillion'!M21+'Chic Fil A BBC'!M21+Panera!M21+'Heritage Market'!M21</f>
        <v>213223.56027756</v>
      </c>
      <c r="N21" s="80">
        <f>IFERROR(M21/M$28,0)</f>
        <v>9.3755629432255138E-3</v>
      </c>
      <c r="O21" s="79">
        <f>'POD Breezeway'!O21+'Express GL'!O21+'Starbucks GL-SBX Truck'!O21+'Miro''s'!O21+'Faculty Club'!O21+'Almazar &amp; Brand X'!O21+'Burger King'!O21+Bustelo!O21+Chilis!O21+Einstein!O21+Jamba!O21+'Pollo Tropical'!O21+'Subway GC'!O21+'Sushi Maki'!O21+Panda!O21+'Starbucks Mango'!O21+'Taco Bell'!O21+'Chick-fil-A'!O21+Dunkin!O21+Chipotle!O21+Sergios!O21+'Moes PG5'!O21+'Papa Johns'!O21+Salad!O21+'Half Moon &amp; Trop Smoothie'!O21+'Athletic Concessions -Kitchen'!O21+'Starbucks BBC'!O21+'Moes BBC'!O21+'Grille Works BBC &amp; Shipping'!O21+'Subway BBC'!O21+'Market Pavillion'!O21+'Chic Fil A BBC'!O21+Panera!O21+'Heritage Market'!O21</f>
        <v>227402.16708588682</v>
      </c>
      <c r="P21" s="80">
        <f>IFERROR(O21/O$28,0)</f>
        <v>9.6943406517454797E-3</v>
      </c>
      <c r="Q21" s="79">
        <f>'POD Breezeway'!Q21+'Express GL'!Q21+'Starbucks GL-SBX Truck'!Q21+'Miro''s'!Q21+'Faculty Club'!Q21+'Almazar &amp; Brand X'!Q21+'Burger King'!Q21+Bustelo!Q21+Chilis!Q21+Einstein!Q21+Jamba!Q21+'Pollo Tropical'!Q21+'Subway GC'!Q21+'Sushi Maki'!Q21+Panda!Q21+'Starbucks Mango'!Q21+'Taco Bell'!Q21+'Chick-fil-A'!Q21+Dunkin!Q21+Chipotle!Q21+Sergios!Q21+'Moes PG5'!Q21+'Papa Johns'!Q21+Salad!Q21+'Half Moon &amp; Trop Smoothie'!Q21+'Athletic Concessions -Kitchen'!Q21+'Starbucks BBC'!Q21+'Moes BBC'!Q21+'Grille Works BBC &amp; Shipping'!Q21+'Subway BBC'!Q21+'Market Pavillion'!Q21+'Chic Fil A BBC'!Q21+Panera!Q21+'Heritage Market'!Q21</f>
        <v>233963.93209846344</v>
      </c>
      <c r="R21" s="80">
        <f>IFERROR(Q21/Q$28,0)</f>
        <v>9.6653800125970513E-3</v>
      </c>
      <c r="S21" s="79">
        <f>'POD Breezeway'!S21+'Express GL'!S21+'Starbucks GL-SBX Truck'!S21+'Miro''s'!S21+'Faculty Club'!S21+'Almazar &amp; Brand X'!S21+'Burger King'!S21+Bustelo!S21+Chilis!S21+Einstein!S21+Jamba!S21+'Pollo Tropical'!S21+'Subway GC'!S21+'Sushi Maki'!S21+Panda!S21+'Starbucks Mango'!S21+'Taco Bell'!S21+'Chick-fil-A'!S21+Dunkin!S21+Chipotle!S21+Sergios!S21+'Moes PG5'!S21+'Papa Johns'!S21+Salad!S21+'Half Moon &amp; Trop Smoothie'!S21+'Athletic Concessions -Kitchen'!S21+'Starbucks BBC'!S21+'Moes BBC'!S21+'Grille Works BBC &amp; Shipping'!S21+'Subway BBC'!S21+'Market Pavillion'!S21+'Chic Fil A BBC'!S21+Panera!S21+'Heritage Market'!S21</f>
        <v>251331.81567503777</v>
      </c>
      <c r="T21" s="80">
        <f>IFERROR(S21/S$28,0)</f>
        <v>1.0058992416335033E-2</v>
      </c>
      <c r="U21" s="79">
        <f>'POD Breezeway'!U21+'Express GL'!U21+'Starbucks GL-SBX Truck'!U21+'Miro''s'!U21+'Faculty Club'!U21+'Almazar &amp; Brand X'!U21+'Burger King'!U21+Bustelo!U21+Chilis!U21+Einstein!U21+Jamba!U21+'Pollo Tropical'!U21+'Subway GC'!U21+'Sushi Maki'!U21+Panda!U21+'Starbucks Mango'!U21+'Taco Bell'!U21+'Chick-fil-A'!U21+Dunkin!U21+Chipotle!U21+Sergios!U21+'Moes PG5'!U21+'Papa Johns'!U21+Salad!U21+'Half Moon &amp; Trop Smoothie'!U21+'Athletic Concessions -Kitchen'!U21+'Starbucks BBC'!U21+'Moes BBC'!U21+'Grille Works BBC &amp; Shipping'!U21+'Subway BBC'!U21+'Market Pavillion'!U21+'Chic Fil A BBC'!U21+Panera!U21+'Heritage Market'!U21</f>
        <v>264683.83160017291</v>
      </c>
      <c r="V21" s="80">
        <f>IFERROR(U21/U$28,0)</f>
        <v>1.0260761120735602E-2</v>
      </c>
    </row>
    <row r="22" spans="1:22" ht="12.75" customHeight="1">
      <c r="A22" s="2" t="s">
        <v>372</v>
      </c>
      <c r="B22" s="35"/>
      <c r="C22" s="79"/>
      <c r="D22" s="80"/>
      <c r="E22" s="79"/>
      <c r="F22" s="80"/>
      <c r="G22" s="79"/>
      <c r="H22" s="80"/>
      <c r="I22" s="79"/>
      <c r="J22" s="80"/>
      <c r="K22" s="79"/>
      <c r="L22" s="80"/>
      <c r="M22" s="79"/>
      <c r="N22" s="80"/>
      <c r="O22" s="79"/>
      <c r="P22" s="80"/>
      <c r="Q22" s="79"/>
      <c r="R22" s="80"/>
      <c r="S22" s="79"/>
      <c r="T22" s="80"/>
      <c r="U22" s="79"/>
      <c r="V22" s="80"/>
    </row>
    <row r="23" spans="1:22" ht="12.75" customHeight="1">
      <c r="A23" s="122" t="s">
        <v>373</v>
      </c>
      <c r="B23" s="35"/>
      <c r="C23" s="125">
        <f>'POD Breezeway'!C23+'Express GL'!C23+'Starbucks GL-SBX Truck'!C23+'Miro''s'!C23+'Faculty Club'!C23+'Almazar &amp; Brand X'!C23+'Burger King'!C23+Bustelo!C23+Chilis!C23+Einstein!C23+Jamba!C23+'Pollo Tropical'!C23+'Subway GC'!C23+'Sushi Maki'!C23+Panda!C23+'Starbucks Mango'!C23+'Taco Bell'!C23+'Chick-fil-A'!C23+Dunkin!C23+Chipotle!C23+Sergios!C23+'Moes PG5'!C23+'Papa Johns'!C23+Salad!C23+'Half Moon &amp; Trop Smoothie'!C23+'Athletic Concessions -Kitchen'!C23+'Starbucks BBC'!C23+'Moes BBC'!C23+'Grille Works BBC &amp; Shipping'!C23+'Subway BBC'!C23+'Market Pavillion'!C23+'Chic Fil A BBC'!C23+Panera!C23+'Heritage Market'!C23</f>
        <v>0</v>
      </c>
      <c r="D23" s="126">
        <f t="shared" ref="D23:D28" si="0">IFERROR(C23/C$28,0)</f>
        <v>0</v>
      </c>
      <c r="E23" s="125">
        <f>'POD Breezeway'!E23+'Express GL'!E23+'Starbucks GL-SBX Truck'!E23+'Miro''s'!E23+'Faculty Club'!E23+'Almazar &amp; Brand X'!E23+'Burger King'!E23+Bustelo!E23+Chilis!E23+Einstein!E23+Jamba!E23+'Pollo Tropical'!E23+'Subway GC'!E23+'Sushi Maki'!E23+Panda!E23+'Starbucks Mango'!E23+'Taco Bell'!E23+'Chick-fil-A'!E23+Dunkin!E23+Chipotle!E23+Sergios!E23+'Moes PG5'!E23+'Papa Johns'!E23+Salad!E23+'Half Moon &amp; Trop Smoothie'!E23+'Athletic Concessions -Kitchen'!E23+'Starbucks BBC'!E23+'Moes BBC'!E23+'Grille Works BBC &amp; Shipping'!E23+'Subway BBC'!E23+'Market Pavillion'!E23+'Chic Fil A BBC'!E23+Panera!E23+'Heritage Market'!E23</f>
        <v>0</v>
      </c>
      <c r="F23" s="126">
        <f t="shared" ref="F23:F28" si="1">IFERROR(E23/E$28,0)</f>
        <v>0</v>
      </c>
      <c r="G23" s="125">
        <f>'POD Breezeway'!G23+'Express GL'!G23+'Starbucks GL-SBX Truck'!G23+'Miro''s'!G23+'Faculty Club'!G23+'Almazar &amp; Brand X'!G23+'Burger King'!G23+Bustelo!G23+Chilis!G23+Einstein!G23+Jamba!G23+'Pollo Tropical'!G23+'Subway GC'!G23+'Sushi Maki'!G23+Panda!G23+'Starbucks Mango'!G23+'Taco Bell'!G23+'Chick-fil-A'!G23+Dunkin!G23+Chipotle!G23+Sergios!G23+'Moes PG5'!G23+'Papa Johns'!G23+Salad!G23+'Half Moon &amp; Trop Smoothie'!G23+'Athletic Concessions -Kitchen'!G23+'Starbucks BBC'!G23+'Moes BBC'!G23+'Grille Works BBC &amp; Shipping'!G23+'Subway BBC'!G23+'Market Pavillion'!G23+'Chic Fil A BBC'!G23+Panera!G23+'Heritage Market'!G23</f>
        <v>0</v>
      </c>
      <c r="H23" s="126">
        <f t="shared" ref="H23:H28" si="2">IFERROR(G23/G$28,0)</f>
        <v>0</v>
      </c>
      <c r="I23" s="125">
        <f>'POD Breezeway'!I23+'Express GL'!I23+'Starbucks GL-SBX Truck'!I23+'Miro''s'!I23+'Faculty Club'!I23+'Almazar &amp; Brand X'!I23+'Burger King'!I23+Bustelo!I23+Chilis!I23+Einstein!I23+Jamba!I23+'Pollo Tropical'!I23+'Subway GC'!I23+'Sushi Maki'!I23+Panda!I23+'Starbucks Mango'!I23+'Taco Bell'!I23+'Chick-fil-A'!I23+Dunkin!I23+Chipotle!I23+Sergios!I23+'Moes PG5'!I23+'Papa Johns'!I23+Salad!I23+'Half Moon &amp; Trop Smoothie'!I23+'Athletic Concessions -Kitchen'!I23+'Starbucks BBC'!I23+'Moes BBC'!I23+'Grille Works BBC &amp; Shipping'!I23+'Subway BBC'!I23+'Market Pavillion'!I23+'Chic Fil A BBC'!I23+Panera!I23+'Heritage Market'!I23</f>
        <v>0</v>
      </c>
      <c r="J23" s="126">
        <f t="shared" ref="J23:J28" si="3">IFERROR(I23/I$28,0)</f>
        <v>0</v>
      </c>
      <c r="K23" s="125">
        <f>'POD Breezeway'!K23+'Express GL'!K23+'Starbucks GL-SBX Truck'!K23+'Miro''s'!K23+'Faculty Club'!K23+'Almazar &amp; Brand X'!K23+'Burger King'!K23+Bustelo!K23+Chilis!K23+Einstein!K23+Jamba!K23+'Pollo Tropical'!K23+'Subway GC'!K23+'Sushi Maki'!K23+Panda!K23+'Starbucks Mango'!K23+'Taco Bell'!K23+'Chick-fil-A'!K23+Dunkin!K23+Chipotle!K23+Sergios!K23+'Moes PG5'!K23+'Papa Johns'!K23+Salad!K23+'Half Moon &amp; Trop Smoothie'!K23+'Athletic Concessions -Kitchen'!K23+'Starbucks BBC'!K23+'Moes BBC'!K23+'Grille Works BBC &amp; Shipping'!K23+'Subway BBC'!K23+'Market Pavillion'!K23+'Chic Fil A BBC'!K23+Panera!K23+'Heritage Market'!K23</f>
        <v>0</v>
      </c>
      <c r="L23" s="126">
        <f t="shared" ref="L23:L28" si="4">IFERROR(K23/K$28,0)</f>
        <v>0</v>
      </c>
      <c r="M23" s="125">
        <f>'POD Breezeway'!M23+'Express GL'!M23+'Starbucks GL-SBX Truck'!M23+'Miro''s'!M23+'Faculty Club'!M23+'Almazar &amp; Brand X'!M23+'Burger King'!M23+Bustelo!M23+Chilis!M23+Einstein!M23+Jamba!M23+'Pollo Tropical'!M23+'Subway GC'!M23+'Sushi Maki'!M23+Panda!M23+'Starbucks Mango'!M23+'Taco Bell'!M23+'Chick-fil-A'!M23+Dunkin!M23+Chipotle!M23+Sergios!M23+'Moes PG5'!M23+'Papa Johns'!M23+Salad!M23+'Half Moon &amp; Trop Smoothie'!M23+'Athletic Concessions -Kitchen'!M23+'Starbucks BBC'!M23+'Moes BBC'!M23+'Grille Works BBC &amp; Shipping'!M23+'Subway BBC'!M23+'Market Pavillion'!M23+'Chic Fil A BBC'!M23+Panera!M23+'Heritage Market'!M23</f>
        <v>0</v>
      </c>
      <c r="N23" s="126">
        <f t="shared" ref="N23:N28" si="5">IFERROR(M23/M$28,0)</f>
        <v>0</v>
      </c>
      <c r="O23" s="125">
        <f>'POD Breezeway'!O23+'Express GL'!O23+'Starbucks GL-SBX Truck'!O23+'Miro''s'!O23+'Faculty Club'!O23+'Almazar &amp; Brand X'!O23+'Burger King'!O23+Bustelo!O23+Chilis!O23+Einstein!O23+Jamba!O23+'Pollo Tropical'!O23+'Subway GC'!O23+'Sushi Maki'!O23+Panda!O23+'Starbucks Mango'!O23+'Taco Bell'!O23+'Chick-fil-A'!O23+Dunkin!O23+Chipotle!O23+Sergios!O23+'Moes PG5'!O23+'Papa Johns'!O23+Salad!O23+'Half Moon &amp; Trop Smoothie'!O23+'Athletic Concessions -Kitchen'!O23+'Starbucks BBC'!O23+'Moes BBC'!O23+'Grille Works BBC &amp; Shipping'!O23+'Subway BBC'!O23+'Market Pavillion'!O23+'Chic Fil A BBC'!O23+Panera!O23+'Heritage Market'!O23</f>
        <v>0</v>
      </c>
      <c r="P23" s="126">
        <f t="shared" ref="P23:P28" si="6">IFERROR(O23/O$28,0)</f>
        <v>0</v>
      </c>
      <c r="Q23" s="125">
        <f>'POD Breezeway'!Q23+'Express GL'!Q23+'Starbucks GL-SBX Truck'!Q23+'Miro''s'!Q23+'Faculty Club'!Q23+'Almazar &amp; Brand X'!Q23+'Burger King'!Q23+Bustelo!Q23+Chilis!Q23+Einstein!Q23+Jamba!Q23+'Pollo Tropical'!Q23+'Subway GC'!Q23+'Sushi Maki'!Q23+Panda!Q23+'Starbucks Mango'!Q23+'Taco Bell'!Q23+'Chick-fil-A'!Q23+Dunkin!Q23+Chipotle!Q23+Sergios!Q23+'Moes PG5'!Q23+'Papa Johns'!Q23+Salad!Q23+'Half Moon &amp; Trop Smoothie'!Q23+'Athletic Concessions -Kitchen'!Q23+'Starbucks BBC'!Q23+'Moes BBC'!Q23+'Grille Works BBC &amp; Shipping'!Q23+'Subway BBC'!Q23+'Market Pavillion'!Q23+'Chic Fil A BBC'!Q23+Panera!Q23+'Heritage Market'!Q23</f>
        <v>0</v>
      </c>
      <c r="R23" s="126">
        <f t="shared" ref="R23:R28" si="7">IFERROR(Q23/Q$28,0)</f>
        <v>0</v>
      </c>
      <c r="S23" s="125">
        <f>'POD Breezeway'!S23+'Express GL'!S23+'Starbucks GL-SBX Truck'!S23+'Miro''s'!S23+'Faculty Club'!S23+'Almazar &amp; Brand X'!S23+'Burger King'!S23+Bustelo!S23+Chilis!S23+Einstein!S23+Jamba!S23+'Pollo Tropical'!S23+'Subway GC'!S23+'Sushi Maki'!S23+Panda!S23+'Starbucks Mango'!S23+'Taco Bell'!S23+'Chick-fil-A'!S23+Dunkin!S23+Chipotle!S23+Sergios!S23+'Moes PG5'!S23+'Papa Johns'!S23+Salad!S23+'Half Moon &amp; Trop Smoothie'!S23+'Athletic Concessions -Kitchen'!S23+'Starbucks BBC'!S23+'Moes BBC'!S23+'Grille Works BBC &amp; Shipping'!S23+'Subway BBC'!S23+'Market Pavillion'!S23+'Chic Fil A BBC'!S23+Panera!S23+'Heritage Market'!S23</f>
        <v>0</v>
      </c>
      <c r="T23" s="126">
        <f t="shared" ref="T23:T28" si="8">IFERROR(S23/S$28,0)</f>
        <v>0</v>
      </c>
      <c r="U23" s="125">
        <f>'POD Breezeway'!U23+'Express GL'!U23+'Starbucks GL-SBX Truck'!U23+'Miro''s'!U23+'Faculty Club'!U23+'Almazar &amp; Brand X'!U23+'Burger King'!U23+Bustelo!U23+Chilis!U23+Einstein!U23+Jamba!U23+'Pollo Tropical'!U23+'Subway GC'!U23+'Sushi Maki'!U23+Panda!U23+'Starbucks Mango'!U23+'Taco Bell'!U23+'Chick-fil-A'!U23+Dunkin!U23+Chipotle!U23+Sergios!U23+'Moes PG5'!U23+'Papa Johns'!U23+Salad!U23+'Half Moon &amp; Trop Smoothie'!U23+'Athletic Concessions -Kitchen'!U23+'Starbucks BBC'!U23+'Moes BBC'!U23+'Grille Works BBC &amp; Shipping'!U23+'Subway BBC'!U23+'Market Pavillion'!U23+'Chic Fil A BBC'!U23+Panera!U23+'Heritage Market'!U23</f>
        <v>0</v>
      </c>
      <c r="V23" s="126">
        <f t="shared" ref="V23:V28" si="9">IFERROR(U23/U$28,0)</f>
        <v>0</v>
      </c>
    </row>
    <row r="24" spans="1:22" ht="12.75" customHeight="1">
      <c r="A24" s="122" t="s">
        <v>374</v>
      </c>
      <c r="B24" s="35"/>
      <c r="C24" s="125">
        <f>'POD Breezeway'!C24+'Express GL'!C24+'Starbucks GL-SBX Truck'!C24+'Miro''s'!C24+'Faculty Club'!C24+'Almazar &amp; Brand X'!C24+'Burger King'!C24+Bustelo!C24+Chilis!C24+Einstein!C24+Jamba!C24+'Pollo Tropical'!C24+'Subway GC'!C24+'Sushi Maki'!C24+Panda!C24+'Starbucks Mango'!C24+'Taco Bell'!C24+'Chick-fil-A'!C24+Dunkin!C24+Chipotle!C24+Sergios!C24+'Moes PG5'!C24+'Papa Johns'!C24+Salad!C24+'Half Moon &amp; Trop Smoothie'!C24+'Athletic Concessions -Kitchen'!C24+'Starbucks BBC'!C24+'Moes BBC'!C24+'Grille Works BBC &amp; Shipping'!C24+'Subway BBC'!C24+'Market Pavillion'!C24+'Chic Fil A BBC'!C24+Panera!C24+'Heritage Market'!C24</f>
        <v>0</v>
      </c>
      <c r="D24" s="126">
        <f t="shared" si="0"/>
        <v>0</v>
      </c>
      <c r="E24" s="125">
        <f>'POD Breezeway'!E24+'Express GL'!E24+'Starbucks GL-SBX Truck'!E24+'Miro''s'!E24+'Faculty Club'!E24+'Almazar &amp; Brand X'!E24+'Burger King'!E24+Bustelo!E24+Chilis!E24+Einstein!E24+Jamba!E24+'Pollo Tropical'!E24+'Subway GC'!E24+'Sushi Maki'!E24+Panda!E24+'Starbucks Mango'!E24+'Taco Bell'!E24+'Chick-fil-A'!E24+Dunkin!E24+Chipotle!E24+Sergios!E24+'Moes PG5'!E24+'Papa Johns'!E24+Salad!E24+'Half Moon &amp; Trop Smoothie'!E24+'Athletic Concessions -Kitchen'!E24+'Starbucks BBC'!E24+'Moes BBC'!E24+'Grille Works BBC &amp; Shipping'!E24+'Subway BBC'!E24+'Market Pavillion'!E24+'Chic Fil A BBC'!E24+Panera!E24+'Heritage Market'!E24</f>
        <v>0</v>
      </c>
      <c r="F24" s="126">
        <f t="shared" si="1"/>
        <v>0</v>
      </c>
      <c r="G24" s="125">
        <f>'POD Breezeway'!G24+'Express GL'!G24+'Starbucks GL-SBX Truck'!G24+'Miro''s'!G24+'Faculty Club'!G24+'Almazar &amp; Brand X'!G24+'Burger King'!G24+Bustelo!G24+Chilis!G24+Einstein!G24+Jamba!G24+'Pollo Tropical'!G24+'Subway GC'!G24+'Sushi Maki'!G24+Panda!G24+'Starbucks Mango'!G24+'Taco Bell'!G24+'Chick-fil-A'!G24+Dunkin!G24+Chipotle!G24+Sergios!G24+'Moes PG5'!G24+'Papa Johns'!G24+Salad!G24+'Half Moon &amp; Trop Smoothie'!G24+'Athletic Concessions -Kitchen'!G24+'Starbucks BBC'!G24+'Moes BBC'!G24+'Grille Works BBC &amp; Shipping'!G24+'Subway BBC'!G24+'Market Pavillion'!G24+'Chic Fil A BBC'!G24+Panera!G24+'Heritage Market'!G24</f>
        <v>0</v>
      </c>
      <c r="H24" s="126">
        <f t="shared" si="2"/>
        <v>0</v>
      </c>
      <c r="I24" s="125">
        <f>'POD Breezeway'!I24+'Express GL'!I24+'Starbucks GL-SBX Truck'!I24+'Miro''s'!I24+'Faculty Club'!I24+'Almazar &amp; Brand X'!I24+'Burger King'!I24+Bustelo!I24+Chilis!I24+Einstein!I24+Jamba!I24+'Pollo Tropical'!I24+'Subway GC'!I24+'Sushi Maki'!I24+Panda!I24+'Starbucks Mango'!I24+'Taco Bell'!I24+'Chick-fil-A'!I24+Dunkin!I24+Chipotle!I24+Sergios!I24+'Moes PG5'!I24+'Papa Johns'!I24+Salad!I24+'Half Moon &amp; Trop Smoothie'!I24+'Athletic Concessions -Kitchen'!I24+'Starbucks BBC'!I24+'Moes BBC'!I24+'Grille Works BBC &amp; Shipping'!I24+'Subway BBC'!I24+'Market Pavillion'!I24+'Chic Fil A BBC'!I24+Panera!I24+'Heritage Market'!I24</f>
        <v>0</v>
      </c>
      <c r="J24" s="126">
        <f t="shared" si="3"/>
        <v>0</v>
      </c>
      <c r="K24" s="125">
        <f>'POD Breezeway'!K24+'Express GL'!K24+'Starbucks GL-SBX Truck'!K24+'Miro''s'!K24+'Faculty Club'!K24+'Almazar &amp; Brand X'!K24+'Burger King'!K24+Bustelo!K24+Chilis!K24+Einstein!K24+Jamba!K24+'Pollo Tropical'!K24+'Subway GC'!K24+'Sushi Maki'!K24+Panda!K24+'Starbucks Mango'!K24+'Taco Bell'!K24+'Chick-fil-A'!K24+Dunkin!K24+Chipotle!K24+Sergios!K24+'Moes PG5'!K24+'Papa Johns'!K24+Salad!K24+'Half Moon &amp; Trop Smoothie'!K24+'Athletic Concessions -Kitchen'!K24+'Starbucks BBC'!K24+'Moes BBC'!K24+'Grille Works BBC &amp; Shipping'!K24+'Subway BBC'!K24+'Market Pavillion'!K24+'Chic Fil A BBC'!K24+Panera!K24+'Heritage Market'!K24</f>
        <v>0</v>
      </c>
      <c r="L24" s="126">
        <f t="shared" si="4"/>
        <v>0</v>
      </c>
      <c r="M24" s="125">
        <f>'POD Breezeway'!M24+'Express GL'!M24+'Starbucks GL-SBX Truck'!M24+'Miro''s'!M24+'Faculty Club'!M24+'Almazar &amp; Brand X'!M24+'Burger King'!M24+Bustelo!M24+Chilis!M24+Einstein!M24+Jamba!M24+'Pollo Tropical'!M24+'Subway GC'!M24+'Sushi Maki'!M24+Panda!M24+'Starbucks Mango'!M24+'Taco Bell'!M24+'Chick-fil-A'!M24+Dunkin!M24+Chipotle!M24+Sergios!M24+'Moes PG5'!M24+'Papa Johns'!M24+Salad!M24+'Half Moon &amp; Trop Smoothie'!M24+'Athletic Concessions -Kitchen'!M24+'Starbucks BBC'!M24+'Moes BBC'!M24+'Grille Works BBC &amp; Shipping'!M24+'Subway BBC'!M24+'Market Pavillion'!M24+'Chic Fil A BBC'!M24+Panera!M24+'Heritage Market'!M24</f>
        <v>0</v>
      </c>
      <c r="N24" s="126">
        <f t="shared" si="5"/>
        <v>0</v>
      </c>
      <c r="O24" s="125">
        <f>'POD Breezeway'!O24+'Express GL'!O24+'Starbucks GL-SBX Truck'!O24+'Miro''s'!O24+'Faculty Club'!O24+'Almazar &amp; Brand X'!O24+'Burger King'!O24+Bustelo!O24+Chilis!O24+Einstein!O24+Jamba!O24+'Pollo Tropical'!O24+'Subway GC'!O24+'Sushi Maki'!O24+Panda!O24+'Starbucks Mango'!O24+'Taco Bell'!O24+'Chick-fil-A'!O24+Dunkin!O24+Chipotle!O24+Sergios!O24+'Moes PG5'!O24+'Papa Johns'!O24+Salad!O24+'Half Moon &amp; Trop Smoothie'!O24+'Athletic Concessions -Kitchen'!O24+'Starbucks BBC'!O24+'Moes BBC'!O24+'Grille Works BBC &amp; Shipping'!O24+'Subway BBC'!O24+'Market Pavillion'!O24+'Chic Fil A BBC'!O24+Panera!O24+'Heritage Market'!O24</f>
        <v>0</v>
      </c>
      <c r="P24" s="126">
        <f t="shared" si="6"/>
        <v>0</v>
      </c>
      <c r="Q24" s="125">
        <f>'POD Breezeway'!Q24+'Express GL'!Q24+'Starbucks GL-SBX Truck'!Q24+'Miro''s'!Q24+'Faculty Club'!Q24+'Almazar &amp; Brand X'!Q24+'Burger King'!Q24+Bustelo!Q24+Chilis!Q24+Einstein!Q24+Jamba!Q24+'Pollo Tropical'!Q24+'Subway GC'!Q24+'Sushi Maki'!Q24+Panda!Q24+'Starbucks Mango'!Q24+'Taco Bell'!Q24+'Chick-fil-A'!Q24+Dunkin!Q24+Chipotle!Q24+Sergios!Q24+'Moes PG5'!Q24+'Papa Johns'!Q24+Salad!Q24+'Half Moon &amp; Trop Smoothie'!Q24+'Athletic Concessions -Kitchen'!Q24+'Starbucks BBC'!Q24+'Moes BBC'!Q24+'Grille Works BBC &amp; Shipping'!Q24+'Subway BBC'!Q24+'Market Pavillion'!Q24+'Chic Fil A BBC'!Q24+Panera!Q24+'Heritage Market'!Q24</f>
        <v>0</v>
      </c>
      <c r="R24" s="126">
        <f t="shared" si="7"/>
        <v>0</v>
      </c>
      <c r="S24" s="125">
        <f>'POD Breezeway'!S24+'Express GL'!S24+'Starbucks GL-SBX Truck'!S24+'Miro''s'!S24+'Faculty Club'!S24+'Almazar &amp; Brand X'!S24+'Burger King'!S24+Bustelo!S24+Chilis!S24+Einstein!S24+Jamba!S24+'Pollo Tropical'!S24+'Subway GC'!S24+'Sushi Maki'!S24+Panda!S24+'Starbucks Mango'!S24+'Taco Bell'!S24+'Chick-fil-A'!S24+Dunkin!S24+Chipotle!S24+Sergios!S24+'Moes PG5'!S24+'Papa Johns'!S24+Salad!S24+'Half Moon &amp; Trop Smoothie'!S24+'Athletic Concessions -Kitchen'!S24+'Starbucks BBC'!S24+'Moes BBC'!S24+'Grille Works BBC &amp; Shipping'!S24+'Subway BBC'!S24+'Market Pavillion'!S24+'Chic Fil A BBC'!S24+Panera!S24+'Heritage Market'!S24</f>
        <v>0</v>
      </c>
      <c r="T24" s="126">
        <f t="shared" si="8"/>
        <v>0</v>
      </c>
      <c r="U24" s="125">
        <f>'POD Breezeway'!U24+'Express GL'!U24+'Starbucks GL-SBX Truck'!U24+'Miro''s'!U24+'Faculty Club'!U24+'Almazar &amp; Brand X'!U24+'Burger King'!U24+Bustelo!U24+Chilis!U24+Einstein!U24+Jamba!U24+'Pollo Tropical'!U24+'Subway GC'!U24+'Sushi Maki'!U24+Panda!U24+'Starbucks Mango'!U24+'Taco Bell'!U24+'Chick-fil-A'!U24+Dunkin!U24+Chipotle!U24+Sergios!U24+'Moes PG5'!U24+'Papa Johns'!U24+Salad!U24+'Half Moon &amp; Trop Smoothie'!U24+'Athletic Concessions -Kitchen'!U24+'Starbucks BBC'!U24+'Moes BBC'!U24+'Grille Works BBC &amp; Shipping'!U24+'Subway BBC'!U24+'Market Pavillion'!U24+'Chic Fil A BBC'!U24+Panera!U24+'Heritage Market'!U24</f>
        <v>0</v>
      </c>
      <c r="V24" s="126">
        <f t="shared" si="9"/>
        <v>0</v>
      </c>
    </row>
    <row r="25" spans="1:22" ht="12.75" customHeight="1">
      <c r="A25" s="2" t="s">
        <v>375</v>
      </c>
      <c r="B25" s="35"/>
      <c r="C25" s="156">
        <f>'POD Breezeway'!C25+'Express GL'!C25+'Starbucks GL-SBX Truck'!C25+'Miro''s'!C25+'Faculty Club'!C25+'Almazar &amp; Brand X'!C25+'Burger King'!C25+Bustelo!C25+Chilis!C25+Einstein!C25+Jamba!C25+'Pollo Tropical'!C25+'Subway GC'!C25+'Sushi Maki'!C25+Panda!C25+'Starbucks Mango'!C25+'Taco Bell'!C25+'Chick-fil-A'!C25+Dunkin!C25+Chipotle!C25+Sergios!C25+'Moes PG5'!C25+'Papa Johns'!C25+Salad!C25+'Half Moon &amp; Trop Smoothie'!C25+'Athletic Concessions -Kitchen'!C25+'Starbucks BBC'!C25+'Moes BBC'!C25+'Grille Works BBC &amp; Shipping'!C25+'Subway BBC'!C25+'Market Pavillion'!C25+'Chic Fil A BBC'!C25+Panera!C25+'Heritage Market'!C25</f>
        <v>0</v>
      </c>
      <c r="D25" s="157">
        <f t="shared" si="0"/>
        <v>0</v>
      </c>
      <c r="E25" s="156">
        <f>'POD Breezeway'!E25+'Express GL'!E25+'Starbucks GL-SBX Truck'!E25+'Miro''s'!E25+'Faculty Club'!E25+'Almazar &amp; Brand X'!E25+'Burger King'!E25+Bustelo!E25+Chilis!E25+Einstein!E25+Jamba!E25+'Pollo Tropical'!E25+'Subway GC'!E25+'Sushi Maki'!E25+Panda!E25+'Starbucks Mango'!E25+'Taco Bell'!E25+'Chick-fil-A'!E25+Dunkin!E25+Chipotle!E25+Sergios!E25+'Moes PG5'!E25+'Papa Johns'!E25+Salad!E25+'Half Moon &amp; Trop Smoothie'!E25+'Athletic Concessions -Kitchen'!E25+'Starbucks BBC'!E25+'Moes BBC'!E25+'Grille Works BBC &amp; Shipping'!E25+'Subway BBC'!E25+'Market Pavillion'!E25+'Chic Fil A BBC'!E25+Panera!E25+'Heritage Market'!E25</f>
        <v>0</v>
      </c>
      <c r="F25" s="157">
        <f t="shared" si="1"/>
        <v>0</v>
      </c>
      <c r="G25" s="156">
        <f>'POD Breezeway'!G25+'Express GL'!G25+'Starbucks GL-SBX Truck'!G25+'Miro''s'!G25+'Faculty Club'!G25+'Almazar &amp; Brand X'!G25+'Burger King'!G25+Bustelo!G25+Chilis!G25+Einstein!G25+Jamba!G25+'Pollo Tropical'!G25+'Subway GC'!G25+'Sushi Maki'!G25+Panda!G25+'Starbucks Mango'!G25+'Taco Bell'!G25+'Chick-fil-A'!G25+Dunkin!G25+Chipotle!G25+Sergios!G25+'Moes PG5'!G25+'Papa Johns'!G25+Salad!G25+'Half Moon &amp; Trop Smoothie'!G25+'Athletic Concessions -Kitchen'!G25+'Starbucks BBC'!G25+'Moes BBC'!G25+'Grille Works BBC &amp; Shipping'!G25+'Subway BBC'!G25+'Market Pavillion'!G25+'Chic Fil A BBC'!G25+Panera!G25+'Heritage Market'!G25</f>
        <v>0</v>
      </c>
      <c r="H25" s="157">
        <f t="shared" si="2"/>
        <v>0</v>
      </c>
      <c r="I25" s="156">
        <f>'POD Breezeway'!I25+'Express GL'!I25+'Starbucks GL-SBX Truck'!I25+'Miro''s'!I25+'Faculty Club'!I25+'Almazar &amp; Brand X'!I25+'Burger King'!I25+Bustelo!I25+Chilis!I25+Einstein!I25+Jamba!I25+'Pollo Tropical'!I25+'Subway GC'!I25+'Sushi Maki'!I25+Panda!I25+'Starbucks Mango'!I25+'Taco Bell'!I25+'Chick-fil-A'!I25+Dunkin!I25+Chipotle!I25+Sergios!I25+'Moes PG5'!I25+'Papa Johns'!I25+Salad!I25+'Half Moon &amp; Trop Smoothie'!I25+'Athletic Concessions -Kitchen'!I25+'Starbucks BBC'!I25+'Moes BBC'!I25+'Grille Works BBC &amp; Shipping'!I25+'Subway BBC'!I25+'Market Pavillion'!I25+'Chic Fil A BBC'!I25+Panera!I25+'Heritage Market'!I25</f>
        <v>0</v>
      </c>
      <c r="J25" s="157">
        <f t="shared" si="3"/>
        <v>0</v>
      </c>
      <c r="K25" s="156">
        <f>'POD Breezeway'!K25+'Express GL'!K25+'Starbucks GL-SBX Truck'!K25+'Miro''s'!K25+'Faculty Club'!K25+'Almazar &amp; Brand X'!K25+'Burger King'!K25+Bustelo!K25+Chilis!K25+Einstein!K25+Jamba!K25+'Pollo Tropical'!K25+'Subway GC'!K25+'Sushi Maki'!K25+Panda!K25+'Starbucks Mango'!K25+'Taco Bell'!K25+'Chick-fil-A'!K25+Dunkin!K25+Chipotle!K25+Sergios!K25+'Moes PG5'!K25+'Papa Johns'!K25+Salad!K25+'Half Moon &amp; Trop Smoothie'!K25+'Athletic Concessions -Kitchen'!K25+'Starbucks BBC'!K25+'Moes BBC'!K25+'Grille Works BBC &amp; Shipping'!K25+'Subway BBC'!K25+'Market Pavillion'!K25+'Chic Fil A BBC'!K25+Panera!K25+'Heritage Market'!K25</f>
        <v>0</v>
      </c>
      <c r="L25" s="157">
        <f t="shared" si="4"/>
        <v>0</v>
      </c>
      <c r="M25" s="156">
        <f>'POD Breezeway'!M25+'Express GL'!M25+'Starbucks GL-SBX Truck'!M25+'Miro''s'!M25+'Faculty Club'!M25+'Almazar &amp; Brand X'!M25+'Burger King'!M25+Bustelo!M25+Chilis!M25+Einstein!M25+Jamba!M25+'Pollo Tropical'!M25+'Subway GC'!M25+'Sushi Maki'!M25+Panda!M25+'Starbucks Mango'!M25+'Taco Bell'!M25+'Chick-fil-A'!M25+Dunkin!M25+Chipotle!M25+Sergios!M25+'Moes PG5'!M25+'Papa Johns'!M25+Salad!M25+'Half Moon &amp; Trop Smoothie'!M25+'Athletic Concessions -Kitchen'!M25+'Starbucks BBC'!M25+'Moes BBC'!M25+'Grille Works BBC &amp; Shipping'!M25+'Subway BBC'!M25+'Market Pavillion'!M25+'Chic Fil A BBC'!M25+Panera!M25+'Heritage Market'!M25</f>
        <v>0</v>
      </c>
      <c r="N25" s="157">
        <f t="shared" si="5"/>
        <v>0</v>
      </c>
      <c r="O25" s="156">
        <f>'POD Breezeway'!O25+'Express GL'!O25+'Starbucks GL-SBX Truck'!O25+'Miro''s'!O25+'Faculty Club'!O25+'Almazar &amp; Brand X'!O25+'Burger King'!O25+Bustelo!O25+Chilis!O25+Einstein!O25+Jamba!O25+'Pollo Tropical'!O25+'Subway GC'!O25+'Sushi Maki'!O25+Panda!O25+'Starbucks Mango'!O25+'Taco Bell'!O25+'Chick-fil-A'!O25+Dunkin!O25+Chipotle!O25+Sergios!O25+'Moes PG5'!O25+'Papa Johns'!O25+Salad!O25+'Half Moon &amp; Trop Smoothie'!O25+'Athletic Concessions -Kitchen'!O25+'Starbucks BBC'!O25+'Moes BBC'!O25+'Grille Works BBC &amp; Shipping'!O25+'Subway BBC'!O25+'Market Pavillion'!O25+'Chic Fil A BBC'!O25+Panera!O25+'Heritage Market'!O25</f>
        <v>0</v>
      </c>
      <c r="P25" s="157">
        <f t="shared" si="6"/>
        <v>0</v>
      </c>
      <c r="Q25" s="156">
        <f>'POD Breezeway'!Q25+'Express GL'!Q25+'Starbucks GL-SBX Truck'!Q25+'Miro''s'!Q25+'Faculty Club'!Q25+'Almazar &amp; Brand X'!Q25+'Burger King'!Q25+Bustelo!Q25+Chilis!Q25+Einstein!Q25+Jamba!Q25+'Pollo Tropical'!Q25+'Subway GC'!Q25+'Sushi Maki'!Q25+Panda!Q25+'Starbucks Mango'!Q25+'Taco Bell'!Q25+'Chick-fil-A'!Q25+Dunkin!Q25+Chipotle!Q25+Sergios!Q25+'Moes PG5'!Q25+'Papa Johns'!Q25+Salad!Q25+'Half Moon &amp; Trop Smoothie'!Q25+'Athletic Concessions -Kitchen'!Q25+'Starbucks BBC'!Q25+'Moes BBC'!Q25+'Grille Works BBC &amp; Shipping'!Q25+'Subway BBC'!Q25+'Market Pavillion'!Q25+'Chic Fil A BBC'!Q25+Panera!Q25+'Heritage Market'!Q25</f>
        <v>0</v>
      </c>
      <c r="R25" s="157">
        <f t="shared" si="7"/>
        <v>0</v>
      </c>
      <c r="S25" s="156">
        <f>'POD Breezeway'!S25+'Express GL'!S25+'Starbucks GL-SBX Truck'!S25+'Miro''s'!S25+'Faculty Club'!S25+'Almazar &amp; Brand X'!S25+'Burger King'!S25+Bustelo!S25+Chilis!S25+Einstein!S25+Jamba!S25+'Pollo Tropical'!S25+'Subway GC'!S25+'Sushi Maki'!S25+Panda!S25+'Starbucks Mango'!S25+'Taco Bell'!S25+'Chick-fil-A'!S25+Dunkin!S25+Chipotle!S25+Sergios!S25+'Moes PG5'!S25+'Papa Johns'!S25+Salad!S25+'Half Moon &amp; Trop Smoothie'!S25+'Athletic Concessions -Kitchen'!S25+'Starbucks BBC'!S25+'Moes BBC'!S25+'Grille Works BBC &amp; Shipping'!S25+'Subway BBC'!S25+'Market Pavillion'!S25+'Chic Fil A BBC'!S25+Panera!S25+'Heritage Market'!S25</f>
        <v>0</v>
      </c>
      <c r="T25" s="157">
        <f t="shared" si="8"/>
        <v>0</v>
      </c>
      <c r="U25" s="156">
        <f>'POD Breezeway'!U25+'Express GL'!U25+'Starbucks GL-SBX Truck'!U25+'Miro''s'!U25+'Faculty Club'!U25+'Almazar &amp; Brand X'!U25+'Burger King'!U25+Bustelo!U25+Chilis!U25+Einstein!U25+Jamba!U25+'Pollo Tropical'!U25+'Subway GC'!U25+'Sushi Maki'!U25+Panda!U25+'Starbucks Mango'!U25+'Taco Bell'!U25+'Chick-fil-A'!U25+Dunkin!U25+Chipotle!U25+Sergios!U25+'Moes PG5'!U25+'Papa Johns'!U25+Salad!U25+'Half Moon &amp; Trop Smoothie'!U25+'Athletic Concessions -Kitchen'!U25+'Starbucks BBC'!U25+'Moes BBC'!U25+'Grille Works BBC &amp; Shipping'!U25+'Subway BBC'!U25+'Market Pavillion'!U25+'Chic Fil A BBC'!U25+Panera!U25+'Heritage Market'!U25</f>
        <v>0</v>
      </c>
      <c r="V25" s="157">
        <f t="shared" si="9"/>
        <v>0</v>
      </c>
    </row>
    <row r="26" spans="1:22" ht="12.75" customHeight="1">
      <c r="A26" s="122" t="s">
        <v>376</v>
      </c>
      <c r="B26" s="35"/>
      <c r="C26" s="125">
        <f>'POD Breezeway'!C26+'Express GL'!C26+'Starbucks GL-SBX Truck'!C26+'Miro''s'!C26+'Faculty Club'!C26+'Almazar &amp; Brand X'!C26+'Burger King'!C26+Bustelo!C26+Chilis!C26+Einstein!C26+Jamba!C26+'Pollo Tropical'!C26+'Subway GC'!C26+'Sushi Maki'!C26+Panda!C26+'Starbucks Mango'!C26+'Taco Bell'!C26+'Chick-fil-A'!C26+Dunkin!C26+Chipotle!C26+Sergios!C26+'Moes PG5'!C26+'Papa Johns'!C26+Salad!C26+'Half Moon &amp; Trop Smoothie'!C26+'Athletic Concessions -Kitchen'!C26+'Starbucks BBC'!C26+'Moes BBC'!C26+'Grille Works BBC &amp; Shipping'!C26+'Subway BBC'!C26+'Market Pavillion'!C26+'Chic Fil A BBC'!C26+Panera!C26+'Heritage Market'!C26</f>
        <v>0</v>
      </c>
      <c r="D26" s="126">
        <f t="shared" si="0"/>
        <v>0</v>
      </c>
      <c r="E26" s="125">
        <f>'POD Breezeway'!E26+'Express GL'!E26+'Starbucks GL-SBX Truck'!E26+'Miro''s'!E26+'Faculty Club'!E26+'Almazar &amp; Brand X'!E26+'Burger King'!E26+Bustelo!E26+Chilis!E26+Einstein!E26+Jamba!E26+'Pollo Tropical'!E26+'Subway GC'!E26+'Sushi Maki'!E26+Panda!E26+'Starbucks Mango'!E26+'Taco Bell'!E26+'Chick-fil-A'!E26+Dunkin!E26+Chipotle!E26+Sergios!E26+'Moes PG5'!E26+'Papa Johns'!E26+Salad!E26+'Half Moon &amp; Trop Smoothie'!E26+'Athletic Concessions -Kitchen'!E26+'Starbucks BBC'!E26+'Moes BBC'!E26+'Grille Works BBC &amp; Shipping'!E26+'Subway BBC'!E26+'Market Pavillion'!E26+'Chic Fil A BBC'!E26+Panera!E26+'Heritage Market'!E26</f>
        <v>0</v>
      </c>
      <c r="F26" s="126">
        <f t="shared" si="1"/>
        <v>0</v>
      </c>
      <c r="G26" s="125">
        <f>'POD Breezeway'!G26+'Express GL'!G26+'Starbucks GL-SBX Truck'!G26+'Miro''s'!G26+'Faculty Club'!G26+'Almazar &amp; Brand X'!G26+'Burger King'!G26+Bustelo!G26+Chilis!G26+Einstein!G26+Jamba!G26+'Pollo Tropical'!G26+'Subway GC'!G26+'Sushi Maki'!G26+Panda!G26+'Starbucks Mango'!G26+'Taco Bell'!G26+'Chick-fil-A'!G26+Dunkin!G26+Chipotle!G26+Sergios!G26+'Moes PG5'!G26+'Papa Johns'!G26+Salad!G26+'Half Moon &amp; Trop Smoothie'!G26+'Athletic Concessions -Kitchen'!G26+'Starbucks BBC'!G26+'Moes BBC'!G26+'Grille Works BBC &amp; Shipping'!G26+'Subway BBC'!G26+'Market Pavillion'!G26+'Chic Fil A BBC'!G26+Panera!G26+'Heritage Market'!G26</f>
        <v>0</v>
      </c>
      <c r="H26" s="126">
        <f t="shared" si="2"/>
        <v>0</v>
      </c>
      <c r="I26" s="125">
        <f>'POD Breezeway'!I26+'Express GL'!I26+'Starbucks GL-SBX Truck'!I26+'Miro''s'!I26+'Faculty Club'!I26+'Almazar &amp; Brand X'!I26+'Burger King'!I26+Bustelo!I26+Chilis!I26+Einstein!I26+Jamba!I26+'Pollo Tropical'!I26+'Subway GC'!I26+'Sushi Maki'!I26+Panda!I26+'Starbucks Mango'!I26+'Taco Bell'!I26+'Chick-fil-A'!I26+Dunkin!I26+Chipotle!I26+Sergios!I26+'Moes PG5'!I26+'Papa Johns'!I26+Salad!I26+'Half Moon &amp; Trop Smoothie'!I26+'Athletic Concessions -Kitchen'!I26+'Starbucks BBC'!I26+'Moes BBC'!I26+'Grille Works BBC &amp; Shipping'!I26+'Subway BBC'!I26+'Market Pavillion'!I26+'Chic Fil A BBC'!I26+Panera!I26+'Heritage Market'!I26</f>
        <v>0</v>
      </c>
      <c r="J26" s="126">
        <f t="shared" si="3"/>
        <v>0</v>
      </c>
      <c r="K26" s="125">
        <f>'POD Breezeway'!K26+'Express GL'!K26+'Starbucks GL-SBX Truck'!K26+'Miro''s'!K26+'Faculty Club'!K26+'Almazar &amp; Brand X'!K26+'Burger King'!K26+Bustelo!K26+Chilis!K26+Einstein!K26+Jamba!K26+'Pollo Tropical'!K26+'Subway GC'!K26+'Sushi Maki'!K26+Panda!K26+'Starbucks Mango'!K26+'Taco Bell'!K26+'Chick-fil-A'!K26+Dunkin!K26+Chipotle!K26+Sergios!K26+'Moes PG5'!K26+'Papa Johns'!K26+Salad!K26+'Half Moon &amp; Trop Smoothie'!K26+'Athletic Concessions -Kitchen'!K26+'Starbucks BBC'!K26+'Moes BBC'!K26+'Grille Works BBC &amp; Shipping'!K26+'Subway BBC'!K26+'Market Pavillion'!K26+'Chic Fil A BBC'!K26+Panera!K26+'Heritage Market'!K26</f>
        <v>0</v>
      </c>
      <c r="L26" s="126">
        <f t="shared" si="4"/>
        <v>0</v>
      </c>
      <c r="M26" s="125">
        <f>'POD Breezeway'!M26+'Express GL'!M26+'Starbucks GL-SBX Truck'!M26+'Miro''s'!M26+'Faculty Club'!M26+'Almazar &amp; Brand X'!M26+'Burger King'!M26+Bustelo!M26+Chilis!M26+Einstein!M26+Jamba!M26+'Pollo Tropical'!M26+'Subway GC'!M26+'Sushi Maki'!M26+Panda!M26+'Starbucks Mango'!M26+'Taco Bell'!M26+'Chick-fil-A'!M26+Dunkin!M26+Chipotle!M26+Sergios!M26+'Moes PG5'!M26+'Papa Johns'!M26+Salad!M26+'Half Moon &amp; Trop Smoothie'!M26+'Athletic Concessions -Kitchen'!M26+'Starbucks BBC'!M26+'Moes BBC'!M26+'Grille Works BBC &amp; Shipping'!M26+'Subway BBC'!M26+'Market Pavillion'!M26+'Chic Fil A BBC'!M26+Panera!M26+'Heritage Market'!M26</f>
        <v>0</v>
      </c>
      <c r="N26" s="126">
        <f t="shared" si="5"/>
        <v>0</v>
      </c>
      <c r="O26" s="125">
        <f>'POD Breezeway'!O26+'Express GL'!O26+'Starbucks GL-SBX Truck'!O26+'Miro''s'!O26+'Faculty Club'!O26+'Almazar &amp; Brand X'!O26+'Burger King'!O26+Bustelo!O26+Chilis!O26+Einstein!O26+Jamba!O26+'Pollo Tropical'!O26+'Subway GC'!O26+'Sushi Maki'!O26+Panda!O26+'Starbucks Mango'!O26+'Taco Bell'!O26+'Chick-fil-A'!O26+Dunkin!O26+Chipotle!O26+Sergios!O26+'Moes PG5'!O26+'Papa Johns'!O26+Salad!O26+'Half Moon &amp; Trop Smoothie'!O26+'Athletic Concessions -Kitchen'!O26+'Starbucks BBC'!O26+'Moes BBC'!O26+'Grille Works BBC &amp; Shipping'!O26+'Subway BBC'!O26+'Market Pavillion'!O26+'Chic Fil A BBC'!O26+Panera!O26+'Heritage Market'!O26</f>
        <v>0</v>
      </c>
      <c r="P26" s="126">
        <f t="shared" si="6"/>
        <v>0</v>
      </c>
      <c r="Q26" s="125">
        <f>'POD Breezeway'!Q26+'Express GL'!Q26+'Starbucks GL-SBX Truck'!Q26+'Miro''s'!Q26+'Faculty Club'!Q26+'Almazar &amp; Brand X'!Q26+'Burger King'!Q26+Bustelo!Q26+Chilis!Q26+Einstein!Q26+Jamba!Q26+'Pollo Tropical'!Q26+'Subway GC'!Q26+'Sushi Maki'!Q26+Panda!Q26+'Starbucks Mango'!Q26+'Taco Bell'!Q26+'Chick-fil-A'!Q26+Dunkin!Q26+Chipotle!Q26+Sergios!Q26+'Moes PG5'!Q26+'Papa Johns'!Q26+Salad!Q26+'Half Moon &amp; Trop Smoothie'!Q26+'Athletic Concessions -Kitchen'!Q26+'Starbucks BBC'!Q26+'Moes BBC'!Q26+'Grille Works BBC &amp; Shipping'!Q26+'Subway BBC'!Q26+'Market Pavillion'!Q26+'Chic Fil A BBC'!Q26+Panera!Q26+'Heritage Market'!Q26</f>
        <v>0</v>
      </c>
      <c r="R26" s="126">
        <f t="shared" si="7"/>
        <v>0</v>
      </c>
      <c r="S26" s="125">
        <f>'POD Breezeway'!S26+'Express GL'!S26+'Starbucks GL-SBX Truck'!S26+'Miro''s'!S26+'Faculty Club'!S26+'Almazar &amp; Brand X'!S26+'Burger King'!S26+Bustelo!S26+Chilis!S26+Einstein!S26+Jamba!S26+'Pollo Tropical'!S26+'Subway GC'!S26+'Sushi Maki'!S26+Panda!S26+'Starbucks Mango'!S26+'Taco Bell'!S26+'Chick-fil-A'!S26+Dunkin!S26+Chipotle!S26+Sergios!S26+'Moes PG5'!S26+'Papa Johns'!S26+Salad!S26+'Half Moon &amp; Trop Smoothie'!S26+'Athletic Concessions -Kitchen'!S26+'Starbucks BBC'!S26+'Moes BBC'!S26+'Grille Works BBC &amp; Shipping'!S26+'Subway BBC'!S26+'Market Pavillion'!S26+'Chic Fil A BBC'!S26+Panera!S26+'Heritage Market'!S26</f>
        <v>0</v>
      </c>
      <c r="T26" s="126">
        <f t="shared" si="8"/>
        <v>0</v>
      </c>
      <c r="U26" s="125">
        <f>'POD Breezeway'!U26+'Express GL'!U26+'Starbucks GL-SBX Truck'!U26+'Miro''s'!U26+'Faculty Club'!U26+'Almazar &amp; Brand X'!U26+'Burger King'!U26+Bustelo!U26+Chilis!U26+Einstein!U26+Jamba!U26+'Pollo Tropical'!U26+'Subway GC'!U26+'Sushi Maki'!U26+Panda!U26+'Starbucks Mango'!U26+'Taco Bell'!U26+'Chick-fil-A'!U26+Dunkin!U26+Chipotle!U26+Sergios!U26+'Moes PG5'!U26+'Papa Johns'!U26+Salad!U26+'Half Moon &amp; Trop Smoothie'!U26+'Athletic Concessions -Kitchen'!U26+'Starbucks BBC'!U26+'Moes BBC'!U26+'Grille Works BBC &amp; Shipping'!U26+'Subway BBC'!U26+'Market Pavillion'!U26+'Chic Fil A BBC'!U26+Panera!U26+'Heritage Market'!U26</f>
        <v>0</v>
      </c>
      <c r="V26" s="126">
        <f t="shared" si="9"/>
        <v>0</v>
      </c>
    </row>
    <row r="27" spans="1:22" ht="12.75" customHeight="1">
      <c r="A27" s="2" t="s">
        <v>474</v>
      </c>
      <c r="B27" s="35"/>
      <c r="C27" s="81">
        <f>'POD Breezeway'!C27+'Express GL'!C27+'Starbucks GL-SBX Truck'!C27+'Miro''s'!C27+'Faculty Club'!C27+'Almazar &amp; Brand X'!C27+'Burger King'!C27+Bustelo!C27+Chilis!C27+Einstein!C27+Jamba!C27+'Pollo Tropical'!C27+'Subway GC'!C27+'Sushi Maki'!C27+Panda!C27+'Starbucks Mango'!C27+'Taco Bell'!C27+'Chick-fil-A'!C27+Dunkin!C27+Chipotle!C27+Sergios!C27+'Moes PG5'!C27+'Papa Johns'!C27+Salad!C27+'Half Moon &amp; Trop Smoothie'!C27+'Athletic Concessions -Kitchen'!C27+'Starbucks BBC'!C27+'Moes BBC'!C27+'Grille Works BBC &amp; Shipping'!C27+'Subway BBC'!C27+'Market Pavillion'!C27+'Chic Fil A BBC'!C27+Panera!C27+'Heritage Market'!C27</f>
        <v>303800</v>
      </c>
      <c r="D27" s="80">
        <f t="shared" si="0"/>
        <v>1.9165258515383955E-2</v>
      </c>
      <c r="E27" s="81">
        <f>'POD Breezeway'!E27+'Express GL'!E27+'Starbucks GL-SBX Truck'!E27+'Miro''s'!E27+'Faculty Club'!E27+'Almazar &amp; Brand X'!E27+'Burger King'!E27+Bustelo!E27+Chilis!E27+Einstein!E27+Jamba!E27+'Pollo Tropical'!E27+'Subway GC'!E27+'Sushi Maki'!E27+Panda!E27+'Starbucks Mango'!E27+'Taco Bell'!E27+'Chick-fil-A'!E27+Dunkin!E27+Chipotle!E27+Sergios!E27+'Moes PG5'!E27+'Papa Johns'!E27+Salad!E27+'Half Moon &amp; Trop Smoothie'!E27+'Athletic Concessions -Kitchen'!E27+'Starbucks BBC'!E27+'Moes BBC'!E27+'Grille Works BBC &amp; Shipping'!E27+'Subway BBC'!E27+'Market Pavillion'!E27+'Chic Fil A BBC'!E27+Panera!E27+'Heritage Market'!E27</f>
        <v>553376</v>
      </c>
      <c r="F27" s="80">
        <f t="shared" si="1"/>
        <v>2.9419165317520937E-2</v>
      </c>
      <c r="G27" s="81">
        <f>'POD Breezeway'!G27+'Express GL'!G27+'Starbucks GL-SBX Truck'!G27+'Miro''s'!G27+'Faculty Club'!G27+'Almazar &amp; Brand X'!G27+'Burger King'!G27+Bustelo!G27+Chilis!G27+Einstein!G27+Jamba!G27+'Pollo Tropical'!G27+'Subway GC'!G27+'Sushi Maki'!G27+Panda!G27+'Starbucks Mango'!G27+'Taco Bell'!G27+'Chick-fil-A'!G27+Dunkin!G27+Chipotle!G27+Sergios!G27+'Moes PG5'!G27+'Papa Johns'!G27+Salad!G27+'Half Moon &amp; Trop Smoothie'!G27+'Athletic Concessions -Kitchen'!G27+'Starbucks BBC'!G27+'Moes BBC'!G27+'Grille Works BBC &amp; Shipping'!G27+'Subway BBC'!G27+'Market Pavillion'!G27+'Chic Fil A BBC'!G27+Panera!G27+'Heritage Market'!G27</f>
        <v>490099.8</v>
      </c>
      <c r="H27" s="80">
        <f t="shared" si="2"/>
        <v>2.3747610659174388E-2</v>
      </c>
      <c r="I27" s="81">
        <f>'POD Breezeway'!I27+'Express GL'!I27+'Starbucks GL-SBX Truck'!I27+'Miro''s'!I27+'Faculty Club'!I27+'Almazar &amp; Brand X'!I27+'Burger King'!I27+Bustelo!I27+Chilis!I27+Einstein!I27+Jamba!I27+'Pollo Tropical'!I27+'Subway GC'!I27+'Sushi Maki'!I27+Panda!I27+'Starbucks Mango'!I27+'Taco Bell'!I27+'Chick-fil-A'!I27+Dunkin!I27+Chipotle!I27+Sergios!I27+'Moes PG5'!I27+'Papa Johns'!I27+Salad!I27+'Half Moon &amp; Trop Smoothie'!I27+'Athletic Concessions -Kitchen'!I27+'Starbucks BBC'!I27+'Moes BBC'!I27+'Grille Works BBC &amp; Shipping'!I27+'Subway BBC'!I27+'Market Pavillion'!I27+'Chic Fil A BBC'!I27+Panera!I27+'Heritage Market'!I27</f>
        <v>499901.79599999997</v>
      </c>
      <c r="J27" s="80">
        <f t="shared" si="3"/>
        <v>2.3339533195196563E-2</v>
      </c>
      <c r="K27" s="81">
        <f>'POD Breezeway'!K27+'Express GL'!K27+'Starbucks GL-SBX Truck'!K27+'Miro''s'!K27+'Faculty Club'!K27+'Almazar &amp; Brand X'!K27+'Burger King'!K27+Bustelo!K27+Chilis!K27+Einstein!K27+Jamba!K27+'Pollo Tropical'!K27+'Subway GC'!K27+'Sushi Maki'!K27+Panda!K27+'Starbucks Mango'!K27+'Taco Bell'!K27+'Chick-fil-A'!K27+Dunkin!K27+Chipotle!K27+Sergios!K27+'Moes PG5'!K27+'Papa Johns'!K27+Salad!K27+'Half Moon &amp; Trop Smoothie'!K27+'Athletic Concessions -Kitchen'!K27+'Starbucks BBC'!K27+'Moes BBC'!K27+'Grille Works BBC &amp; Shipping'!K27+'Subway BBC'!K27+'Market Pavillion'!K27+'Chic Fil A BBC'!K27+Panera!K27+'Heritage Market'!K27</f>
        <v>512362.45872</v>
      </c>
      <c r="L27" s="80">
        <f t="shared" si="4"/>
        <v>2.3218949971837422E-2</v>
      </c>
      <c r="M27" s="81">
        <f>'POD Breezeway'!M27+'Express GL'!M27+'Starbucks GL-SBX Truck'!M27+'Miro''s'!M27+'Faculty Club'!M27+'Almazar &amp; Brand X'!M27+'Burger King'!M27+Bustelo!M27+Chilis!M27+Einstein!M27+Jamba!M27+'Pollo Tropical'!M27+'Subway GC'!M27+'Sushi Maki'!M27+Panda!M27+'Starbucks Mango'!M27+'Taco Bell'!M27+'Chick-fil-A'!M27+Dunkin!M27+Chipotle!M27+Sergios!M27+'Moes PG5'!M27+'Papa Johns'!M27+Salad!M27+'Half Moon &amp; Trop Smoothie'!M27+'Athletic Concessions -Kitchen'!M27+'Starbucks BBC'!M27+'Moes BBC'!M27+'Grille Works BBC &amp; Shipping'!M27+'Subway BBC'!M27+'Market Pavillion'!M27+'Chic Fil A BBC'!M27+Panera!M27+'Heritage Market'!M27</f>
        <v>525146.21349840006</v>
      </c>
      <c r="N27" s="80">
        <f t="shared" si="5"/>
        <v>2.3090981937651078E-2</v>
      </c>
      <c r="O27" s="81">
        <f>'POD Breezeway'!O27+'Express GL'!O27+'Starbucks GL-SBX Truck'!O27+'Miro''s'!O27+'Faculty Club'!O27+'Almazar &amp; Brand X'!O27+'Burger King'!O27+Bustelo!O27+Chilis!O27+Einstein!O27+Jamba!O27+'Pollo Tropical'!O27+'Subway GC'!O27+'Sushi Maki'!O27+Panda!O27+'Starbucks Mango'!O27+'Taco Bell'!O27+'Chick-fil-A'!O27+Dunkin!O27+Chipotle!O27+Sergios!O27+'Moes PG5'!O27+'Papa Johns'!O27+Salad!O27+'Half Moon &amp; Trop Smoothie'!O27+'Athletic Concessions -Kitchen'!O27+'Starbucks BBC'!O27+'Moes BBC'!O27+'Grille Works BBC &amp; Shipping'!O27+'Subway BBC'!O27+'Market Pavillion'!O27+'Chic Fil A BBC'!O27+Panera!O27+'Heritage Market'!O27</f>
        <v>538261.73854048806</v>
      </c>
      <c r="P27" s="80">
        <f t="shared" si="6"/>
        <v>2.2946538813068764E-2</v>
      </c>
      <c r="Q27" s="81">
        <f>'POD Breezeway'!Q27+'Express GL'!Q27+'Starbucks GL-SBX Truck'!Q27+'Miro''s'!Q27+'Faculty Club'!Q27+'Almazar &amp; Brand X'!Q27+'Burger King'!Q27+Bustelo!Q27+Chilis!Q27+Einstein!Q27+Jamba!Q27+'Pollo Tropical'!Q27+'Subway GC'!Q27+'Sushi Maki'!Q27+Panda!Q27+'Starbucks Mango'!Q27+'Taco Bell'!Q27+'Chick-fil-A'!Q27+Dunkin!Q27+Chipotle!Q27+Sergios!Q27+'Moes PG5'!Q27+'Papa Johns'!Q27+Salad!Q27+'Half Moon &amp; Trop Smoothie'!Q27+'Athletic Concessions -Kitchen'!Q27+'Starbucks BBC'!Q27+'Moes BBC'!Q27+'Grille Works BBC &amp; Shipping'!Q27+'Subway BBC'!Q27+'Market Pavillion'!Q27+'Chic Fil A BBC'!Q27+Panera!Q27+'Heritage Market'!Q27</f>
        <v>551717.95210658142</v>
      </c>
      <c r="R27" s="80">
        <f t="shared" si="7"/>
        <v>2.279224673244817E-2</v>
      </c>
      <c r="S27" s="81">
        <f>'POD Breezeway'!S27+'Express GL'!S27+'Starbucks GL-SBX Truck'!S27+'Miro''s'!S27+'Faculty Club'!S27+'Almazar &amp; Brand X'!S27+'Burger King'!S27+Bustelo!S27+Chilis!S27+Einstein!S27+Jamba!S27+'Pollo Tropical'!S27+'Subway GC'!S27+'Sushi Maki'!S27+Panda!S27+'Starbucks Mango'!S27+'Taco Bell'!S27+'Chick-fil-A'!S27+Dunkin!S27+Chipotle!S27+Sergios!S27+'Moes PG5'!S27+'Papa Johns'!S27+Salad!S27+'Half Moon &amp; Trop Smoothie'!S27+'Athletic Concessions -Kitchen'!S27+'Starbucks BBC'!S27+'Moes BBC'!S27+'Grille Works BBC &amp; Shipping'!S27+'Subway BBC'!S27+'Market Pavillion'!S27+'Chic Fil A BBC'!S27+Panera!S27+'Heritage Market'!S27</f>
        <v>565524.01930785528</v>
      </c>
      <c r="T27" s="80">
        <f t="shared" si="8"/>
        <v>2.2633830922656299E-2</v>
      </c>
      <c r="U27" s="81">
        <f>'POD Breezeway'!U27+'Express GL'!U27+'Starbucks GL-SBX Truck'!U27+'Miro''s'!U27+'Faculty Club'!U27+'Almazar &amp; Brand X'!U27+'Burger King'!U27+Bustelo!U27+Chilis!U27+Einstein!U27+Jamba!U27+'Pollo Tropical'!U27+'Subway GC'!U27+'Sushi Maki'!U27+Panda!U27+'Starbucks Mango'!U27+'Taco Bell'!U27+'Chick-fil-A'!U27+Dunkin!U27+Chipotle!U27+Sergios!U27+'Moes PG5'!U27+'Papa Johns'!U27+Salad!U27+'Half Moon &amp; Trop Smoothie'!U27+'Athletic Concessions -Kitchen'!U27+'Starbucks BBC'!U27+'Moes BBC'!U27+'Grille Works BBC &amp; Shipping'!U27+'Subway BBC'!U27+'Market Pavillion'!U27+'Chic Fil A BBC'!U27+Panera!U27+'Heritage Market'!U27</f>
        <v>579689.35909792874</v>
      </c>
      <c r="V27" s="80">
        <f t="shared" si="9"/>
        <v>2.2472298371897532E-2</v>
      </c>
    </row>
    <row r="28" spans="1:22" ht="12.75" customHeight="1">
      <c r="A28" s="1" t="s">
        <v>378</v>
      </c>
      <c r="B28" s="53"/>
      <c r="C28" s="82">
        <f>SUM(C19:C27)</f>
        <v>15851599.379999999</v>
      </c>
      <c r="D28" s="83">
        <f t="shared" si="0"/>
        <v>1</v>
      </c>
      <c r="E28" s="82">
        <f>SUM(E19:E27)</f>
        <v>18810051</v>
      </c>
      <c r="F28" s="83">
        <f t="shared" si="1"/>
        <v>1</v>
      </c>
      <c r="G28" s="82">
        <f>SUM(G19:G27)</f>
        <v>20637857.300000001</v>
      </c>
      <c r="H28" s="83">
        <f t="shared" si="2"/>
        <v>1</v>
      </c>
      <c r="I28" s="82">
        <f>SUM(I19:I27)</f>
        <v>21418671.565499999</v>
      </c>
      <c r="J28" s="83">
        <f t="shared" si="3"/>
        <v>1</v>
      </c>
      <c r="K28" s="82">
        <f>SUM(K19:K27)</f>
        <v>22066564.566505004</v>
      </c>
      <c r="L28" s="83">
        <f t="shared" si="4"/>
        <v>1</v>
      </c>
      <c r="M28" s="82">
        <f>SUM(M19:M27)</f>
        <v>22742480.805552974</v>
      </c>
      <c r="N28" s="83">
        <f t="shared" si="5"/>
        <v>1</v>
      </c>
      <c r="O28" s="82">
        <f>SUM(O19:O27)</f>
        <v>23457208.20579404</v>
      </c>
      <c r="P28" s="83">
        <f t="shared" si="6"/>
        <v>1</v>
      </c>
      <c r="Q28" s="82">
        <f>SUM(Q19:Q27)</f>
        <v>24206387.311573301</v>
      </c>
      <c r="R28" s="83">
        <f t="shared" si="7"/>
        <v>1</v>
      </c>
      <c r="S28" s="82">
        <f>SUM(S19:S27)</f>
        <v>24985784.387996372</v>
      </c>
      <c r="T28" s="83">
        <f t="shared" si="8"/>
        <v>1</v>
      </c>
      <c r="U28" s="82">
        <f>SUM(U19:U27)</f>
        <v>25795730.792843711</v>
      </c>
      <c r="V28" s="83">
        <f t="shared" si="9"/>
        <v>1</v>
      </c>
    </row>
    <row r="29" spans="1:22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2" ht="12.75" customHeight="1">
      <c r="A30" s="1" t="s">
        <v>379</v>
      </c>
      <c r="B30" s="53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2" ht="12.75" customHeight="1">
      <c r="A31" s="2" t="s">
        <v>380</v>
      </c>
      <c r="B31" s="35"/>
      <c r="C31" s="79">
        <f>'POD Breezeway'!C31+'Express GL'!C31+'Starbucks GL-SBX Truck'!C31+'Miro''s'!C31+'Faculty Club'!C31+'Almazar &amp; Brand X'!C31+'Burger King'!C31+Bustelo!C31+Chilis!C31+Einstein!C31+Jamba!C31+'Pollo Tropical'!C31+'Subway GC'!C31+'Sushi Maki'!C31+Panda!C31+'Starbucks Mango'!C31+'Taco Bell'!C31+'Chick-fil-A'!C31+Dunkin!C31+Chipotle!C31+Sergios!C31+'Moes PG5'!C31+'Papa Johns'!C31+Salad!C31+'Half Moon &amp; Trop Smoothie'!C31+'Athletic Concessions -Kitchen'!C31+'Starbucks BBC'!C31+'Moes BBC'!C31+'Grille Works BBC &amp; Shipping'!C31+'Subway BBC'!C31+'Market Pavillion'!C31+'Chic Fil A BBC'!C31+Panera!C31+'Heritage Market'!C31</f>
        <v>4992471.5296200002</v>
      </c>
      <c r="D31" s="80">
        <f>IFERROR(C31/C$28,0)</f>
        <v>0.31495065008512729</v>
      </c>
      <c r="E31" s="79">
        <f>'POD Breezeway'!E31+'Express GL'!E31+'Starbucks GL-SBX Truck'!E31+'Miro''s'!E31+'Faculty Club'!E31+'Almazar &amp; Brand X'!E31+'Burger King'!E31+Bustelo!E31+Chilis!E31+Einstein!E31+Jamba!E31+'Pollo Tropical'!E31+'Subway GC'!E31+'Sushi Maki'!E31+Panda!E31+'Starbucks Mango'!E31+'Taco Bell'!E31+'Chick-fil-A'!E31+Dunkin!E31+Chipotle!E31+Sergios!E31+'Moes PG5'!E31+'Papa Johns'!E31+Salad!E31+'Half Moon &amp; Trop Smoothie'!E31+'Athletic Concessions -Kitchen'!E31+'Starbucks BBC'!E31+'Moes BBC'!E31+'Grille Works BBC &amp; Shipping'!E31+'Subway BBC'!E31+'Market Pavillion'!E31+'Chic Fil A BBC'!E31+Panera!E31+'Heritage Market'!E31</f>
        <v>6012429.375</v>
      </c>
      <c r="F31" s="80">
        <f>IFERROR(E31/E$28,0)</f>
        <v>0.31963918518881207</v>
      </c>
      <c r="G31" s="79">
        <f>'POD Breezeway'!G31+'Express GL'!G31+'Starbucks GL-SBX Truck'!G31+'Miro''s'!G31+'Faculty Club'!G31+'Almazar &amp; Brand X'!G31+'Burger King'!G31+Bustelo!G31+Chilis!G31+Einstein!G31+Jamba!G31+'Pollo Tropical'!G31+'Subway GC'!G31+'Sushi Maki'!G31+Panda!G31+'Starbucks Mango'!G31+'Taco Bell'!G31+'Chick-fil-A'!G31+Dunkin!G31+Chipotle!G31+Sergios!G31+'Moes PG5'!G31+'Papa Johns'!G31+Salad!G31+'Half Moon &amp; Trop Smoothie'!G31+'Athletic Concessions -Kitchen'!G31+'Starbucks BBC'!G31+'Moes BBC'!G31+'Grille Works BBC &amp; Shipping'!G31+'Subway BBC'!G31+'Market Pavillion'!G31+'Chic Fil A BBC'!G31+Panera!G31+'Heritage Market'!G31</f>
        <v>6829070.7600000007</v>
      </c>
      <c r="H31" s="80">
        <f>IFERROR(G31/G$28,0)</f>
        <v>0.33090018313093</v>
      </c>
      <c r="I31" s="79">
        <f>'POD Breezeway'!I31+'Express GL'!I31+'Starbucks GL-SBX Truck'!I31+'Miro''s'!I31+'Faculty Club'!I31+'Almazar &amp; Brand X'!I31+'Burger King'!I31+Bustelo!I31+Chilis!I31+Einstein!I31+Jamba!I31+'Pollo Tropical'!I31+'Subway GC'!I31+'Sushi Maki'!I31+Panda!I31+'Starbucks Mango'!I31+'Taco Bell'!I31+'Chick-fil-A'!I31+Dunkin!I31+Chipotle!I31+Sergios!I31+'Moes PG5'!I31+'Papa Johns'!I31+Salad!I31+'Half Moon &amp; Trop Smoothie'!I31+'Athletic Concessions -Kitchen'!I31+'Starbucks BBC'!I31+'Moes BBC'!I31+'Grille Works BBC &amp; Shipping'!I31+'Subway BBC'!I31+'Market Pavillion'!I31+'Chic Fil A BBC'!I31+Panera!I31+'Heritage Market'!I31</f>
        <v>7063873.3206400005</v>
      </c>
      <c r="J31" s="80">
        <f>IFERROR(I31/I$28,0)</f>
        <v>0.32979978702405116</v>
      </c>
      <c r="K31" s="79">
        <f>'POD Breezeway'!K31+'Express GL'!K31+'Starbucks GL-SBX Truck'!K31+'Miro''s'!K31+'Faculty Club'!K31+'Almazar &amp; Brand X'!K31+'Burger King'!K31+Bustelo!K31+Chilis!K31+Einstein!K31+Jamba!K31+'Pollo Tropical'!K31+'Subway GC'!K31+'Sushi Maki'!K31+Panda!K31+'Starbucks Mango'!K31+'Taco Bell'!K31+'Chick-fil-A'!K31+Dunkin!K31+Chipotle!K31+Sergios!K31+'Moes PG5'!K31+'Papa Johns'!K31+Salad!K31+'Half Moon &amp; Trop Smoothie'!K31+'Athletic Concessions -Kitchen'!K31+'Starbucks BBC'!K31+'Moes BBC'!K31+'Grille Works BBC &amp; Shipping'!K31+'Subway BBC'!K31+'Market Pavillion'!K31+'Chic Fil A BBC'!K31+Panera!K31+'Heritage Market'!K31</f>
        <v>7303847.0445032008</v>
      </c>
      <c r="L31" s="80">
        <f>IFERROR(K31/K$28,0)</f>
        <v>0.33099157879744284</v>
      </c>
      <c r="M31" s="79">
        <f>'POD Breezeway'!M31+'Express GL'!M31+'Starbucks GL-SBX Truck'!M31+'Miro''s'!M31+'Faculty Club'!M31+'Almazar &amp; Brand X'!M31+'Burger King'!M31+Bustelo!M31+Chilis!M31+Einstein!M31+Jamba!M31+'Pollo Tropical'!M31+'Subway GC'!M31+'Sushi Maki'!M31+Panda!M31+'Starbucks Mango'!M31+'Taco Bell'!M31+'Chick-fil-A'!M31+Dunkin!M31+Chipotle!M31+Sergios!M31+'Moes PG5'!M31+'Papa Johns'!M31+Salad!M31+'Half Moon &amp; Trop Smoothie'!M31+'Athletic Concessions -Kitchen'!M31+'Starbucks BBC'!M31+'Moes BBC'!M31+'Grille Works BBC &amp; Shipping'!M31+'Subway BBC'!M31+'Market Pavillion'!M31+'Chic Fil A BBC'!M31+Panera!M31+'Heritage Market'!M31</f>
        <v>7503487.3812503265</v>
      </c>
      <c r="N31" s="80">
        <f>IFERROR(M31/M$28,0)</f>
        <v>0.32993266853360248</v>
      </c>
      <c r="O31" s="79">
        <f>'POD Breezeway'!O31+'Express GL'!O31+'Starbucks GL-SBX Truck'!O31+'Miro''s'!O31+'Faculty Club'!O31+'Almazar &amp; Brand X'!O31+'Burger King'!O31+Bustelo!O31+Chilis!O31+Einstein!O31+Jamba!O31+'Pollo Tropical'!O31+'Subway GC'!O31+'Sushi Maki'!O31+Panda!O31+'Starbucks Mango'!O31+'Taco Bell'!O31+'Chick-fil-A'!O31+Dunkin!O31+Chipotle!O31+Sergios!O31+'Moes PG5'!O31+'Papa Johns'!O31+Salad!O31+'Half Moon &amp; Trop Smoothie'!O31+'Athletic Concessions -Kitchen'!O31+'Starbucks BBC'!O31+'Moes BBC'!O31+'Grille Works BBC &amp; Shipping'!O31+'Subway BBC'!O31+'Market Pavillion'!O31+'Chic Fil A BBC'!O31+Panera!O31+'Heritage Market'!O31</f>
        <v>7716770.2793821953</v>
      </c>
      <c r="P31" s="80">
        <f>IFERROR(O31/O$28,0)</f>
        <v>0.32897223794416069</v>
      </c>
      <c r="Q31" s="79">
        <f>'POD Breezeway'!Q31+'Express GL'!Q31+'Starbucks GL-SBX Truck'!Q31+'Miro''s'!Q31+'Faculty Club'!Q31+'Almazar &amp; Brand X'!Q31+'Burger King'!Q31+Bustelo!Q31+Chilis!Q31+Einstein!Q31+Jamba!Q31+'Pollo Tropical'!Q31+'Subway GC'!Q31+'Sushi Maki'!Q31+Panda!Q31+'Starbucks Mango'!Q31+'Taco Bell'!Q31+'Chick-fil-A'!Q31+Dunkin!Q31+Chipotle!Q31+Sergios!Q31+'Moes PG5'!Q31+'Papa Johns'!Q31+Salad!Q31+'Half Moon &amp; Trop Smoothie'!Q31+'Athletic Concessions -Kitchen'!Q31+'Starbucks BBC'!Q31+'Moes BBC'!Q31+'Grille Works BBC &amp; Shipping'!Q31+'Subway BBC'!Q31+'Market Pavillion'!Q31+'Chic Fil A BBC'!Q31+Panera!Q31+'Heritage Market'!Q31</f>
        <v>7940165.3334902255</v>
      </c>
      <c r="R31" s="80">
        <f>IFERROR(Q31/Q$28,0)</f>
        <v>0.32801942856189686</v>
      </c>
      <c r="S31" s="79">
        <f>'POD Breezeway'!S31+'Express GL'!S31+'Starbucks GL-SBX Truck'!S31+'Miro''s'!S31+'Faculty Club'!S31+'Almazar &amp; Brand X'!S31+'Burger King'!S31+Bustelo!S31+Chilis!S31+Einstein!S31+Jamba!S31+'Pollo Tropical'!S31+'Subway GC'!S31+'Sushi Maki'!S31+Panda!S31+'Starbucks Mango'!S31+'Taco Bell'!S31+'Chick-fil-A'!S31+Dunkin!S31+Chipotle!S31+Sergios!S31+'Moes PG5'!S31+'Papa Johns'!S31+Salad!S31+'Half Moon &amp; Trop Smoothie'!S31+'Athletic Concessions -Kitchen'!S31+'Starbucks BBC'!S31+'Moes BBC'!S31+'Grille Works BBC &amp; Shipping'!S31+'Subway BBC'!S31+'Market Pavillion'!S31+'Chic Fil A BBC'!S31+Panera!S31+'Heritage Market'!S31</f>
        <v>8167626.8672189955</v>
      </c>
      <c r="T31" s="80">
        <f>IFERROR(S31/S$28,0)</f>
        <v>0.32689095288690928</v>
      </c>
      <c r="U31" s="79">
        <f>'POD Breezeway'!U31+'Express GL'!U31+'Starbucks GL-SBX Truck'!U31+'Miro''s'!U31+'Faculty Club'!U31+'Almazar &amp; Brand X'!U31+'Burger King'!U31+Bustelo!U31+Chilis!U31+Einstein!U31+Jamba!U31+'Pollo Tropical'!U31+'Subway GC'!U31+'Sushi Maki'!U31+Panda!U31+'Starbucks Mango'!U31+'Taco Bell'!U31+'Chick-fil-A'!U31+Dunkin!U31+Chipotle!U31+Sergios!U31+'Moes PG5'!U31+'Papa Johns'!U31+Salad!U31+'Half Moon &amp; Trop Smoothie'!U31+'Athletic Concessions -Kitchen'!U31+'Starbucks BBC'!U31+'Moes BBC'!U31+'Grille Works BBC &amp; Shipping'!U31+'Subway BBC'!U31+'Market Pavillion'!U31+'Chic Fil A BBC'!U31+Panera!U31+'Heritage Market'!U31</f>
        <v>8114543.6291053873</v>
      </c>
      <c r="V31" s="80">
        <f>IFERROR(U31/U$28,0)</f>
        <v>0.3145692476894873</v>
      </c>
    </row>
    <row r="32" spans="1:22" ht="12.75" customHeight="1">
      <c r="A32" s="8" t="s">
        <v>381</v>
      </c>
      <c r="B32" s="8"/>
      <c r="C32" s="79">
        <f>'POD Breezeway'!C32+'Express GL'!C32+'Starbucks GL-SBX Truck'!C32+'Miro''s'!C32+'Faculty Club'!C32+'Almazar &amp; Brand X'!C32+'Burger King'!C32+Bustelo!C32+Chilis!C32+Einstein!C32+Jamba!C32+'Pollo Tropical'!C32+'Subway GC'!C32+'Sushi Maki'!C32+Panda!C32+'Starbucks Mango'!C32+'Taco Bell'!C32+'Chick-fil-A'!C32+Dunkin!C32+Chipotle!C32+Sergios!C32+'Moes PG5'!C32+'Papa Johns'!C32+Salad!C32+'Half Moon &amp; Trop Smoothie'!C32+'Athletic Concessions -Kitchen'!C32+'Starbucks BBC'!C32+'Moes BBC'!C32+'Grille Works BBC &amp; Shipping'!C32+'Subway BBC'!C32+'Market Pavillion'!C32+'Chic Fil A BBC'!C32+Panera!C32+'Heritage Market'!C32</f>
        <v>0</v>
      </c>
      <c r="D32" s="80">
        <f>IFERROR(C32/C$28,0)</f>
        <v>0</v>
      </c>
      <c r="E32" s="79">
        <f>'POD Breezeway'!E32+'Express GL'!E32+'Starbucks GL-SBX Truck'!E32+'Miro''s'!E32+'Faculty Club'!E32+'Almazar &amp; Brand X'!E32+'Burger King'!E32+Bustelo!E32+Chilis!E32+Einstein!E32+Jamba!E32+'Pollo Tropical'!E32+'Subway GC'!E32+'Sushi Maki'!E32+Panda!E32+'Starbucks Mango'!E32+'Taco Bell'!E32+'Chick-fil-A'!E32+Dunkin!E32+Chipotle!E32+Sergios!E32+'Moes PG5'!E32+'Papa Johns'!E32+Salad!E32+'Half Moon &amp; Trop Smoothie'!E32+'Athletic Concessions -Kitchen'!E32+'Starbucks BBC'!E32+'Moes BBC'!E32+'Grille Works BBC &amp; Shipping'!E32+'Subway BBC'!E32+'Market Pavillion'!E32+'Chic Fil A BBC'!E32+Panera!E32+'Heritage Market'!E32</f>
        <v>0</v>
      </c>
      <c r="F32" s="80">
        <f>IFERROR(E32/E$28,0)</f>
        <v>0</v>
      </c>
      <c r="G32" s="79">
        <f>'POD Breezeway'!G32+'Express GL'!G32+'Starbucks GL-SBX Truck'!G32+'Miro''s'!G32+'Faculty Club'!G32+'Almazar &amp; Brand X'!G32+'Burger King'!G32+Bustelo!G32+Chilis!G32+Einstein!G32+Jamba!G32+'Pollo Tropical'!G32+'Subway GC'!G32+'Sushi Maki'!G32+Panda!G32+'Starbucks Mango'!G32+'Taco Bell'!G32+'Chick-fil-A'!G32+Dunkin!G32+Chipotle!G32+Sergios!G32+'Moes PG5'!G32+'Papa Johns'!G32+Salad!G32+'Half Moon &amp; Trop Smoothie'!G32+'Athletic Concessions -Kitchen'!G32+'Starbucks BBC'!G32+'Moes BBC'!G32+'Grille Works BBC &amp; Shipping'!G32+'Subway BBC'!G32+'Market Pavillion'!G32+'Chic Fil A BBC'!G32+Panera!G32+'Heritage Market'!G32</f>
        <v>0</v>
      </c>
      <c r="H32" s="80">
        <f>IFERROR(G32/G$28,0)</f>
        <v>0</v>
      </c>
      <c r="I32" s="79">
        <f>'POD Breezeway'!I32+'Express GL'!I32+'Starbucks GL-SBX Truck'!I32+'Miro''s'!I32+'Faculty Club'!I32+'Almazar &amp; Brand X'!I32+'Burger King'!I32+Bustelo!I32+Chilis!I32+Einstein!I32+Jamba!I32+'Pollo Tropical'!I32+'Subway GC'!I32+'Sushi Maki'!I32+Panda!I32+'Starbucks Mango'!I32+'Taco Bell'!I32+'Chick-fil-A'!I32+Dunkin!I32+Chipotle!I32+Sergios!I32+'Moes PG5'!I32+'Papa Johns'!I32+Salad!I32+'Half Moon &amp; Trop Smoothie'!I32+'Athletic Concessions -Kitchen'!I32+'Starbucks BBC'!I32+'Moes BBC'!I32+'Grille Works BBC &amp; Shipping'!I32+'Subway BBC'!I32+'Market Pavillion'!I32+'Chic Fil A BBC'!I32+Panera!I32+'Heritage Market'!I32</f>
        <v>0</v>
      </c>
      <c r="J32" s="80">
        <f>IFERROR(I32/I$28,0)</f>
        <v>0</v>
      </c>
      <c r="K32" s="79">
        <f>'POD Breezeway'!K32+'Express GL'!K32+'Starbucks GL-SBX Truck'!K32+'Miro''s'!K32+'Faculty Club'!K32+'Almazar &amp; Brand X'!K32+'Burger King'!K32+Bustelo!K32+Chilis!K32+Einstein!K32+Jamba!K32+'Pollo Tropical'!K32+'Subway GC'!K32+'Sushi Maki'!K32+Panda!K32+'Starbucks Mango'!K32+'Taco Bell'!K32+'Chick-fil-A'!K32+Dunkin!K32+Chipotle!K32+Sergios!K32+'Moes PG5'!K32+'Papa Johns'!K32+Salad!K32+'Half Moon &amp; Trop Smoothie'!K32+'Athletic Concessions -Kitchen'!K32+'Starbucks BBC'!K32+'Moes BBC'!K32+'Grille Works BBC &amp; Shipping'!K32+'Subway BBC'!K32+'Market Pavillion'!K32+'Chic Fil A BBC'!K32+Panera!K32+'Heritage Market'!K32</f>
        <v>0</v>
      </c>
      <c r="L32" s="80">
        <f>IFERROR(K32/K$28,0)</f>
        <v>0</v>
      </c>
      <c r="M32" s="79">
        <f>'POD Breezeway'!M32+'Express GL'!M32+'Starbucks GL-SBX Truck'!M32+'Miro''s'!M32+'Faculty Club'!M32+'Almazar &amp; Brand X'!M32+'Burger King'!M32+Bustelo!M32+Chilis!M32+Einstein!M32+Jamba!M32+'Pollo Tropical'!M32+'Subway GC'!M32+'Sushi Maki'!M32+Panda!M32+'Starbucks Mango'!M32+'Taco Bell'!M32+'Chick-fil-A'!M32+Dunkin!M32+Chipotle!M32+Sergios!M32+'Moes PG5'!M32+'Papa Johns'!M32+Salad!M32+'Half Moon &amp; Trop Smoothie'!M32+'Athletic Concessions -Kitchen'!M32+'Starbucks BBC'!M32+'Moes BBC'!M32+'Grille Works BBC &amp; Shipping'!M32+'Subway BBC'!M32+'Market Pavillion'!M32+'Chic Fil A BBC'!M32+Panera!M32+'Heritage Market'!M32</f>
        <v>0</v>
      </c>
      <c r="N32" s="80">
        <f>IFERROR(M32/M$28,0)</f>
        <v>0</v>
      </c>
      <c r="O32" s="79">
        <f>'POD Breezeway'!O32+'Express GL'!O32+'Starbucks GL-SBX Truck'!O32+'Miro''s'!O32+'Faculty Club'!O32+'Almazar &amp; Brand X'!O32+'Burger King'!O32+Bustelo!O32+Chilis!O32+Einstein!O32+Jamba!O32+'Pollo Tropical'!O32+'Subway GC'!O32+'Sushi Maki'!O32+Panda!O32+'Starbucks Mango'!O32+'Taco Bell'!O32+'Chick-fil-A'!O32+Dunkin!O32+Chipotle!O32+Sergios!O32+'Moes PG5'!O32+'Papa Johns'!O32+Salad!O32+'Half Moon &amp; Trop Smoothie'!O32+'Athletic Concessions -Kitchen'!O32+'Starbucks BBC'!O32+'Moes BBC'!O32+'Grille Works BBC &amp; Shipping'!O32+'Subway BBC'!O32+'Market Pavillion'!O32+'Chic Fil A BBC'!O32+Panera!O32+'Heritage Market'!O32</f>
        <v>0</v>
      </c>
      <c r="P32" s="80">
        <f>IFERROR(O32/O$28,0)</f>
        <v>0</v>
      </c>
      <c r="Q32" s="79">
        <f>'POD Breezeway'!Q32+'Express GL'!Q32+'Starbucks GL-SBX Truck'!Q32+'Miro''s'!Q32+'Faculty Club'!Q32+'Almazar &amp; Brand X'!Q32+'Burger King'!Q32+Bustelo!Q32+Chilis!Q32+Einstein!Q32+Jamba!Q32+'Pollo Tropical'!Q32+'Subway GC'!Q32+'Sushi Maki'!Q32+Panda!Q32+'Starbucks Mango'!Q32+'Taco Bell'!Q32+'Chick-fil-A'!Q32+Dunkin!Q32+Chipotle!Q32+Sergios!Q32+'Moes PG5'!Q32+'Papa Johns'!Q32+Salad!Q32+'Half Moon &amp; Trop Smoothie'!Q32+'Athletic Concessions -Kitchen'!Q32+'Starbucks BBC'!Q32+'Moes BBC'!Q32+'Grille Works BBC &amp; Shipping'!Q32+'Subway BBC'!Q32+'Market Pavillion'!Q32+'Chic Fil A BBC'!Q32+Panera!Q32+'Heritage Market'!Q32</f>
        <v>0</v>
      </c>
      <c r="R32" s="80">
        <f>IFERROR(Q32/Q$28,0)</f>
        <v>0</v>
      </c>
      <c r="S32" s="79">
        <f>'POD Breezeway'!S32+'Express GL'!S32+'Starbucks GL-SBX Truck'!S32+'Miro''s'!S32+'Faculty Club'!S32+'Almazar &amp; Brand X'!S32+'Burger King'!S32+Bustelo!S32+Chilis!S32+Einstein!S32+Jamba!S32+'Pollo Tropical'!S32+'Subway GC'!S32+'Sushi Maki'!S32+Panda!S32+'Starbucks Mango'!S32+'Taco Bell'!S32+'Chick-fil-A'!S32+Dunkin!S32+Chipotle!S32+Sergios!S32+'Moes PG5'!S32+'Papa Johns'!S32+Salad!S32+'Half Moon &amp; Trop Smoothie'!S32+'Athletic Concessions -Kitchen'!S32+'Starbucks BBC'!S32+'Moes BBC'!S32+'Grille Works BBC &amp; Shipping'!S32+'Subway BBC'!S32+'Market Pavillion'!S32+'Chic Fil A BBC'!S32+Panera!S32+'Heritage Market'!S32</f>
        <v>0</v>
      </c>
      <c r="T32" s="80">
        <f>IFERROR(S32/S$28,0)</f>
        <v>0</v>
      </c>
      <c r="U32" s="79">
        <f>'POD Breezeway'!U32+'Express GL'!U32+'Starbucks GL-SBX Truck'!U32+'Miro''s'!U32+'Faculty Club'!U32+'Almazar &amp; Brand X'!U32+'Burger King'!U32+Bustelo!U32+Chilis!U32+Einstein!U32+Jamba!U32+'Pollo Tropical'!U32+'Subway GC'!U32+'Sushi Maki'!U32+Panda!U32+'Starbucks Mango'!U32+'Taco Bell'!U32+'Chick-fil-A'!U32+Dunkin!U32+Chipotle!U32+Sergios!U32+'Moes PG5'!U32+'Papa Johns'!U32+Salad!U32+'Half Moon &amp; Trop Smoothie'!U32+'Athletic Concessions -Kitchen'!U32+'Starbucks BBC'!U32+'Moes BBC'!U32+'Grille Works BBC &amp; Shipping'!U32+'Subway BBC'!U32+'Market Pavillion'!U32+'Chic Fil A BBC'!U32+Panera!U32+'Heritage Market'!U32</f>
        <v>0</v>
      </c>
      <c r="V32" s="80">
        <f>IFERROR(U32/U$28,0)</f>
        <v>0</v>
      </c>
    </row>
    <row r="33" spans="1:22" ht="12.75" customHeight="1">
      <c r="A33" s="1" t="s">
        <v>382</v>
      </c>
      <c r="B33" s="53"/>
      <c r="C33" s="82">
        <f>SUM(C31:C32)</f>
        <v>4992471.5296200002</v>
      </c>
      <c r="D33" s="83">
        <f>IFERROR(C33/C$28,0)</f>
        <v>0.31495065008512729</v>
      </c>
      <c r="E33" s="82">
        <f>SUM(E31:E32)</f>
        <v>6012429.375</v>
      </c>
      <c r="F33" s="83">
        <f>IFERROR(E33/E$28,0)</f>
        <v>0.31963918518881207</v>
      </c>
      <c r="G33" s="82">
        <f>SUM(G31:G32)</f>
        <v>6829070.7600000007</v>
      </c>
      <c r="H33" s="83">
        <f>IFERROR(G33/G$28,0)</f>
        <v>0.33090018313093</v>
      </c>
      <c r="I33" s="82">
        <f>SUM(I31:I32)</f>
        <v>7063873.3206400005</v>
      </c>
      <c r="J33" s="83">
        <f>IFERROR(I33/I$28,0)</f>
        <v>0.32979978702405116</v>
      </c>
      <c r="K33" s="82">
        <f>SUM(K31:K32)</f>
        <v>7303847.0445032008</v>
      </c>
      <c r="L33" s="83">
        <f>IFERROR(K33/K$28,0)</f>
        <v>0.33099157879744284</v>
      </c>
      <c r="M33" s="82">
        <f>SUM(M31:M32)</f>
        <v>7503487.3812503265</v>
      </c>
      <c r="N33" s="83">
        <f>IFERROR(M33/M$28,0)</f>
        <v>0.32993266853360248</v>
      </c>
      <c r="O33" s="82">
        <f>SUM(O31:O32)</f>
        <v>7716770.2793821953</v>
      </c>
      <c r="P33" s="83">
        <f>IFERROR(O33/O$28,0)</f>
        <v>0.32897223794416069</v>
      </c>
      <c r="Q33" s="82">
        <f>SUM(Q31:Q32)</f>
        <v>7940165.3334902255</v>
      </c>
      <c r="R33" s="83">
        <f>IFERROR(Q33/Q$28,0)</f>
        <v>0.32801942856189686</v>
      </c>
      <c r="S33" s="82">
        <f>SUM(S31:S32)</f>
        <v>8167626.8672189955</v>
      </c>
      <c r="T33" s="83">
        <f>IFERROR(S33/S$28,0)</f>
        <v>0.32689095288690928</v>
      </c>
      <c r="U33" s="82">
        <f>SUM(U31:U32)</f>
        <v>8114543.6291053873</v>
      </c>
      <c r="V33" s="83">
        <f>IFERROR(U33/U$28,0)</f>
        <v>0.3145692476894873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383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384</v>
      </c>
      <c r="B36" s="35"/>
      <c r="C36" s="79">
        <f>'POD Breezeway'!C36+'Express GL'!C36+'Starbucks GL-SBX Truck'!C36+'Miro''s'!C36+'Faculty Club'!C36+'Almazar &amp; Brand X'!C36+'Burger King'!C36+Bustelo!C36+Chilis!C36+Einstein!C36+Jamba!C36+'Pollo Tropical'!C36+'Subway GC'!C36+'Sushi Maki'!C36+Panda!C36+'Starbucks Mango'!C36+'Taco Bell'!C36+'Chick-fil-A'!C36+Dunkin!C36+Chipotle!C36+Sergios!C36+'Moes PG5'!C36+'Papa Johns'!C36+Salad!C36+'Half Moon &amp; Trop Smoothie'!C36+'Athletic Concessions -Kitchen'!C36+'Starbucks BBC'!C36+'Moes BBC'!C36+'Grille Works BBC &amp; Shipping'!C36+'Subway BBC'!C36+'Market Pavillion'!C36+'Chic Fil A BBC'!C36+Panera!C36+'Heritage Market'!C36</f>
        <v>329989</v>
      </c>
      <c r="D36" s="80">
        <f t="shared" ref="D36:D46" si="10">IFERROR(C36/C$28,0)</f>
        <v>2.0817394641978394E-2</v>
      </c>
      <c r="E36" s="79">
        <f>'POD Breezeway'!E36+'Express GL'!E36+'Starbucks GL-SBX Truck'!E36+'Miro''s'!E36+'Faculty Club'!E36+'Almazar &amp; Brand X'!E36+'Burger King'!E36+Bustelo!E36+Chilis!E36+Einstein!E36+Jamba!E36+'Pollo Tropical'!E36+'Subway GC'!E36+'Sushi Maki'!E36+Panda!E36+'Starbucks Mango'!E36+'Taco Bell'!E36+'Chick-fil-A'!E36+Dunkin!E36+Chipotle!E36+Sergios!E36+'Moes PG5'!E36+'Papa Johns'!E36+Salad!E36+'Half Moon &amp; Trop Smoothie'!E36+'Athletic Concessions -Kitchen'!E36+'Starbucks BBC'!E36+'Moes BBC'!E36+'Grille Works BBC &amp; Shipping'!E36+'Subway BBC'!E36+'Market Pavillion'!E36+'Chic Fil A BBC'!E36+Panera!E36+'Heritage Market'!E36</f>
        <v>541945.28499999992</v>
      </c>
      <c r="F36" s="80">
        <f t="shared" ref="F36:F46" si="11">IFERROR(E36/E$28,0)</f>
        <v>2.8811473451082079E-2</v>
      </c>
      <c r="G36" s="79">
        <f>'POD Breezeway'!G36+'Express GL'!G36+'Starbucks GL-SBX Truck'!G36+'Miro''s'!G36+'Faculty Club'!G36+'Almazar &amp; Brand X'!G36+'Burger King'!G36+Bustelo!G36+Chilis!G36+Einstein!G36+Jamba!G36+'Pollo Tropical'!G36+'Subway GC'!G36+'Sushi Maki'!G36+Panda!G36+'Starbucks Mango'!G36+'Taco Bell'!G36+'Chick-fil-A'!G36+Dunkin!G36+Chipotle!G36+Sergios!G36+'Moes PG5'!G36+'Papa Johns'!G36+Salad!G36+'Half Moon &amp; Trop Smoothie'!G36+'Athletic Concessions -Kitchen'!G36+'Starbucks BBC'!G36+'Moes BBC'!G36+'Grille Works BBC &amp; Shipping'!G36+'Subway BBC'!G36+'Market Pavillion'!G36+'Chic Fil A BBC'!G36+Panera!G36+'Heritage Market'!G36</f>
        <v>654643.46232499997</v>
      </c>
      <c r="H36" s="80">
        <f t="shared" ref="H36:H46" si="12">IFERROR(G36/G$28,0)</f>
        <v>3.1720515013203429E-2</v>
      </c>
      <c r="I36" s="79">
        <f>'POD Breezeway'!I36+'Express GL'!I36+'Starbucks GL-SBX Truck'!I36+'Miro''s'!I36+'Faculty Club'!I36+'Almazar &amp; Brand X'!I36+'Burger King'!I36+Bustelo!I36+Chilis!I36+Einstein!I36+Jamba!I36+'Pollo Tropical'!I36+'Subway GC'!I36+'Sushi Maki'!I36+Panda!I36+'Starbucks Mango'!I36+'Taco Bell'!I36+'Chick-fil-A'!I36+Dunkin!I36+Chipotle!I36+Sergios!I36+'Moes PG5'!I36+'Papa Johns'!I36+Salad!I36+'Half Moon &amp; Trop Smoothie'!I36+'Athletic Concessions -Kitchen'!I36+'Starbucks BBC'!I36+'Moes BBC'!I36+'Grille Works BBC &amp; Shipping'!I36+'Subway BBC'!I36+'Market Pavillion'!I36+'Chic Fil A BBC'!I36+Panera!I36+'Heritage Market'!I36</f>
        <v>670397.08498712489</v>
      </c>
      <c r="J36" s="80">
        <f t="shared" ref="J36:J46" si="13">IFERROR(I36/I$28,0)</f>
        <v>3.1299657541178375E-2</v>
      </c>
      <c r="K36" s="79">
        <f>'POD Breezeway'!K36+'Express GL'!K36+'Starbucks GL-SBX Truck'!K36+'Miro''s'!K36+'Faculty Club'!K36+'Almazar &amp; Brand X'!K36+'Burger King'!K36+Bustelo!K36+Chilis!K36+Einstein!K36+Jamba!K36+'Pollo Tropical'!K36+'Subway GC'!K36+'Sushi Maki'!K36+Panda!K36+'Starbucks Mango'!K36+'Taco Bell'!K36+'Chick-fil-A'!K36+Dunkin!K36+Chipotle!K36+Sergios!K36+'Moes PG5'!K36+'Papa Johns'!K36+Salad!K36+'Half Moon &amp; Trop Smoothie'!K36+'Athletic Concessions -Kitchen'!K36+'Starbucks BBC'!K36+'Moes BBC'!K36+'Grille Works BBC &amp; Shipping'!K36+'Subway BBC'!K36+'Market Pavillion'!K36+'Chic Fil A BBC'!K36+Panera!K36+'Heritage Market'!K36</f>
        <v>686532.298937883</v>
      </c>
      <c r="L36" s="80">
        <f t="shared" ref="L36:L46" si="14">IFERROR(K36/K$28,0)</f>
        <v>3.1111879552831494E-2</v>
      </c>
      <c r="M36" s="79">
        <f>'POD Breezeway'!M36+'Express GL'!M36+'Starbucks GL-SBX Truck'!M36+'Miro''s'!M36+'Faculty Club'!M36+'Almazar &amp; Brand X'!M36+'Burger King'!M36+Bustelo!M36+Chilis!M36+Einstein!M36+Jamba!M36+'Pollo Tropical'!M36+'Subway GC'!M36+'Sushi Maki'!M36+Panda!M36+'Starbucks Mango'!M36+'Taco Bell'!M36+'Chick-fil-A'!M36+Dunkin!M36+Chipotle!M36+Sergios!M36+'Moes PG5'!M36+'Papa Johns'!M36+Salad!M36+'Half Moon &amp; Trop Smoothie'!M36+'Athletic Concessions -Kitchen'!M36+'Starbucks BBC'!M36+'Moes BBC'!M36+'Grille Works BBC &amp; Shipping'!M36+'Subway BBC'!M36+'Market Pavillion'!M36+'Chic Fil A BBC'!M36+Panera!M36+'Heritage Market'!M36</f>
        <v>703058.39897393156</v>
      </c>
      <c r="N36" s="80">
        <f t="shared" ref="N36:N46" si="15">IFERROR(M36/M$28,0)</f>
        <v>3.0913883361496235E-2</v>
      </c>
      <c r="O36" s="79">
        <f>'POD Breezeway'!O36+'Express GL'!O36+'Starbucks GL-SBX Truck'!O36+'Miro''s'!O36+'Faculty Club'!O36+'Almazar &amp; Brand X'!O36+'Burger King'!O36+Bustelo!O36+Chilis!O36+Einstein!O36+Jamba!O36+'Pollo Tropical'!O36+'Subway GC'!O36+'Sushi Maki'!O36+Panda!O36+'Starbucks Mango'!O36+'Taco Bell'!O36+'Chick-fil-A'!O36+Dunkin!O36+Chipotle!O36+Sergios!O36+'Moes PG5'!O36+'Papa Johns'!O36+Salad!O36+'Half Moon &amp; Trop Smoothie'!O36+'Athletic Concessions -Kitchen'!O36+'Starbucks BBC'!O36+'Moes BBC'!O36+'Grille Works BBC &amp; Shipping'!O36+'Subway BBC'!O36+'Market Pavillion'!O36+'Chic Fil A BBC'!O36+Panera!O36+'Heritage Market'!O36</f>
        <v>719446.4620496335</v>
      </c>
      <c r="P36" s="80">
        <f t="shared" ref="P36:P46" si="16">IFERROR(O36/O$28,0)</f>
        <v>3.0670591987665731E-2</v>
      </c>
      <c r="Q36" s="79">
        <f>'POD Breezeway'!Q36+'Express GL'!Q36+'Starbucks GL-SBX Truck'!Q36+'Miro''s'!Q36+'Faculty Club'!Q36+'Almazar &amp; Brand X'!Q36+'Burger King'!Q36+Bustelo!Q36+Chilis!Q36+Einstein!Q36+Jamba!Q36+'Pollo Tropical'!Q36+'Subway GC'!Q36+'Sushi Maki'!Q36+Panda!Q36+'Starbucks Mango'!Q36+'Taco Bell'!Q36+'Chick-fil-A'!Q36+Dunkin!Q36+Chipotle!Q36+Sergios!Q36+'Moes PG5'!Q36+'Papa Johns'!Q36+Salad!Q36+'Half Moon &amp; Trop Smoothie'!Q36+'Athletic Concessions -Kitchen'!Q36+'Starbucks BBC'!Q36+'Moes BBC'!Q36+'Grille Works BBC &amp; Shipping'!Q36+'Subway BBC'!Q36+'Market Pavillion'!Q36+'Chic Fil A BBC'!Q36+Panera!Q36+'Heritage Market'!Q36</f>
        <v>735244.30537008145</v>
      </c>
      <c r="R36" s="80">
        <f t="shared" ref="R36:R46" si="17">IFERROR(Q36/Q$28,0)</f>
        <v>3.0373979227315523E-2</v>
      </c>
      <c r="S36" s="79">
        <f>'POD Breezeway'!S36+'Express GL'!S36+'Starbucks GL-SBX Truck'!S36+'Miro''s'!S36+'Faculty Club'!S36+'Almazar &amp; Brand X'!S36+'Burger King'!S36+Bustelo!S36+Chilis!S36+Einstein!S36+Jamba!S36+'Pollo Tropical'!S36+'Subway GC'!S36+'Sushi Maki'!S36+Panda!S36+'Starbucks Mango'!S36+'Taco Bell'!S36+'Chick-fil-A'!S36+Dunkin!S36+Chipotle!S36+Sergios!S36+'Moes PG5'!S36+'Papa Johns'!S36+Salad!S36+'Half Moon &amp; Trop Smoothie'!S36+'Athletic Concessions -Kitchen'!S36+'Starbucks BBC'!S36+'Moes BBC'!S36+'Grille Works BBC &amp; Shipping'!S36+'Subway BBC'!S36+'Market Pavillion'!S36+'Chic Fil A BBC'!S36+Panera!S36+'Heritage Market'!S36</f>
        <v>752057.42692342459</v>
      </c>
      <c r="T36" s="80">
        <f t="shared" ref="T36:T46" si="18">IFERROR(S36/S$28,0)</f>
        <v>3.009941233963128E-2</v>
      </c>
      <c r="U36" s="79">
        <f>'POD Breezeway'!U36+'Express GL'!U36+'Starbucks GL-SBX Truck'!U36+'Miro''s'!U36+'Faculty Club'!U36+'Almazar &amp; Brand X'!U36+'Burger King'!U36+Bustelo!U36+Chilis!U36+Einstein!U36+Jamba!U36+'Pollo Tropical'!U36+'Subway GC'!U36+'Sushi Maki'!U36+Panda!U36+'Starbucks Mango'!U36+'Taco Bell'!U36+'Chick-fil-A'!U36+Dunkin!U36+Chipotle!U36+Sergios!U36+'Moes PG5'!U36+'Papa Johns'!U36+Salad!U36+'Half Moon &amp; Trop Smoothie'!U36+'Athletic Concessions -Kitchen'!U36+'Starbucks BBC'!U36+'Moes BBC'!U36+'Grille Works BBC &amp; Shipping'!U36+'Subway BBC'!U36+'Market Pavillion'!U36+'Chic Fil A BBC'!U36+Panera!U36+'Heritage Market'!U36</f>
        <v>770169.12877367914</v>
      </c>
      <c r="V36" s="80">
        <f t="shared" ref="V36:V46" si="19">IFERROR(U36/U$28,0)</f>
        <v>2.9856457061000985E-2</v>
      </c>
    </row>
    <row r="37" spans="1:22" ht="12.75" customHeight="1">
      <c r="A37" s="2" t="s">
        <v>385</v>
      </c>
      <c r="B37" s="35"/>
      <c r="C37" s="79">
        <f>'POD Breezeway'!C37+'Express GL'!C37+'Starbucks GL-SBX Truck'!C37+'Miro''s'!C37+'Faculty Club'!C37+'Almazar &amp; Brand X'!C37+'Burger King'!C37+Bustelo!C37+Chilis!C37+Einstein!C37+Jamba!C37+'Pollo Tropical'!C37+'Subway GC'!C37+'Sushi Maki'!C37+Panda!C37+'Starbucks Mango'!C37+'Taco Bell'!C37+'Chick-fil-A'!C37+Dunkin!C37+Chipotle!C37+Sergios!C37+'Moes PG5'!C37+'Papa Johns'!C37+Salad!C37+'Half Moon &amp; Trop Smoothie'!C37+'Athletic Concessions -Kitchen'!C37+'Starbucks BBC'!C37+'Moes BBC'!C37+'Grille Works BBC &amp; Shipping'!C37+'Subway BBC'!C37+'Market Pavillion'!C37+'Chic Fil A BBC'!C37+Panera!C37+'Heritage Market'!C37</f>
        <v>2632435</v>
      </c>
      <c r="D37" s="80">
        <f t="shared" si="10"/>
        <v>0.16606746971673719</v>
      </c>
      <c r="E37" s="79">
        <f>'POD Breezeway'!E37+'Express GL'!E37+'Starbucks GL-SBX Truck'!E37+'Miro''s'!E37+'Faculty Club'!E37+'Almazar &amp; Brand X'!E37+'Burger King'!E37+Bustelo!E37+Chilis!E37+Einstein!E37+Jamba!E37+'Pollo Tropical'!E37+'Subway GC'!E37+'Sushi Maki'!E37+Panda!E37+'Starbucks Mango'!E37+'Taco Bell'!E37+'Chick-fil-A'!E37+Dunkin!E37+Chipotle!E37+Sergios!E37+'Moes PG5'!E37+'Papa Johns'!E37+Salad!E37+'Half Moon &amp; Trop Smoothie'!E37+'Athletic Concessions -Kitchen'!E37+'Starbucks BBC'!E37+'Moes BBC'!E37+'Grille Works BBC &amp; Shipping'!E37+'Subway BBC'!E37+'Market Pavillion'!E37+'Chic Fil A BBC'!E37+Panera!E37+'Heritage Market'!E37</f>
        <v>2874776.7531428575</v>
      </c>
      <c r="F37" s="80">
        <f t="shared" si="11"/>
        <v>0.15283194889492099</v>
      </c>
      <c r="G37" s="79">
        <f>'POD Breezeway'!G37+'Express GL'!G37+'Starbucks GL-SBX Truck'!G37+'Miro''s'!G37+'Faculty Club'!G37+'Almazar &amp; Brand X'!G37+'Burger King'!G37+Bustelo!G37+Chilis!G37+Einstein!G37+Jamba!G37+'Pollo Tropical'!G37+'Subway GC'!G37+'Sushi Maki'!G37+Panda!G37+'Starbucks Mango'!G37+'Taco Bell'!G37+'Chick-fil-A'!G37+Dunkin!G37+Chipotle!G37+Sergios!G37+'Moes PG5'!G37+'Papa Johns'!G37+Salad!G37+'Half Moon &amp; Trop Smoothie'!G37+'Athletic Concessions -Kitchen'!G37+'Starbucks BBC'!G37+'Moes BBC'!G37+'Grille Works BBC &amp; Shipping'!G37+'Subway BBC'!G37+'Market Pavillion'!G37+'Chic Fil A BBC'!G37+Panera!G37+'Heritage Market'!G37</f>
        <v>3221415.4917071997</v>
      </c>
      <c r="H37" s="80">
        <f t="shared" si="12"/>
        <v>0.15609253639461881</v>
      </c>
      <c r="I37" s="79">
        <f>'POD Breezeway'!I37+'Express GL'!I37+'Starbucks GL-SBX Truck'!I37+'Miro''s'!I37+'Faculty Club'!I37+'Almazar &amp; Brand X'!I37+'Burger King'!I37+Bustelo!I37+Chilis!I37+Einstein!I37+Jamba!I37+'Pollo Tropical'!I37+'Subway GC'!I37+'Sushi Maki'!I37+Panda!I37+'Starbucks Mango'!I37+'Taco Bell'!I37+'Chick-fil-A'!I37+Dunkin!I37+Chipotle!I37+Sergios!I37+'Moes PG5'!I37+'Papa Johns'!I37+Salad!I37+'Half Moon &amp; Trop Smoothie'!I37+'Athletic Concessions -Kitchen'!I37+'Starbucks BBC'!I37+'Moes BBC'!I37+'Grille Works BBC &amp; Shipping'!I37+'Subway BBC'!I37+'Market Pavillion'!I37+'Chic Fil A BBC'!I37+Panera!I37+'Heritage Market'!I37</f>
        <v>3324004.7874418306</v>
      </c>
      <c r="J37" s="80">
        <f t="shared" si="13"/>
        <v>0.15519192108981922</v>
      </c>
      <c r="K37" s="79">
        <f>'POD Breezeway'!K37+'Express GL'!K37+'Starbucks GL-SBX Truck'!K37+'Miro''s'!K37+'Faculty Club'!K37+'Almazar &amp; Brand X'!K37+'Burger King'!K37+Bustelo!K37+Chilis!K37+Einstein!K37+Jamba!K37+'Pollo Tropical'!K37+'Subway GC'!K37+'Sushi Maki'!K37+Panda!K37+'Starbucks Mango'!K37+'Taco Bell'!K37+'Chick-fil-A'!K37+Dunkin!K37+Chipotle!K37+Sergios!K37+'Moes PG5'!K37+'Papa Johns'!K37+Salad!K37+'Half Moon &amp; Trop Smoothie'!K37+'Athletic Concessions -Kitchen'!K37+'Starbucks BBC'!K37+'Moes BBC'!K37+'Grille Works BBC &amp; Shipping'!K37+'Subway BBC'!K37+'Market Pavillion'!K37+'Chic Fil A BBC'!K37+Panera!K37+'Heritage Market'!K37</f>
        <v>3401816.1255358667</v>
      </c>
      <c r="L37" s="80">
        <f t="shared" si="14"/>
        <v>0.15416156489984434</v>
      </c>
      <c r="M37" s="79">
        <f>'POD Breezeway'!M37+'Express GL'!M37+'Starbucks GL-SBX Truck'!M37+'Miro''s'!M37+'Faculty Club'!M37+'Almazar &amp; Brand X'!M37+'Burger King'!M37+Bustelo!M37+Chilis!M37+Einstein!M37+Jamba!M37+'Pollo Tropical'!M37+'Subway GC'!M37+'Sushi Maki'!M37+Panda!M37+'Starbucks Mango'!M37+'Taco Bell'!M37+'Chick-fil-A'!M37+Dunkin!M37+Chipotle!M37+Sergios!M37+'Moes PG5'!M37+'Papa Johns'!M37+Salad!M37+'Half Moon &amp; Trop Smoothie'!M37+'Athletic Concessions -Kitchen'!M37+'Starbucks BBC'!M37+'Moes BBC'!M37+'Grille Works BBC &amp; Shipping'!M37+'Subway BBC'!M37+'Market Pavillion'!M37+'Chic Fil A BBC'!M37+Panera!M37+'Heritage Market'!M37</f>
        <v>3485692.467963648</v>
      </c>
      <c r="N37" s="80">
        <f t="shared" si="15"/>
        <v>0.15326790853496314</v>
      </c>
      <c r="O37" s="79">
        <f>'POD Breezeway'!O37+'Express GL'!O37+'Starbucks GL-SBX Truck'!O37+'Miro''s'!O37+'Faculty Club'!O37+'Almazar &amp; Brand X'!O37+'Burger King'!O37+Bustelo!O37+Chilis!O37+Einstein!O37+Jamba!O37+'Pollo Tropical'!O37+'Subway GC'!O37+'Sushi Maki'!O37+Panda!O37+'Starbucks Mango'!O37+'Taco Bell'!O37+'Chick-fil-A'!O37+Dunkin!O37+Chipotle!O37+Sergios!O37+'Moes PG5'!O37+'Papa Johns'!O37+Salad!O37+'Half Moon &amp; Trop Smoothie'!O37+'Athletic Concessions -Kitchen'!O37+'Starbucks BBC'!O37+'Moes BBC'!O37+'Grille Works BBC &amp; Shipping'!O37+'Subway BBC'!O37+'Market Pavillion'!O37+'Chic Fil A BBC'!O37+Panera!O37+'Heritage Market'!O37</f>
        <v>3571117.136681485</v>
      </c>
      <c r="P37" s="80">
        <f t="shared" si="16"/>
        <v>0.15223964869781062</v>
      </c>
      <c r="Q37" s="79">
        <f>'POD Breezeway'!Q37+'Express GL'!Q37+'Starbucks GL-SBX Truck'!Q37+'Miro''s'!Q37+'Faculty Club'!Q37+'Almazar &amp; Brand X'!Q37+'Burger King'!Q37+Bustelo!Q37+Chilis!Q37+Einstein!Q37+Jamba!Q37+'Pollo Tropical'!Q37+'Subway GC'!Q37+'Sushi Maki'!Q37+Panda!Q37+'Starbucks Mango'!Q37+'Taco Bell'!Q37+'Chick-fil-A'!Q37+Dunkin!Q37+Chipotle!Q37+Sergios!Q37+'Moes PG5'!Q37+'Papa Johns'!Q37+Salad!Q37+'Half Moon &amp; Trop Smoothie'!Q37+'Athletic Concessions -Kitchen'!Q37+'Starbucks BBC'!Q37+'Moes BBC'!Q37+'Grille Works BBC &amp; Shipping'!Q37+'Subway BBC'!Q37+'Market Pavillion'!Q37+'Chic Fil A BBC'!Q37+Panera!Q37+'Heritage Market'!Q37</f>
        <v>3651445.4389538192</v>
      </c>
      <c r="R37" s="80">
        <f t="shared" si="17"/>
        <v>0.15084636100191742</v>
      </c>
      <c r="S37" s="79">
        <f>'POD Breezeway'!S37+'Express GL'!S37+'Starbucks GL-SBX Truck'!S37+'Miro''s'!S37+'Faculty Club'!S37+'Almazar &amp; Brand X'!S37+'Burger King'!S37+Bustelo!S37+Chilis!S37+Einstein!S37+Jamba!S37+'Pollo Tropical'!S37+'Subway GC'!S37+'Sushi Maki'!S37+Panda!S37+'Starbucks Mango'!S37+'Taco Bell'!S37+'Chick-fil-A'!S37+Dunkin!S37+Chipotle!S37+Sergios!S37+'Moes PG5'!S37+'Papa Johns'!S37+Salad!S37+'Half Moon &amp; Trop Smoothie'!S37+'Athletic Concessions -Kitchen'!S37+'Starbucks BBC'!S37+'Moes BBC'!S37+'Grille Works BBC &amp; Shipping'!S37+'Subway BBC'!S37+'Market Pavillion'!S37+'Chic Fil A BBC'!S37+Panera!S37+'Heritage Market'!S37</f>
        <v>3730426.1400776878</v>
      </c>
      <c r="T37" s="80">
        <f t="shared" si="18"/>
        <v>0.14930194234245664</v>
      </c>
      <c r="U37" s="79">
        <f>'POD Breezeway'!U37+'Express GL'!U37+'Starbucks GL-SBX Truck'!U37+'Miro''s'!U37+'Faculty Club'!U37+'Almazar &amp; Brand X'!U37+'Burger King'!U37+Bustelo!U37+Chilis!U37+Einstein!U37+Jamba!U37+'Pollo Tropical'!U37+'Subway GC'!U37+'Sushi Maki'!U37+Panda!U37+'Starbucks Mango'!U37+'Taco Bell'!U37+'Chick-fil-A'!U37+Dunkin!U37+Chipotle!U37+Sergios!U37+'Moes PG5'!U37+'Papa Johns'!U37+Salad!U37+'Half Moon &amp; Trop Smoothie'!U37+'Athletic Concessions -Kitchen'!U37+'Starbucks BBC'!U37+'Moes BBC'!U37+'Grille Works BBC &amp; Shipping'!U37+'Subway BBC'!U37+'Market Pavillion'!U37+'Chic Fil A BBC'!U37+Panera!U37+'Heritage Market'!U37</f>
        <v>3823295.788815191</v>
      </c>
      <c r="V37" s="80">
        <f t="shared" si="19"/>
        <v>0.1482142847403205</v>
      </c>
    </row>
    <row r="38" spans="1:22" ht="12.75" customHeight="1">
      <c r="A38" s="2" t="s">
        <v>386</v>
      </c>
      <c r="B38" s="35"/>
      <c r="C38" s="79">
        <f>'POD Breezeway'!C38+'Express GL'!C38+'Starbucks GL-SBX Truck'!C38+'Miro''s'!C38+'Faculty Club'!C38+'Almazar &amp; Brand X'!C38+'Burger King'!C38+Bustelo!C38+Chilis!C38+Einstein!C38+Jamba!C38+'Pollo Tropical'!C38+'Subway GC'!C38+'Sushi Maki'!C38+Panda!C38+'Starbucks Mango'!C38+'Taco Bell'!C38+'Chick-fil-A'!C38+Dunkin!C38+Chipotle!C38+Sergios!C38+'Moes PG5'!C38+'Papa Johns'!C38+Salad!C38+'Half Moon &amp; Trop Smoothie'!C38+'Athletic Concessions -Kitchen'!C38+'Starbucks BBC'!C38+'Moes BBC'!C38+'Grille Works BBC &amp; Shipping'!C38+'Subway BBC'!C38+'Market Pavillion'!C38+'Chic Fil A BBC'!C38+Panera!C38+'Heritage Market'!C38</f>
        <v>320976</v>
      </c>
      <c r="D38" s="80">
        <f t="shared" si="10"/>
        <v>2.0248808483324162E-2</v>
      </c>
      <c r="E38" s="79">
        <f>'POD Breezeway'!E38+'Express GL'!E38+'Starbucks GL-SBX Truck'!E38+'Miro''s'!E38+'Faculty Club'!E38+'Almazar &amp; Brand X'!E38+'Burger King'!E38+Bustelo!E38+Chilis!E38+Einstein!E38+Jamba!E38+'Pollo Tropical'!E38+'Subway GC'!E38+'Sushi Maki'!E38+Panda!E38+'Starbucks Mango'!E38+'Taco Bell'!E38+'Chick-fil-A'!E38+Dunkin!E38+Chipotle!E38+Sergios!E38+'Moes PG5'!E38+'Papa Johns'!E38+Salad!E38+'Half Moon &amp; Trop Smoothie'!E38+'Athletic Concessions -Kitchen'!E38+'Starbucks BBC'!E38+'Moes BBC'!E38+'Grille Works BBC &amp; Shipping'!E38+'Subway BBC'!E38+'Market Pavillion'!E38+'Chic Fil A BBC'!E38+Panera!E38+'Heritage Market'!E38</f>
        <v>523965.02257142856</v>
      </c>
      <c r="F38" s="80">
        <f t="shared" si="11"/>
        <v>2.7855587556430791E-2</v>
      </c>
      <c r="G38" s="79">
        <f>'POD Breezeway'!G38+'Express GL'!G38+'Starbucks GL-SBX Truck'!G38+'Miro''s'!G38+'Faculty Club'!G38+'Almazar &amp; Brand X'!G38+'Burger King'!G38+Bustelo!G38+Chilis!G38+Einstein!G38+Jamba!G38+'Pollo Tropical'!G38+'Subway GC'!G38+'Sushi Maki'!G38+Panda!G38+'Starbucks Mango'!G38+'Taco Bell'!G38+'Chick-fil-A'!G38+Dunkin!G38+Chipotle!G38+Sergios!G38+'Moes PG5'!G38+'Papa Johns'!G38+Salad!G38+'Half Moon &amp; Trop Smoothie'!G38+'Athletic Concessions -Kitchen'!G38+'Starbucks BBC'!G38+'Moes BBC'!G38+'Grille Works BBC &amp; Shipping'!G38+'Subway BBC'!G38+'Market Pavillion'!G38+'Chic Fil A BBC'!G38+Panera!G38+'Heritage Market'!G38</f>
        <v>662239.9037276</v>
      </c>
      <c r="H38" s="80">
        <f t="shared" si="12"/>
        <v>3.2088597866581817E-2</v>
      </c>
      <c r="I38" s="79">
        <f>'POD Breezeway'!I38+'Express GL'!I38+'Starbucks GL-SBX Truck'!I38+'Miro''s'!I38+'Faculty Club'!I38+'Almazar &amp; Brand X'!I38+'Burger King'!I38+Bustelo!I38+Chilis!I38+Einstein!I38+Jamba!I38+'Pollo Tropical'!I38+'Subway GC'!I38+'Sushi Maki'!I38+Panda!I38+'Starbucks Mango'!I38+'Taco Bell'!I38+'Chick-fil-A'!I38+Dunkin!I38+Chipotle!I38+Sergios!I38+'Moes PG5'!I38+'Papa Johns'!I38+Salad!I38+'Half Moon &amp; Trop Smoothie'!I38+'Athletic Concessions -Kitchen'!I38+'Starbucks BBC'!I38+'Moes BBC'!I38+'Grille Works BBC &amp; Shipping'!I38+'Subway BBC'!I38+'Market Pavillion'!I38+'Chic Fil A BBC'!I38+Panera!I38+'Heritage Market'!I38</f>
        <v>683431.58064688323</v>
      </c>
      <c r="J38" s="80">
        <f t="shared" si="13"/>
        <v>3.1908215155029347E-2</v>
      </c>
      <c r="K38" s="79">
        <f>'POD Breezeway'!K38+'Express GL'!K38+'Starbucks GL-SBX Truck'!K38+'Miro''s'!K38+'Faculty Club'!K38+'Almazar &amp; Brand X'!K38+'Burger King'!K38+Bustelo!K38+Chilis!K38+Einstein!K38+Jamba!K38+'Pollo Tropical'!K38+'Subway GC'!K38+'Sushi Maki'!K38+Panda!K38+'Starbucks Mango'!K38+'Taco Bell'!K38+'Chick-fil-A'!K38+Dunkin!K38+Chipotle!K38+Sergios!K38+'Moes PG5'!K38+'Papa Johns'!K38+Salad!K38+'Half Moon &amp; Trop Smoothie'!K38+'Athletic Concessions -Kitchen'!K38+'Starbucks BBC'!K38+'Moes BBC'!K38+'Grille Works BBC &amp; Shipping'!K38+'Subway BBC'!K38+'Market Pavillion'!K38+'Chic Fil A BBC'!K38+Panera!K38+'Heritage Market'!K38</f>
        <v>699687.46634911012</v>
      </c>
      <c r="L38" s="80">
        <f t="shared" si="14"/>
        <v>3.1708037934059331E-2</v>
      </c>
      <c r="M38" s="79">
        <f>'POD Breezeway'!M38+'Express GL'!M38+'Starbucks GL-SBX Truck'!M38+'Miro''s'!M38+'Faculty Club'!M38+'Almazar &amp; Brand X'!M38+'Burger King'!M38+Bustelo!M38+Chilis!M38+Einstein!M38+Jamba!M38+'Pollo Tropical'!M38+'Subway GC'!M38+'Sushi Maki'!M38+Panda!M38+'Starbucks Mango'!M38+'Taco Bell'!M38+'Chick-fil-A'!M38+Dunkin!M38+Chipotle!M38+Sergios!M38+'Moes PG5'!M38+'Papa Johns'!M38+Salad!M38+'Half Moon &amp; Trop Smoothie'!M38+'Athletic Concessions -Kitchen'!M38+'Starbucks BBC'!M38+'Moes BBC'!M38+'Grille Works BBC &amp; Shipping'!M38+'Subway BBC'!M38+'Market Pavillion'!M38+'Chic Fil A BBC'!M38+Panera!M38+'Heritage Market'!M38</f>
        <v>716749.55468262045</v>
      </c>
      <c r="N38" s="80">
        <f t="shared" si="15"/>
        <v>3.1515891375738285E-2</v>
      </c>
      <c r="O38" s="79">
        <f>'POD Breezeway'!O38+'Express GL'!O38+'Starbucks GL-SBX Truck'!O38+'Miro''s'!O38+'Faculty Club'!O38+'Almazar &amp; Brand X'!O38+'Burger King'!O38+Bustelo!O38+Chilis!O38+Einstein!O38+Jamba!O38+'Pollo Tropical'!O38+'Subway GC'!O38+'Sushi Maki'!O38+Panda!O38+'Starbucks Mango'!O38+'Taco Bell'!O38+'Chick-fil-A'!O38+Dunkin!O38+Chipotle!O38+Sergios!O38+'Moes PG5'!O38+'Papa Johns'!O38+Salad!O38+'Half Moon &amp; Trop Smoothie'!O38+'Athletic Concessions -Kitchen'!O38+'Starbucks BBC'!O38+'Moes BBC'!O38+'Grille Works BBC &amp; Shipping'!O38+'Subway BBC'!O38+'Market Pavillion'!O38+'Chic Fil A BBC'!O38+Panera!O38+'Heritage Market'!O38</f>
        <v>734071.95879968593</v>
      </c>
      <c r="P38" s="80">
        <f t="shared" si="16"/>
        <v>3.129408889410662E-2</v>
      </c>
      <c r="Q38" s="79">
        <f>'POD Breezeway'!Q38+'Express GL'!Q38+'Starbucks GL-SBX Truck'!Q38+'Miro''s'!Q38+'Faculty Club'!Q38+'Almazar &amp; Brand X'!Q38+'Burger King'!Q38+Bustelo!Q38+Chilis!Q38+Einstein!Q38+Jamba!Q38+'Pollo Tropical'!Q38+'Subway GC'!Q38+'Sushi Maki'!Q38+Panda!Q38+'Starbucks Mango'!Q38+'Taco Bell'!Q38+'Chick-fil-A'!Q38+Dunkin!Q38+Chipotle!Q38+Sergios!Q38+'Moes PG5'!Q38+'Papa Johns'!Q38+Salad!Q38+'Half Moon &amp; Trop Smoothie'!Q38+'Athletic Concessions -Kitchen'!Q38+'Starbucks BBC'!Q38+'Moes BBC'!Q38+'Grille Works BBC &amp; Shipping'!Q38+'Subway BBC'!Q38+'Market Pavillion'!Q38+'Chic Fil A BBC'!Q38+Panera!Q38+'Heritage Market'!Q38</f>
        <v>749756.83972914633</v>
      </c>
      <c r="R38" s="80">
        <f t="shared" si="17"/>
        <v>3.0973512489849347E-2</v>
      </c>
      <c r="S38" s="79">
        <f>'POD Breezeway'!S38+'Express GL'!S38+'Starbucks GL-SBX Truck'!S38+'Miro''s'!S38+'Faculty Club'!S38+'Almazar &amp; Brand X'!S38+'Burger King'!S38+Bustelo!S38+Chilis!S38+Einstein!S38+Jamba!S38+'Pollo Tropical'!S38+'Subway GC'!S38+'Sushi Maki'!S38+Panda!S38+'Starbucks Mango'!S38+'Taco Bell'!S38+'Chick-fil-A'!S38+Dunkin!S38+Chipotle!S38+Sergios!S38+'Moes PG5'!S38+'Papa Johns'!S38+Salad!S38+'Half Moon &amp; Trop Smoothie'!S38+'Athletic Concessions -Kitchen'!S38+'Starbucks BBC'!S38+'Moes BBC'!S38+'Grille Works BBC &amp; Shipping'!S38+'Subway BBC'!S38+'Market Pavillion'!S38+'Chic Fil A BBC'!S38+Panera!S38+'Heritage Market'!S38</f>
        <v>765366.48096314224</v>
      </c>
      <c r="T38" s="80">
        <f t="shared" si="18"/>
        <v>3.0632077387605983E-2</v>
      </c>
      <c r="U38" s="79">
        <f>'POD Breezeway'!U38+'Express GL'!U38+'Starbucks GL-SBX Truck'!U38+'Miro''s'!U38+'Faculty Club'!U38+'Almazar &amp; Brand X'!U38+'Burger King'!U38+Bustelo!U38+Chilis!U38+Einstein!U38+Jamba!U38+'Pollo Tropical'!U38+'Subway GC'!U38+'Sushi Maki'!U38+Panda!U38+'Starbucks Mango'!U38+'Taco Bell'!U38+'Chick-fil-A'!U38+Dunkin!U38+Chipotle!U38+Sergios!U38+'Moes PG5'!U38+'Papa Johns'!U38+Salad!U38+'Half Moon &amp; Trop Smoothie'!U38+'Athletic Concessions -Kitchen'!U38+'Starbucks BBC'!U38+'Moes BBC'!U38+'Grille Works BBC &amp; Shipping'!U38+'Subway BBC'!U38+'Market Pavillion'!U38+'Chic Fil A BBC'!U38+Panera!U38+'Heritage Market'!U38</f>
        <v>784500.64298722066</v>
      </c>
      <c r="V38" s="80">
        <f t="shared" si="19"/>
        <v>3.0412034041107996E-2</v>
      </c>
    </row>
    <row r="39" spans="1:22" ht="12.75" customHeight="1">
      <c r="A39" s="2" t="s">
        <v>387</v>
      </c>
      <c r="B39" s="35"/>
      <c r="C39" s="79">
        <f>'POD Breezeway'!C39+'Express GL'!C39+'Starbucks GL-SBX Truck'!C39+'Miro''s'!C39+'Faculty Club'!C39+'Almazar &amp; Brand X'!C39+'Burger King'!C39+Bustelo!C39+Chilis!C39+Einstein!C39+Jamba!C39+'Pollo Tropical'!C39+'Subway GC'!C39+'Sushi Maki'!C39+Panda!C39+'Starbucks Mango'!C39+'Taco Bell'!C39+'Chick-fil-A'!C39+Dunkin!C39+Chipotle!C39+Sergios!C39+'Moes PG5'!C39+'Papa Johns'!C39+Salad!C39+'Half Moon &amp; Trop Smoothie'!C39+'Athletic Concessions -Kitchen'!C39+'Starbucks BBC'!C39+'Moes BBC'!C39+'Grille Works BBC &amp; Shipping'!C39+'Subway BBC'!C39+'Market Pavillion'!C39+'Chic Fil A BBC'!C39+Panera!C39+'Heritage Market'!C39</f>
        <v>1099233</v>
      </c>
      <c r="D39" s="80">
        <f t="shared" si="10"/>
        <v>6.9345242309549207E-2</v>
      </c>
      <c r="E39" s="79">
        <f>'POD Breezeway'!E39+'Express GL'!E39+'Starbucks GL-SBX Truck'!E39+'Miro''s'!E39+'Faculty Club'!E39+'Almazar &amp; Brand X'!E39+'Burger King'!E39+Bustelo!E39+Chilis!E39+Einstein!E39+Jamba!E39+'Pollo Tropical'!E39+'Subway GC'!E39+'Sushi Maki'!E39+Panda!E39+'Starbucks Mango'!E39+'Taco Bell'!E39+'Chick-fil-A'!E39+Dunkin!E39+Chipotle!E39+Sergios!E39+'Moes PG5'!E39+'Papa Johns'!E39+Salad!E39+'Half Moon &amp; Trop Smoothie'!E39+'Athletic Concessions -Kitchen'!E39+'Starbucks BBC'!E39+'Moes BBC'!E39+'Grille Works BBC &amp; Shipping'!E39+'Subway BBC'!E39+'Market Pavillion'!E39+'Chic Fil A BBC'!E39+Panera!E39+'Heritage Market'!E39</f>
        <v>1182892.3702857143</v>
      </c>
      <c r="F39" s="80">
        <f t="shared" si="11"/>
        <v>6.2886186235524527E-2</v>
      </c>
      <c r="G39" s="79">
        <f>'POD Breezeway'!G39+'Express GL'!G39+'Starbucks GL-SBX Truck'!G39+'Miro''s'!G39+'Faculty Club'!G39+'Almazar &amp; Brand X'!G39+'Burger King'!G39+Bustelo!G39+Chilis!G39+Einstein!G39+Jamba!G39+'Pollo Tropical'!G39+'Subway GC'!G39+'Sushi Maki'!G39+Panda!G39+'Starbucks Mango'!G39+'Taco Bell'!G39+'Chick-fil-A'!G39+Dunkin!G39+Chipotle!G39+Sergios!G39+'Moes PG5'!G39+'Papa Johns'!G39+Salad!G39+'Half Moon &amp; Trop Smoothie'!G39+'Athletic Concessions -Kitchen'!G39+'Starbucks BBC'!G39+'Moes BBC'!G39+'Grille Works BBC &amp; Shipping'!G39+'Subway BBC'!G39+'Market Pavillion'!G39+'Chic Fil A BBC'!G39+Panera!G39+'Heritage Market'!G39</f>
        <v>1284019.965176</v>
      </c>
      <c r="H39" s="80">
        <f t="shared" si="12"/>
        <v>6.2216728534894947E-2</v>
      </c>
      <c r="I39" s="79">
        <f>'POD Breezeway'!I39+'Express GL'!I39+'Starbucks GL-SBX Truck'!I39+'Miro''s'!I39+'Faculty Club'!I39+'Almazar &amp; Brand X'!I39+'Burger King'!I39+Bustelo!I39+Chilis!I39+Einstein!I39+Jamba!I39+'Pollo Tropical'!I39+'Subway GC'!I39+'Sushi Maki'!I39+Panda!I39+'Starbucks Mango'!I39+'Taco Bell'!I39+'Chick-fil-A'!I39+Dunkin!I39+Chipotle!I39+Sergios!I39+'Moes PG5'!I39+'Papa Johns'!I39+Salad!I39+'Half Moon &amp; Trop Smoothie'!I39+'Athletic Concessions -Kitchen'!I39+'Starbucks BBC'!I39+'Moes BBC'!I39+'Grille Works BBC &amp; Shipping'!I39+'Subway BBC'!I39+'Market Pavillion'!I39+'Chic Fil A BBC'!I39+Panera!I39+'Heritage Market'!I39</f>
        <v>1325108.6040616317</v>
      </c>
      <c r="J39" s="80">
        <f t="shared" si="13"/>
        <v>6.1866983674003513E-2</v>
      </c>
      <c r="K39" s="79">
        <f>'POD Breezeway'!K39+'Express GL'!K39+'Starbucks GL-SBX Truck'!K39+'Miro''s'!K39+'Faculty Club'!K39+'Almazar &amp; Brand X'!K39+'Burger King'!K39+Bustelo!K39+Chilis!K39+Einstein!K39+Jamba!K39+'Pollo Tropical'!K39+'Subway GC'!K39+'Sushi Maki'!K39+Panda!K39+'Starbucks Mango'!K39+'Taco Bell'!K39+'Chick-fil-A'!K39+Dunkin!K39+Chipotle!K39+Sergios!K39+'Moes PG5'!K39+'Papa Johns'!K39+Salad!K39+'Half Moon &amp; Trop Smoothie'!K39+'Athletic Concessions -Kitchen'!K39+'Starbucks BBC'!K39+'Moes BBC'!K39+'Grille Works BBC &amp; Shipping'!K39+'Subway BBC'!K39+'Market Pavillion'!K39+'Chic Fil A BBC'!K39+Panera!K39+'Heritage Market'!K39</f>
        <v>1356174.1676609328</v>
      </c>
      <c r="L39" s="80">
        <f t="shared" si="14"/>
        <v>6.145832821296883E-2</v>
      </c>
      <c r="M39" s="79">
        <f>'POD Breezeway'!M39+'Express GL'!M39+'Starbucks GL-SBX Truck'!M39+'Miro''s'!M39+'Faculty Club'!M39+'Almazar &amp; Brand X'!M39+'Burger King'!M39+Bustelo!M39+Chilis!M39+Einstein!M39+Jamba!M39+'Pollo Tropical'!M39+'Subway GC'!M39+'Sushi Maki'!M39+Panda!M39+'Starbucks Mango'!M39+'Taco Bell'!M39+'Chick-fil-A'!M39+Dunkin!M39+Chipotle!M39+Sergios!M39+'Moes PG5'!M39+'Papa Johns'!M39+Salad!M39+'Half Moon &amp; Trop Smoothie'!M39+'Athletic Concessions -Kitchen'!M39+'Starbucks BBC'!M39+'Moes BBC'!M39+'Grille Works BBC &amp; Shipping'!M39+'Subway BBC'!M39+'Market Pavillion'!M39+'Chic Fil A BBC'!M39+Panera!M39+'Heritage Market'!M39</f>
        <v>1388919.0120018767</v>
      </c>
      <c r="N39" s="80">
        <f t="shared" si="15"/>
        <v>6.1071570154419913E-2</v>
      </c>
      <c r="O39" s="79">
        <f>'POD Breezeway'!O39+'Express GL'!O39+'Starbucks GL-SBX Truck'!O39+'Miro''s'!O39+'Faculty Club'!O39+'Almazar &amp; Brand X'!O39+'Burger King'!O39+Bustelo!O39+Chilis!O39+Einstein!O39+Jamba!O39+'Pollo Tropical'!O39+'Subway GC'!O39+'Sushi Maki'!O39+Panda!O39+'Starbucks Mango'!O39+'Taco Bell'!O39+'Chick-fil-A'!O39+Dunkin!O39+Chipotle!O39+Sergios!O39+'Moes PG5'!O39+'Papa Johns'!O39+Salad!O39+'Half Moon &amp; Trop Smoothie'!O39+'Athletic Concessions -Kitchen'!O39+'Starbucks BBC'!O39+'Moes BBC'!O39+'Grille Works BBC &amp; Shipping'!O39+'Subway BBC'!O39+'Market Pavillion'!O39+'Chic Fil A BBC'!O39+Panera!O39+'Heritage Market'!O39</f>
        <v>1423387.1897269241</v>
      </c>
      <c r="P39" s="80">
        <f t="shared" si="16"/>
        <v>6.0680161818035136E-2</v>
      </c>
      <c r="Q39" s="79">
        <f>'POD Breezeway'!Q39+'Express GL'!Q39+'Starbucks GL-SBX Truck'!Q39+'Miro''s'!Q39+'Faculty Club'!Q39+'Almazar &amp; Brand X'!Q39+'Burger King'!Q39+Bustelo!Q39+Chilis!Q39+Einstein!Q39+Jamba!Q39+'Pollo Tropical'!Q39+'Subway GC'!Q39+'Sushi Maki'!Q39+Panda!Q39+'Starbucks Mango'!Q39+'Taco Bell'!Q39+'Chick-fil-A'!Q39+Dunkin!Q39+Chipotle!Q39+Sergios!Q39+'Moes PG5'!Q39+'Papa Johns'!Q39+Salad!Q39+'Half Moon &amp; Trop Smoothie'!Q39+'Athletic Concessions -Kitchen'!Q39+'Starbucks BBC'!Q39+'Moes BBC'!Q39+'Grille Works BBC &amp; Shipping'!Q39+'Subway BBC'!Q39+'Market Pavillion'!Q39+'Chic Fil A BBC'!Q39+Panera!Q39+'Heritage Market'!Q39</f>
        <v>1455521.7979337543</v>
      </c>
      <c r="R39" s="80">
        <f t="shared" si="17"/>
        <v>6.0129658308733069E-2</v>
      </c>
      <c r="S39" s="79">
        <f>'POD Breezeway'!S39+'Express GL'!S39+'Starbucks GL-SBX Truck'!S39+'Miro''s'!S39+'Faculty Club'!S39+'Almazar &amp; Brand X'!S39+'Burger King'!S39+Bustelo!S39+Chilis!S39+Einstein!S39+Jamba!S39+'Pollo Tropical'!S39+'Subway GC'!S39+'Sushi Maki'!S39+Panda!S39+'Starbucks Mango'!S39+'Taco Bell'!S39+'Chick-fil-A'!S39+Dunkin!S39+Chipotle!S39+Sergios!S39+'Moes PG5'!S39+'Papa Johns'!S39+Salad!S39+'Half Moon &amp; Trop Smoothie'!S39+'Athletic Concessions -Kitchen'!S39+'Starbucks BBC'!S39+'Moes BBC'!S39+'Grille Works BBC &amp; Shipping'!S39+'Subway BBC'!S39+'Market Pavillion'!S39+'Chic Fil A BBC'!S39+Panera!S39+'Heritage Market'!S39</f>
        <v>1486559.9113805075</v>
      </c>
      <c r="T39" s="80">
        <f t="shared" si="18"/>
        <v>5.9496227466634112E-2</v>
      </c>
      <c r="U39" s="79">
        <f>'POD Breezeway'!U39+'Express GL'!U39+'Starbucks GL-SBX Truck'!U39+'Miro''s'!U39+'Faculty Club'!U39+'Almazar &amp; Brand X'!U39+'Burger King'!U39+Bustelo!U39+Chilis!U39+Einstein!U39+Jamba!U39+'Pollo Tropical'!U39+'Subway GC'!U39+'Sushi Maki'!U39+Panda!U39+'Starbucks Mango'!U39+'Taco Bell'!U39+'Chick-fil-A'!U39+Dunkin!U39+Chipotle!U39+Sergios!U39+'Moes PG5'!U39+'Papa Johns'!U39+Salad!U39+'Half Moon &amp; Trop Smoothie'!U39+'Athletic Concessions -Kitchen'!U39+'Starbucks BBC'!U39+'Moes BBC'!U39+'Grille Works BBC &amp; Shipping'!U39+'Subway BBC'!U39+'Market Pavillion'!U39+'Chic Fil A BBC'!U39+Panera!U39+'Heritage Market'!U39</f>
        <v>1523723.9091650203</v>
      </c>
      <c r="V39" s="80">
        <f t="shared" si="19"/>
        <v>5.906884055355912E-2</v>
      </c>
    </row>
    <row r="40" spans="1:22" ht="12.75" customHeight="1">
      <c r="A40" s="2" t="s">
        <v>388</v>
      </c>
      <c r="B40" s="35"/>
      <c r="C40" s="79">
        <f>'POD Breezeway'!C40+'Express GL'!C40+'Starbucks GL-SBX Truck'!C40+'Miro''s'!C40+'Faculty Club'!C40+'Almazar &amp; Brand X'!C40+'Burger King'!C40+Bustelo!C40+Chilis!C40+Einstein!C40+Jamba!C40+'Pollo Tropical'!C40+'Subway GC'!C40+'Sushi Maki'!C40+Panda!C40+'Starbucks Mango'!C40+'Taco Bell'!C40+'Chick-fil-A'!C40+Dunkin!C40+Chipotle!C40+Sergios!C40+'Moes PG5'!C40+'Papa Johns'!C40+Salad!C40+'Half Moon &amp; Trop Smoothie'!C40+'Athletic Concessions -Kitchen'!C40+'Starbucks BBC'!C40+'Moes BBC'!C40+'Grille Works BBC &amp; Shipping'!C40+'Subway BBC'!C40+'Market Pavillion'!C40+'Chic Fil A BBC'!C40+Panera!C40+'Heritage Market'!C40</f>
        <v>40918.635999999999</v>
      </c>
      <c r="D40" s="80">
        <f t="shared" si="10"/>
        <v>2.5813569356053206E-3</v>
      </c>
      <c r="E40" s="79">
        <f>'POD Breezeway'!E40+'Express GL'!E40+'Starbucks GL-SBX Truck'!E40+'Miro''s'!E40+'Faculty Club'!E40+'Almazar &amp; Brand X'!E40+'Burger King'!E40+Bustelo!E40+Chilis!E40+Einstein!E40+Jamba!E40+'Pollo Tropical'!E40+'Subway GC'!E40+'Sushi Maki'!E40+Panda!E40+'Starbucks Mango'!E40+'Taco Bell'!E40+'Chick-fil-A'!E40+Dunkin!E40+Chipotle!E40+Sergios!E40+'Moes PG5'!E40+'Papa Johns'!E40+Salad!E40+'Half Moon &amp; Trop Smoothie'!E40+'Athletic Concessions -Kitchen'!E40+'Starbucks BBC'!E40+'Moes BBC'!E40+'Grille Works BBC &amp; Shipping'!E40+'Subway BBC'!E40+'Market Pavillion'!E40+'Chic Fil A BBC'!E40+Panera!E40+'Heritage Market'!E40</f>
        <v>68715.459054285719</v>
      </c>
      <c r="F40" s="80">
        <f t="shared" si="11"/>
        <v>3.6531245478433694E-3</v>
      </c>
      <c r="G40" s="79">
        <f>'POD Breezeway'!G40+'Express GL'!G40+'Starbucks GL-SBX Truck'!G40+'Miro''s'!G40+'Faculty Club'!G40+'Almazar &amp; Brand X'!G40+'Burger King'!G40+Bustelo!G40+Chilis!G40+Einstein!G40+Jamba!G40+'Pollo Tropical'!G40+'Subway GC'!G40+'Sushi Maki'!G40+Panda!G40+'Starbucks Mango'!G40+'Taco Bell'!G40+'Chick-fil-A'!G40+Dunkin!G40+Chipotle!G40+Sergios!G40+'Moes PG5'!G40+'Papa Johns'!G40+Salad!G40+'Half Moon &amp; Trop Smoothie'!G40+'Athletic Concessions -Kitchen'!G40+'Starbucks BBC'!G40+'Moes BBC'!G40+'Grille Works BBC &amp; Shipping'!G40+'Subway BBC'!G40+'Market Pavillion'!G40+'Chic Fil A BBC'!G40+Panera!G40+'Heritage Market'!G40</f>
        <v>82951.745228299988</v>
      </c>
      <c r="H40" s="80">
        <f t="shared" si="12"/>
        <v>4.0193971700880002E-3</v>
      </c>
      <c r="I40" s="79">
        <f>'POD Breezeway'!I40+'Express GL'!I40+'Starbucks GL-SBX Truck'!I40+'Miro''s'!I40+'Faculty Club'!I40+'Almazar &amp; Brand X'!I40+'Burger King'!I40+Bustelo!I40+Chilis!I40+Einstein!I40+Jamba!I40+'Pollo Tropical'!I40+'Subway GC'!I40+'Sushi Maki'!I40+Panda!I40+'Starbucks Mango'!I40+'Taco Bell'!I40+'Chick-fil-A'!I40+Dunkin!I40+Chipotle!I40+Sergios!I40+'Moes PG5'!I40+'Papa Johns'!I40+Salad!I40+'Half Moon &amp; Trop Smoothie'!I40+'Athletic Concessions -Kitchen'!I40+'Starbucks BBC'!I40+'Moes BBC'!I40+'Grille Works BBC &amp; Shipping'!I40+'Subway BBC'!I40+'Market Pavillion'!I40+'Chic Fil A BBC'!I40+Panera!I40+'Heritage Market'!I40</f>
        <v>83129.238538403486</v>
      </c>
      <c r="J40" s="80">
        <f t="shared" si="13"/>
        <v>3.8811575351061188E-3</v>
      </c>
      <c r="K40" s="79">
        <f>'POD Breezeway'!K40+'Express GL'!K40+'Starbucks GL-SBX Truck'!K40+'Miro''s'!K40+'Faculty Club'!K40+'Almazar &amp; Brand X'!K40+'Burger King'!K40+Bustelo!K40+Chilis!K40+Einstein!K40+Jamba!K40+'Pollo Tropical'!K40+'Subway GC'!K40+'Sushi Maki'!K40+Panda!K40+'Starbucks Mango'!K40+'Taco Bell'!K40+'Chick-fil-A'!K40+Dunkin!K40+Chipotle!K40+Sergios!K40+'Moes PG5'!K40+'Papa Johns'!K40+Salad!K40+'Half Moon &amp; Trop Smoothie'!K40+'Athletic Concessions -Kitchen'!K40+'Starbucks BBC'!K40+'Moes BBC'!K40+'Grille Works BBC &amp; Shipping'!K40+'Subway BBC'!K40+'Market Pavillion'!K40+'Chic Fil A BBC'!K40+Panera!K40+'Heritage Market'!K40</f>
        <v>85130.005068297483</v>
      </c>
      <c r="L40" s="80">
        <f t="shared" si="14"/>
        <v>3.8578730645511049E-3</v>
      </c>
      <c r="M40" s="79">
        <f>'POD Breezeway'!M40+'Express GL'!M40+'Starbucks GL-SBX Truck'!M40+'Miro''s'!M40+'Faculty Club'!M40+'Almazar &amp; Brand X'!M40+'Burger King'!M40+Bustelo!M40+Chilis!M40+Einstein!M40+Jamba!M40+'Pollo Tropical'!M40+'Subway GC'!M40+'Sushi Maki'!M40+Panda!M40+'Starbucks Mango'!M40+'Taco Bell'!M40+'Chick-fil-A'!M40+Dunkin!M40+Chipotle!M40+Sergios!M40+'Moes PG5'!M40+'Papa Johns'!M40+Salad!M40+'Half Moon &amp; Trop Smoothie'!M40+'Athletic Concessions -Kitchen'!M40+'Starbucks BBC'!M40+'Moes BBC'!M40+'Grille Works BBC &amp; Shipping'!M40+'Subway BBC'!M40+'Market Pavillion'!M40+'Chic Fil A BBC'!M40+Panera!M40+'Heritage Market'!M40</f>
        <v>87179.241472767506</v>
      </c>
      <c r="N40" s="80">
        <f t="shared" si="15"/>
        <v>3.8333215368255326E-3</v>
      </c>
      <c r="O40" s="79">
        <f>'POD Breezeway'!O40+'Express GL'!O40+'Starbucks GL-SBX Truck'!O40+'Miro''s'!O40+'Faculty Club'!O40+'Almazar &amp; Brand X'!O40+'Burger King'!O40+Bustelo!O40+Chilis!O40+Einstein!O40+Jamba!O40+'Pollo Tropical'!O40+'Subway GC'!O40+'Sushi Maki'!O40+Panda!O40+'Starbucks Mango'!O40+'Taco Bell'!O40+'Chick-fil-A'!O40+Dunkin!O40+Chipotle!O40+Sergios!O40+'Moes PG5'!O40+'Papa Johns'!O40+Salad!O40+'Half Moon &amp; Trop Smoothie'!O40+'Athletic Concessions -Kitchen'!O40+'Starbucks BBC'!O40+'Moes BBC'!O40+'Grille Works BBC &amp; Shipping'!O40+'Subway BBC'!O40+'Market Pavillion'!O40+'Chic Fil A BBC'!O40+Panera!O40+'Heritage Market'!O40</f>
        <v>89211.361294154543</v>
      </c>
      <c r="P40" s="80">
        <f t="shared" si="16"/>
        <v>3.80315340647055E-3</v>
      </c>
      <c r="Q40" s="79">
        <f>'POD Breezeway'!Q40+'Express GL'!Q40+'Starbucks GL-SBX Truck'!Q40+'Miro''s'!Q40+'Faculty Club'!Q40+'Almazar &amp; Brand X'!Q40+'Burger King'!Q40+Bustelo!Q40+Chilis!Q40+Einstein!Q40+Jamba!Q40+'Pollo Tropical'!Q40+'Subway GC'!Q40+'Sushi Maki'!Q40+Panda!Q40+'Starbucks Mango'!Q40+'Taco Bell'!Q40+'Chick-fil-A'!Q40+Dunkin!Q40+Chipotle!Q40+Sergios!Q40+'Moes PG5'!Q40+'Papa Johns'!Q40+Salad!Q40+'Half Moon &amp; Trop Smoothie'!Q40+'Athletic Concessions -Kitchen'!Q40+'Starbucks BBC'!Q40+'Moes BBC'!Q40+'Grille Works BBC &amp; Shipping'!Q40+'Subway BBC'!Q40+'Market Pavillion'!Q40+'Chic Fil A BBC'!Q40+Panera!Q40+'Heritage Market'!Q40</f>
        <v>91170.293865890097</v>
      </c>
      <c r="R40" s="80">
        <f t="shared" si="17"/>
        <v>3.7663734241871246E-3</v>
      </c>
      <c r="S40" s="79">
        <f>'POD Breezeway'!S40+'Express GL'!S40+'Starbucks GL-SBX Truck'!S40+'Miro''s'!S40+'Faculty Club'!S40+'Almazar &amp; Brand X'!S40+'Burger King'!S40+Bustelo!S40+Chilis!S40+Einstein!S40+Jamba!S40+'Pollo Tropical'!S40+'Subway GC'!S40+'Sushi Maki'!S40+Panda!S40+'Starbucks Mango'!S40+'Taco Bell'!S40+'Chick-fil-A'!S40+Dunkin!S40+Chipotle!S40+Sergios!S40+'Moes PG5'!S40+'Papa Johns'!S40+Salad!S40+'Half Moon &amp; Trop Smoothie'!S40+'Athletic Concessions -Kitchen'!S40+'Starbucks BBC'!S40+'Moes BBC'!S40+'Grille Works BBC &amp; Shipping'!S40+'Subway BBC'!S40+'Market Pavillion'!S40+'Chic Fil A BBC'!S40+Panera!S40+'Heritage Market'!S40</f>
        <v>93255.120938504668</v>
      </c>
      <c r="T40" s="80">
        <f t="shared" si="18"/>
        <v>3.7323271301142793E-3</v>
      </c>
      <c r="U40" s="79">
        <f>'POD Breezeway'!U40+'Express GL'!U40+'Starbucks GL-SBX Truck'!U40+'Miro''s'!U40+'Faculty Club'!U40+'Almazar &amp; Brand X'!U40+'Burger King'!U40+Bustelo!U40+Chilis!U40+Einstein!U40+Jamba!U40+'Pollo Tropical'!U40+'Subway GC'!U40+'Sushi Maki'!U40+Panda!U40+'Starbucks Mango'!U40+'Taco Bell'!U40+'Chick-fil-A'!U40+Dunkin!U40+Chipotle!U40+Sergios!U40+'Moes PG5'!U40+'Papa Johns'!U40+Salad!U40+'Half Moon &amp; Trop Smoothie'!U40+'Athletic Concessions -Kitchen'!U40+'Starbucks BBC'!U40+'Moes BBC'!U40+'Grille Works BBC &amp; Shipping'!U40+'Subway BBC'!U40+'Market Pavillion'!U40+'Chic Fil A BBC'!U40+Panera!U40+'Heritage Market'!U40</f>
        <v>95500.971967936217</v>
      </c>
      <c r="V40" s="80">
        <f t="shared" si="19"/>
        <v>3.7022006755641221E-3</v>
      </c>
    </row>
    <row r="41" spans="1:22" ht="12.75" customHeight="1">
      <c r="A41" s="2" t="s">
        <v>389</v>
      </c>
      <c r="B41" s="35"/>
      <c r="C41" s="79">
        <f>'POD Breezeway'!C41+'Express GL'!C41+'Starbucks GL-SBX Truck'!C41+'Miro''s'!C41+'Faculty Club'!C41+'Almazar &amp; Brand X'!C41+'Burger King'!C41+Bustelo!C41+Chilis!C41+Einstein!C41+Jamba!C41+'Pollo Tropical'!C41+'Subway GC'!C41+'Sushi Maki'!C41+Panda!C41+'Starbucks Mango'!C41+'Taco Bell'!C41+'Chick-fil-A'!C41+Dunkin!C41+Chipotle!C41+Sergios!C41+'Moes PG5'!C41+'Papa Johns'!C41+Salad!C41+'Half Moon &amp; Trop Smoothie'!C41+'Athletic Concessions -Kitchen'!C41+'Starbucks BBC'!C41+'Moes BBC'!C41+'Grille Works BBC &amp; Shipping'!C41+'Subway BBC'!C41+'Market Pavillion'!C41+'Chic Fil A BBC'!C41+Panera!C41+'Heritage Market'!C41</f>
        <v>326421.93999999994</v>
      </c>
      <c r="D41" s="80">
        <f t="shared" si="10"/>
        <v>2.0592366244875409E-2</v>
      </c>
      <c r="E41" s="79">
        <f>'POD Breezeway'!E41+'Express GL'!E41+'Starbucks GL-SBX Truck'!E41+'Miro''s'!E41+'Faculty Club'!E41+'Almazar &amp; Brand X'!E41+'Burger King'!E41+Bustelo!E41+Chilis!E41+Einstein!E41+Jamba!E41+'Pollo Tropical'!E41+'Subway GC'!E41+'Sushi Maki'!E41+Panda!E41+'Starbucks Mango'!E41+'Taco Bell'!E41+'Chick-fil-A'!E41+Dunkin!E41+Chipotle!E41+Sergios!E41+'Moes PG5'!E41+'Papa Johns'!E41+Salad!E41+'Half Moon &amp; Trop Smoothie'!E41+'Athletic Concessions -Kitchen'!E41+'Starbucks BBC'!E41+'Moes BBC'!E41+'Grille Works BBC &amp; Shipping'!E41+'Subway BBC'!E41+'Market Pavillion'!E41+'Chic Fil A BBC'!E41+Panera!E41+'Heritage Market'!E41</f>
        <v>356472.3173897143</v>
      </c>
      <c r="F41" s="80">
        <f t="shared" si="11"/>
        <v>1.8951161662970201E-2</v>
      </c>
      <c r="G41" s="79">
        <f>'POD Breezeway'!G41+'Express GL'!G41+'Starbucks GL-SBX Truck'!G41+'Miro''s'!G41+'Faculty Club'!G41+'Almazar &amp; Brand X'!G41+'Burger King'!G41+Bustelo!G41+Chilis!G41+Einstein!G41+Jamba!G41+'Pollo Tropical'!G41+'Subway GC'!G41+'Sushi Maki'!G41+Panda!G41+'Starbucks Mango'!G41+'Taco Bell'!G41+'Chick-fil-A'!G41+Dunkin!G41+Chipotle!G41+Sergios!G41+'Moes PG5'!G41+'Papa Johns'!G41+Salad!G41+'Half Moon &amp; Trop Smoothie'!G41+'Athletic Concessions -Kitchen'!G41+'Starbucks BBC'!G41+'Moes BBC'!G41+'Grille Works BBC &amp; Shipping'!G41+'Subway BBC'!G41+'Market Pavillion'!G41+'Chic Fil A BBC'!G41+Panera!G41+'Heritage Market'!G41</f>
        <v>399455.52097169281</v>
      </c>
      <c r="H41" s="80">
        <f t="shared" si="12"/>
        <v>1.9355474512932735E-2</v>
      </c>
      <c r="I41" s="79">
        <f>'POD Breezeway'!I41+'Express GL'!I41+'Starbucks GL-SBX Truck'!I41+'Miro''s'!I41+'Faculty Club'!I41+'Almazar &amp; Brand X'!I41+'Burger King'!I41+Bustelo!I41+Chilis!I41+Einstein!I41+Jamba!I41+'Pollo Tropical'!I41+'Subway GC'!I41+'Sushi Maki'!I41+Panda!I41+'Starbucks Mango'!I41+'Taco Bell'!I41+'Chick-fil-A'!I41+Dunkin!I41+Chipotle!I41+Sergios!I41+'Moes PG5'!I41+'Papa Johns'!I41+Salad!I41+'Half Moon &amp; Trop Smoothie'!I41+'Athletic Concessions -Kitchen'!I41+'Starbucks BBC'!I41+'Moes BBC'!I41+'Grille Works BBC &amp; Shipping'!I41+'Subway BBC'!I41+'Market Pavillion'!I41+'Chic Fil A BBC'!I41+Panera!I41+'Heritage Market'!I41</f>
        <v>412176.59364278708</v>
      </c>
      <c r="J41" s="80">
        <f t="shared" si="13"/>
        <v>1.9243798215137588E-2</v>
      </c>
      <c r="K41" s="79">
        <f>'POD Breezeway'!K41+'Express GL'!K41+'Starbucks GL-SBX Truck'!K41+'Miro''s'!K41+'Faculty Club'!K41+'Almazar &amp; Brand X'!K41+'Burger King'!K41+Bustelo!K41+Chilis!K41+Einstein!K41+Jamba!K41+'Pollo Tropical'!K41+'Subway GC'!K41+'Sushi Maki'!K41+Panda!K41+'Starbucks Mango'!K41+'Taco Bell'!K41+'Chick-fil-A'!K41+Dunkin!K41+Chipotle!K41+Sergios!K41+'Moes PG5'!K41+'Papa Johns'!K41+Salad!K41+'Half Moon &amp; Trop Smoothie'!K41+'Athletic Concessions -Kitchen'!K41+'Starbucks BBC'!K41+'Moes BBC'!K41+'Grille Works BBC &amp; Shipping'!K41+'Subway BBC'!K41+'Market Pavillion'!K41+'Chic Fil A BBC'!K41+Panera!K41+'Heritage Market'!K41</f>
        <v>421825.19956644753</v>
      </c>
      <c r="L41" s="80">
        <f t="shared" si="14"/>
        <v>1.91160340475807E-2</v>
      </c>
      <c r="M41" s="79">
        <f>'POD Breezeway'!M41+'Express GL'!M41+'Starbucks GL-SBX Truck'!M41+'Miro''s'!M41+'Faculty Club'!M41+'Almazar &amp; Brand X'!M41+'Burger King'!M41+Bustelo!M41+Chilis!M41+Einstein!M41+Jamba!M41+'Pollo Tropical'!M41+'Subway GC'!M41+'Sushi Maki'!M41+Panda!M41+'Starbucks Mango'!M41+'Taco Bell'!M41+'Chick-fil-A'!M41+Dunkin!M41+Chipotle!M41+Sergios!M41+'Moes PG5'!M41+'Papa Johns'!M41+Salad!M41+'Half Moon &amp; Trop Smoothie'!M41+'Athletic Concessions -Kitchen'!M41+'Starbucks BBC'!M41+'Moes BBC'!M41+'Grille Works BBC &amp; Shipping'!M41+'Subway BBC'!M41+'Market Pavillion'!M41+'Chic Fil A BBC'!M41+Panera!M41+'Heritage Market'!M41</f>
        <v>432225.86602749233</v>
      </c>
      <c r="N41" s="80">
        <f t="shared" si="15"/>
        <v>1.9005220658335428E-2</v>
      </c>
      <c r="O41" s="79">
        <f>'POD Breezeway'!O41+'Express GL'!O41+'Starbucks GL-SBX Truck'!O41+'Miro''s'!O41+'Faculty Club'!O41+'Almazar &amp; Brand X'!O41+'Burger King'!O41+Bustelo!O41+Chilis!O41+Einstein!O41+Jamba!O41+'Pollo Tropical'!O41+'Subway GC'!O41+'Sushi Maki'!O41+Panda!O41+'Starbucks Mango'!O41+'Taco Bell'!O41+'Chick-fil-A'!O41+Dunkin!O41+Chipotle!O41+Sergios!O41+'Moes PG5'!O41+'Papa Johns'!O41+Salad!O41+'Half Moon &amp; Trop Smoothie'!O41+'Athletic Concessions -Kitchen'!O41+'Starbucks BBC'!O41+'Moes BBC'!O41+'Grille Works BBC &amp; Shipping'!O41+'Subway BBC'!O41+'Market Pavillion'!O41+'Chic Fil A BBC'!O41+Panera!O41+'Heritage Market'!O41</f>
        <v>442818.52494850423</v>
      </c>
      <c r="P41" s="80">
        <f t="shared" si="16"/>
        <v>1.8877716438528518E-2</v>
      </c>
      <c r="Q41" s="79">
        <f>'POD Breezeway'!Q41+'Express GL'!Q41+'Starbucks GL-SBX Truck'!Q41+'Miro''s'!Q41+'Faculty Club'!Q41+'Almazar &amp; Brand X'!Q41+'Burger King'!Q41+Bustelo!Q41+Chilis!Q41+Einstein!Q41+Jamba!Q41+'Pollo Tropical'!Q41+'Subway GC'!Q41+'Sushi Maki'!Q41+Panda!Q41+'Starbucks Mango'!Q41+'Taco Bell'!Q41+'Chick-fil-A'!Q41+Dunkin!Q41+Chipotle!Q41+Sergios!Q41+'Moes PG5'!Q41+'Papa Johns'!Q41+Salad!Q41+'Half Moon &amp; Trop Smoothie'!Q41+'Athletic Concessions -Kitchen'!Q41+'Starbucks BBC'!Q41+'Moes BBC'!Q41+'Grille Works BBC &amp; Shipping'!Q41+'Subway BBC'!Q41+'Market Pavillion'!Q41+'Chic Fil A BBC'!Q41+Panera!Q41+'Heritage Market'!Q41</f>
        <v>452779.23443027359</v>
      </c>
      <c r="R41" s="80">
        <f t="shared" si="17"/>
        <v>1.8704948764237759E-2</v>
      </c>
      <c r="S41" s="79">
        <f>'POD Breezeway'!S41+'Express GL'!S41+'Starbucks GL-SBX Truck'!S41+'Miro''s'!S41+'Faculty Club'!S41+'Almazar &amp; Brand X'!S41+'Burger King'!S41+Bustelo!S41+Chilis!S41+Einstein!S41+Jamba!S41+'Pollo Tropical'!S41+'Subway GC'!S41+'Sushi Maki'!S41+Panda!S41+'Starbucks Mango'!S41+'Taco Bell'!S41+'Chick-fil-A'!S41+Dunkin!S41+Chipotle!S41+Sergios!S41+'Moes PG5'!S41+'Papa Johns'!S41+Salad!S41+'Half Moon &amp; Trop Smoothie'!S41+'Athletic Concessions -Kitchen'!S41+'Starbucks BBC'!S41+'Moes BBC'!S41+'Grille Works BBC &amp; Shipping'!S41+'Subway BBC'!S41+'Market Pavillion'!S41+'Chic Fil A BBC'!S41+Panera!S41+'Heritage Market'!S41</f>
        <v>462572.84136963333</v>
      </c>
      <c r="T41" s="80">
        <f t="shared" si="18"/>
        <v>1.8513440850464625E-2</v>
      </c>
      <c r="U41" s="79">
        <f>'POD Breezeway'!U41+'Express GL'!U41+'Starbucks GL-SBX Truck'!U41+'Miro''s'!U41+'Faculty Club'!U41+'Almazar &amp; Brand X'!U41+'Burger King'!U41+Bustelo!U41+Chilis!U41+Einstein!U41+Jamba!U41+'Pollo Tropical'!U41+'Subway GC'!U41+'Sushi Maki'!U41+Panda!U41+'Starbucks Mango'!U41+'Taco Bell'!U41+'Chick-fil-A'!U41+Dunkin!U41+Chipotle!U41+Sergios!U41+'Moes PG5'!U41+'Papa Johns'!U41+Salad!U41+'Half Moon &amp; Trop Smoothie'!U41+'Athletic Concessions -Kitchen'!U41+'Starbucks BBC'!U41+'Moes BBC'!U41+'Grille Works BBC &amp; Shipping'!U41+'Subway BBC'!U41+'Market Pavillion'!U41+'Chic Fil A BBC'!U41+Panera!U41+'Heritage Market'!U41</f>
        <v>474088.67781308363</v>
      </c>
      <c r="V41" s="80">
        <f t="shared" si="19"/>
        <v>1.837857130779974E-2</v>
      </c>
    </row>
    <row r="42" spans="1:22" ht="12.75" customHeight="1">
      <c r="A42" s="2" t="s">
        <v>390</v>
      </c>
      <c r="B42" s="35"/>
      <c r="C42" s="79">
        <f>'POD Breezeway'!C42+'Express GL'!C42+'Starbucks GL-SBX Truck'!C42+'Miro''s'!C42+'Faculty Club'!C42+'Almazar &amp; Brand X'!C42+'Burger King'!C42+Bustelo!C42+Chilis!C42+Einstein!C42+Jamba!C42+'Pollo Tropical'!C42+'Subway GC'!C42+'Sushi Maki'!C42+Panda!C42+'Starbucks Mango'!C42+'Taco Bell'!C42+'Chick-fil-A'!C42+Dunkin!C42+Chipotle!C42+Sergios!C42+'Moes PG5'!C42+'Papa Johns'!C42+Salad!C42+'Half Moon &amp; Trop Smoothie'!C42+'Athletic Concessions -Kitchen'!C42+'Starbucks BBC'!C42+'Moes BBC'!C42+'Grille Works BBC &amp; Shipping'!C42+'Subway BBC'!C42+'Market Pavillion'!C42+'Chic Fil A BBC'!C42+Panera!C42+'Heritage Market'!C42</f>
        <v>0</v>
      </c>
      <c r="D42" s="80">
        <f t="shared" si="10"/>
        <v>0</v>
      </c>
      <c r="E42" s="79">
        <f>'POD Breezeway'!E42+'Express GL'!E42+'Starbucks GL-SBX Truck'!E42+'Miro''s'!E42+'Faculty Club'!E42+'Almazar &amp; Brand X'!E42+'Burger King'!E42+Bustelo!E42+Chilis!E42+Einstein!E42+Jamba!E42+'Pollo Tropical'!E42+'Subway GC'!E42+'Sushi Maki'!E42+Panda!E42+'Starbucks Mango'!E42+'Taco Bell'!E42+'Chick-fil-A'!E42+Dunkin!E42+Chipotle!E42+Sergios!E42+'Moes PG5'!E42+'Papa Johns'!E42+Salad!E42+'Half Moon &amp; Trop Smoothie'!E42+'Athletic Concessions -Kitchen'!E42+'Starbucks BBC'!E42+'Moes BBC'!E42+'Grille Works BBC &amp; Shipping'!E42+'Subway BBC'!E42+'Market Pavillion'!E42+'Chic Fil A BBC'!E42+Panera!E42+'Heritage Market'!E42</f>
        <v>0</v>
      </c>
      <c r="F42" s="80">
        <f t="shared" si="11"/>
        <v>0</v>
      </c>
      <c r="G42" s="79">
        <f>'POD Breezeway'!G42+'Express GL'!G42+'Starbucks GL-SBX Truck'!G42+'Miro''s'!G42+'Faculty Club'!G42+'Almazar &amp; Brand X'!G42+'Burger King'!G42+Bustelo!G42+Chilis!G42+Einstein!G42+Jamba!G42+'Pollo Tropical'!G42+'Subway GC'!G42+'Sushi Maki'!G42+Panda!G42+'Starbucks Mango'!G42+'Taco Bell'!G42+'Chick-fil-A'!G42+Dunkin!G42+Chipotle!G42+Sergios!G42+'Moes PG5'!G42+'Papa Johns'!G42+Salad!G42+'Half Moon &amp; Trop Smoothie'!G42+'Athletic Concessions -Kitchen'!G42+'Starbucks BBC'!G42+'Moes BBC'!G42+'Grille Works BBC &amp; Shipping'!G42+'Subway BBC'!G42+'Market Pavillion'!G42+'Chic Fil A BBC'!G42+Panera!G42+'Heritage Market'!G42</f>
        <v>0</v>
      </c>
      <c r="H42" s="80">
        <f t="shared" si="12"/>
        <v>0</v>
      </c>
      <c r="I42" s="79">
        <f>'POD Breezeway'!I42+'Express GL'!I42+'Starbucks GL-SBX Truck'!I42+'Miro''s'!I42+'Faculty Club'!I42+'Almazar &amp; Brand X'!I42+'Burger King'!I42+Bustelo!I42+Chilis!I42+Einstein!I42+Jamba!I42+'Pollo Tropical'!I42+'Subway GC'!I42+'Sushi Maki'!I42+Panda!I42+'Starbucks Mango'!I42+'Taco Bell'!I42+'Chick-fil-A'!I42+Dunkin!I42+Chipotle!I42+Sergios!I42+'Moes PG5'!I42+'Papa Johns'!I42+Salad!I42+'Half Moon &amp; Trop Smoothie'!I42+'Athletic Concessions -Kitchen'!I42+'Starbucks BBC'!I42+'Moes BBC'!I42+'Grille Works BBC &amp; Shipping'!I42+'Subway BBC'!I42+'Market Pavillion'!I42+'Chic Fil A BBC'!I42+Panera!I42+'Heritage Market'!I42</f>
        <v>0</v>
      </c>
      <c r="J42" s="80">
        <f t="shared" si="13"/>
        <v>0</v>
      </c>
      <c r="K42" s="79">
        <f>'POD Breezeway'!K42+'Express GL'!K42+'Starbucks GL-SBX Truck'!K42+'Miro''s'!K42+'Faculty Club'!K42+'Almazar &amp; Brand X'!K42+'Burger King'!K42+Bustelo!K42+Chilis!K42+Einstein!K42+Jamba!K42+'Pollo Tropical'!K42+'Subway GC'!K42+'Sushi Maki'!K42+Panda!K42+'Starbucks Mango'!K42+'Taco Bell'!K42+'Chick-fil-A'!K42+Dunkin!K42+Chipotle!K42+Sergios!K42+'Moes PG5'!K42+'Papa Johns'!K42+Salad!K42+'Half Moon &amp; Trop Smoothie'!K42+'Athletic Concessions -Kitchen'!K42+'Starbucks BBC'!K42+'Moes BBC'!K42+'Grille Works BBC &amp; Shipping'!K42+'Subway BBC'!K42+'Market Pavillion'!K42+'Chic Fil A BBC'!K42+Panera!K42+'Heritage Market'!K42</f>
        <v>0</v>
      </c>
      <c r="L42" s="80">
        <f t="shared" si="14"/>
        <v>0</v>
      </c>
      <c r="M42" s="79">
        <f>'POD Breezeway'!M42+'Express GL'!M42+'Starbucks GL-SBX Truck'!M42+'Miro''s'!M42+'Faculty Club'!M42+'Almazar &amp; Brand X'!M42+'Burger King'!M42+Bustelo!M42+Chilis!M42+Einstein!M42+Jamba!M42+'Pollo Tropical'!M42+'Subway GC'!M42+'Sushi Maki'!M42+Panda!M42+'Starbucks Mango'!M42+'Taco Bell'!M42+'Chick-fil-A'!M42+Dunkin!M42+Chipotle!M42+Sergios!M42+'Moes PG5'!M42+'Papa Johns'!M42+Salad!M42+'Half Moon &amp; Trop Smoothie'!M42+'Athletic Concessions -Kitchen'!M42+'Starbucks BBC'!M42+'Moes BBC'!M42+'Grille Works BBC &amp; Shipping'!M42+'Subway BBC'!M42+'Market Pavillion'!M42+'Chic Fil A BBC'!M42+Panera!M42+'Heritage Market'!M42</f>
        <v>0</v>
      </c>
      <c r="N42" s="80">
        <f t="shared" si="15"/>
        <v>0</v>
      </c>
      <c r="O42" s="79">
        <f>'POD Breezeway'!O42+'Express GL'!O42+'Starbucks GL-SBX Truck'!O42+'Miro''s'!O42+'Faculty Club'!O42+'Almazar &amp; Brand X'!O42+'Burger King'!O42+Bustelo!O42+Chilis!O42+Einstein!O42+Jamba!O42+'Pollo Tropical'!O42+'Subway GC'!O42+'Sushi Maki'!O42+Panda!O42+'Starbucks Mango'!O42+'Taco Bell'!O42+'Chick-fil-A'!O42+Dunkin!O42+Chipotle!O42+Sergios!O42+'Moes PG5'!O42+'Papa Johns'!O42+Salad!O42+'Half Moon &amp; Trop Smoothie'!O42+'Athletic Concessions -Kitchen'!O42+'Starbucks BBC'!O42+'Moes BBC'!O42+'Grille Works BBC &amp; Shipping'!O42+'Subway BBC'!O42+'Market Pavillion'!O42+'Chic Fil A BBC'!O42+Panera!O42+'Heritage Market'!O42</f>
        <v>0</v>
      </c>
      <c r="P42" s="80">
        <f t="shared" si="16"/>
        <v>0</v>
      </c>
      <c r="Q42" s="79">
        <f>'POD Breezeway'!Q42+'Express GL'!Q42+'Starbucks GL-SBX Truck'!Q42+'Miro''s'!Q42+'Faculty Club'!Q42+'Almazar &amp; Brand X'!Q42+'Burger King'!Q42+Bustelo!Q42+Chilis!Q42+Einstein!Q42+Jamba!Q42+'Pollo Tropical'!Q42+'Subway GC'!Q42+'Sushi Maki'!Q42+Panda!Q42+'Starbucks Mango'!Q42+'Taco Bell'!Q42+'Chick-fil-A'!Q42+Dunkin!Q42+Chipotle!Q42+Sergios!Q42+'Moes PG5'!Q42+'Papa Johns'!Q42+Salad!Q42+'Half Moon &amp; Trop Smoothie'!Q42+'Athletic Concessions -Kitchen'!Q42+'Starbucks BBC'!Q42+'Moes BBC'!Q42+'Grille Works BBC &amp; Shipping'!Q42+'Subway BBC'!Q42+'Market Pavillion'!Q42+'Chic Fil A BBC'!Q42+Panera!Q42+'Heritage Market'!Q42</f>
        <v>0</v>
      </c>
      <c r="R42" s="80">
        <f t="shared" si="17"/>
        <v>0</v>
      </c>
      <c r="S42" s="79">
        <f>'POD Breezeway'!S42+'Express GL'!S42+'Starbucks GL-SBX Truck'!S42+'Miro''s'!S42+'Faculty Club'!S42+'Almazar &amp; Brand X'!S42+'Burger King'!S42+Bustelo!S42+Chilis!S42+Einstein!S42+Jamba!S42+'Pollo Tropical'!S42+'Subway GC'!S42+'Sushi Maki'!S42+Panda!S42+'Starbucks Mango'!S42+'Taco Bell'!S42+'Chick-fil-A'!S42+Dunkin!S42+Chipotle!S42+Sergios!S42+'Moes PG5'!S42+'Papa Johns'!S42+Salad!S42+'Half Moon &amp; Trop Smoothie'!S42+'Athletic Concessions -Kitchen'!S42+'Starbucks BBC'!S42+'Moes BBC'!S42+'Grille Works BBC &amp; Shipping'!S42+'Subway BBC'!S42+'Market Pavillion'!S42+'Chic Fil A BBC'!S42+Panera!S42+'Heritage Market'!S42</f>
        <v>0</v>
      </c>
      <c r="T42" s="80">
        <f t="shared" si="18"/>
        <v>0</v>
      </c>
      <c r="U42" s="79">
        <f>'POD Breezeway'!U42+'Express GL'!U42+'Starbucks GL-SBX Truck'!U42+'Miro''s'!U42+'Faculty Club'!U42+'Almazar &amp; Brand X'!U42+'Burger King'!U42+Bustelo!U42+Chilis!U42+Einstein!U42+Jamba!U42+'Pollo Tropical'!U42+'Subway GC'!U42+'Sushi Maki'!U42+Panda!U42+'Starbucks Mango'!U42+'Taco Bell'!U42+'Chick-fil-A'!U42+Dunkin!U42+Chipotle!U42+Sergios!U42+'Moes PG5'!U42+'Papa Johns'!U42+Salad!U42+'Half Moon &amp; Trop Smoothie'!U42+'Athletic Concessions -Kitchen'!U42+'Starbucks BBC'!U42+'Moes BBC'!U42+'Grille Works BBC &amp; Shipping'!U42+'Subway BBC'!U42+'Market Pavillion'!U42+'Chic Fil A BBC'!U42+Panera!U42+'Heritage Market'!U42</f>
        <v>0</v>
      </c>
      <c r="V42" s="80">
        <f t="shared" si="19"/>
        <v>0</v>
      </c>
    </row>
    <row r="43" spans="1:22" ht="12.75" customHeight="1">
      <c r="A43" s="2" t="s">
        <v>391</v>
      </c>
      <c r="B43" s="35"/>
      <c r="C43" s="79">
        <f>'POD Breezeway'!C43+'Express GL'!C43+'Starbucks GL-SBX Truck'!C43+'Miro''s'!C43+'Faculty Club'!C43+'Almazar &amp; Brand X'!C43+'Burger King'!C43+Bustelo!C43+Chilis!C43+Einstein!C43+Jamba!C43+'Pollo Tropical'!C43+'Subway GC'!C43+'Sushi Maki'!C43+Panda!C43+'Starbucks Mango'!C43+'Taco Bell'!C43+'Chick-fil-A'!C43+Dunkin!C43+Chipotle!C43+Sergios!C43+'Moes PG5'!C43+'Papa Johns'!C43+Salad!C43+'Half Moon &amp; Trop Smoothie'!C43+'Athletic Concessions -Kitchen'!C43+'Starbucks BBC'!C43+'Moes BBC'!C43+'Grille Works BBC &amp; Shipping'!C43+'Subway BBC'!C43+'Market Pavillion'!C43+'Chic Fil A BBC'!C43+Panera!C43+'Heritage Market'!C43</f>
        <v>0</v>
      </c>
      <c r="D43" s="80">
        <f t="shared" si="10"/>
        <v>0</v>
      </c>
      <c r="E43" s="79">
        <f>'POD Breezeway'!E43+'Express GL'!E43+'Starbucks GL-SBX Truck'!E43+'Miro''s'!E43+'Faculty Club'!E43+'Almazar &amp; Brand X'!E43+'Burger King'!E43+Bustelo!E43+Chilis!E43+Einstein!E43+Jamba!E43+'Pollo Tropical'!E43+'Subway GC'!E43+'Sushi Maki'!E43+Panda!E43+'Starbucks Mango'!E43+'Taco Bell'!E43+'Chick-fil-A'!E43+Dunkin!E43+Chipotle!E43+Sergios!E43+'Moes PG5'!E43+'Papa Johns'!E43+Salad!E43+'Half Moon &amp; Trop Smoothie'!E43+'Athletic Concessions -Kitchen'!E43+'Starbucks BBC'!E43+'Moes BBC'!E43+'Grille Works BBC &amp; Shipping'!E43+'Subway BBC'!E43+'Market Pavillion'!E43+'Chic Fil A BBC'!E43+Panera!E43+'Heritage Market'!E43</f>
        <v>0</v>
      </c>
      <c r="F43" s="80">
        <f t="shared" si="11"/>
        <v>0</v>
      </c>
      <c r="G43" s="79">
        <f>'POD Breezeway'!G43+'Express GL'!G43+'Starbucks GL-SBX Truck'!G43+'Miro''s'!G43+'Faculty Club'!G43+'Almazar &amp; Brand X'!G43+'Burger King'!G43+Bustelo!G43+Chilis!G43+Einstein!G43+Jamba!G43+'Pollo Tropical'!G43+'Subway GC'!G43+'Sushi Maki'!G43+Panda!G43+'Starbucks Mango'!G43+'Taco Bell'!G43+'Chick-fil-A'!G43+Dunkin!G43+Chipotle!G43+Sergios!G43+'Moes PG5'!G43+'Papa Johns'!G43+Salad!G43+'Half Moon &amp; Trop Smoothie'!G43+'Athletic Concessions -Kitchen'!G43+'Starbucks BBC'!G43+'Moes BBC'!G43+'Grille Works BBC &amp; Shipping'!G43+'Subway BBC'!G43+'Market Pavillion'!G43+'Chic Fil A BBC'!G43+Panera!G43+'Heritage Market'!G43</f>
        <v>0</v>
      </c>
      <c r="H43" s="80">
        <f t="shared" si="12"/>
        <v>0</v>
      </c>
      <c r="I43" s="79">
        <f>'POD Breezeway'!I43+'Express GL'!I43+'Starbucks GL-SBX Truck'!I43+'Miro''s'!I43+'Faculty Club'!I43+'Almazar &amp; Brand X'!I43+'Burger King'!I43+Bustelo!I43+Chilis!I43+Einstein!I43+Jamba!I43+'Pollo Tropical'!I43+'Subway GC'!I43+'Sushi Maki'!I43+Panda!I43+'Starbucks Mango'!I43+'Taco Bell'!I43+'Chick-fil-A'!I43+Dunkin!I43+Chipotle!I43+Sergios!I43+'Moes PG5'!I43+'Papa Johns'!I43+Salad!I43+'Half Moon &amp; Trop Smoothie'!I43+'Athletic Concessions -Kitchen'!I43+'Starbucks BBC'!I43+'Moes BBC'!I43+'Grille Works BBC &amp; Shipping'!I43+'Subway BBC'!I43+'Market Pavillion'!I43+'Chic Fil A BBC'!I43+Panera!I43+'Heritage Market'!I43</f>
        <v>0</v>
      </c>
      <c r="J43" s="80">
        <f t="shared" si="13"/>
        <v>0</v>
      </c>
      <c r="K43" s="79">
        <f>'POD Breezeway'!K43+'Express GL'!K43+'Starbucks GL-SBX Truck'!K43+'Miro''s'!K43+'Faculty Club'!K43+'Almazar &amp; Brand X'!K43+'Burger King'!K43+Bustelo!K43+Chilis!K43+Einstein!K43+Jamba!K43+'Pollo Tropical'!K43+'Subway GC'!K43+'Sushi Maki'!K43+Panda!K43+'Starbucks Mango'!K43+'Taco Bell'!K43+'Chick-fil-A'!K43+Dunkin!K43+Chipotle!K43+Sergios!K43+'Moes PG5'!K43+'Papa Johns'!K43+Salad!K43+'Half Moon &amp; Trop Smoothie'!K43+'Athletic Concessions -Kitchen'!K43+'Starbucks BBC'!K43+'Moes BBC'!K43+'Grille Works BBC &amp; Shipping'!K43+'Subway BBC'!K43+'Market Pavillion'!K43+'Chic Fil A BBC'!K43+Panera!K43+'Heritage Market'!K43</f>
        <v>0</v>
      </c>
      <c r="L43" s="80">
        <f t="shared" si="14"/>
        <v>0</v>
      </c>
      <c r="M43" s="79">
        <f>'POD Breezeway'!M43+'Express GL'!M43+'Starbucks GL-SBX Truck'!M43+'Miro''s'!M43+'Faculty Club'!M43+'Almazar &amp; Brand X'!M43+'Burger King'!M43+Bustelo!M43+Chilis!M43+Einstein!M43+Jamba!M43+'Pollo Tropical'!M43+'Subway GC'!M43+'Sushi Maki'!M43+Panda!M43+'Starbucks Mango'!M43+'Taco Bell'!M43+'Chick-fil-A'!M43+Dunkin!M43+Chipotle!M43+Sergios!M43+'Moes PG5'!M43+'Papa Johns'!M43+Salad!M43+'Half Moon &amp; Trop Smoothie'!M43+'Athletic Concessions -Kitchen'!M43+'Starbucks BBC'!M43+'Moes BBC'!M43+'Grille Works BBC &amp; Shipping'!M43+'Subway BBC'!M43+'Market Pavillion'!M43+'Chic Fil A BBC'!M43+Panera!M43+'Heritage Market'!M43</f>
        <v>0</v>
      </c>
      <c r="N43" s="80">
        <f t="shared" si="15"/>
        <v>0</v>
      </c>
      <c r="O43" s="79">
        <f>'POD Breezeway'!O43+'Express GL'!O43+'Starbucks GL-SBX Truck'!O43+'Miro''s'!O43+'Faculty Club'!O43+'Almazar &amp; Brand X'!O43+'Burger King'!O43+Bustelo!O43+Chilis!O43+Einstein!O43+Jamba!O43+'Pollo Tropical'!O43+'Subway GC'!O43+'Sushi Maki'!O43+Panda!O43+'Starbucks Mango'!O43+'Taco Bell'!O43+'Chick-fil-A'!O43+Dunkin!O43+Chipotle!O43+Sergios!O43+'Moes PG5'!O43+'Papa Johns'!O43+Salad!O43+'Half Moon &amp; Trop Smoothie'!O43+'Athletic Concessions -Kitchen'!O43+'Starbucks BBC'!O43+'Moes BBC'!O43+'Grille Works BBC &amp; Shipping'!O43+'Subway BBC'!O43+'Market Pavillion'!O43+'Chic Fil A BBC'!O43+Panera!O43+'Heritage Market'!O43</f>
        <v>0</v>
      </c>
      <c r="P43" s="80">
        <f t="shared" si="16"/>
        <v>0</v>
      </c>
      <c r="Q43" s="79">
        <f>'POD Breezeway'!Q43+'Express GL'!Q43+'Starbucks GL-SBX Truck'!Q43+'Miro''s'!Q43+'Faculty Club'!Q43+'Almazar &amp; Brand X'!Q43+'Burger King'!Q43+Bustelo!Q43+Chilis!Q43+Einstein!Q43+Jamba!Q43+'Pollo Tropical'!Q43+'Subway GC'!Q43+'Sushi Maki'!Q43+Panda!Q43+'Starbucks Mango'!Q43+'Taco Bell'!Q43+'Chick-fil-A'!Q43+Dunkin!Q43+Chipotle!Q43+Sergios!Q43+'Moes PG5'!Q43+'Papa Johns'!Q43+Salad!Q43+'Half Moon &amp; Trop Smoothie'!Q43+'Athletic Concessions -Kitchen'!Q43+'Starbucks BBC'!Q43+'Moes BBC'!Q43+'Grille Works BBC &amp; Shipping'!Q43+'Subway BBC'!Q43+'Market Pavillion'!Q43+'Chic Fil A BBC'!Q43+Panera!Q43+'Heritage Market'!Q43</f>
        <v>0</v>
      </c>
      <c r="R43" s="80">
        <f t="shared" si="17"/>
        <v>0</v>
      </c>
      <c r="S43" s="79">
        <f>'POD Breezeway'!S43+'Express GL'!S43+'Starbucks GL-SBX Truck'!S43+'Miro''s'!S43+'Faculty Club'!S43+'Almazar &amp; Brand X'!S43+'Burger King'!S43+Bustelo!S43+Chilis!S43+Einstein!S43+Jamba!S43+'Pollo Tropical'!S43+'Subway GC'!S43+'Sushi Maki'!S43+Panda!S43+'Starbucks Mango'!S43+'Taco Bell'!S43+'Chick-fil-A'!S43+Dunkin!S43+Chipotle!S43+Sergios!S43+'Moes PG5'!S43+'Papa Johns'!S43+Salad!S43+'Half Moon &amp; Trop Smoothie'!S43+'Athletic Concessions -Kitchen'!S43+'Starbucks BBC'!S43+'Moes BBC'!S43+'Grille Works BBC &amp; Shipping'!S43+'Subway BBC'!S43+'Market Pavillion'!S43+'Chic Fil A BBC'!S43+Panera!S43+'Heritage Market'!S43</f>
        <v>0</v>
      </c>
      <c r="T43" s="80">
        <f t="shared" si="18"/>
        <v>0</v>
      </c>
      <c r="U43" s="79">
        <f>'POD Breezeway'!U43+'Express GL'!U43+'Starbucks GL-SBX Truck'!U43+'Miro''s'!U43+'Faculty Club'!U43+'Almazar &amp; Brand X'!U43+'Burger King'!U43+Bustelo!U43+Chilis!U43+Einstein!U43+Jamba!U43+'Pollo Tropical'!U43+'Subway GC'!U43+'Sushi Maki'!U43+Panda!U43+'Starbucks Mango'!U43+'Taco Bell'!U43+'Chick-fil-A'!U43+Dunkin!U43+Chipotle!U43+Sergios!U43+'Moes PG5'!U43+'Papa Johns'!U43+Salad!U43+'Half Moon &amp; Trop Smoothie'!U43+'Athletic Concessions -Kitchen'!U43+'Starbucks BBC'!U43+'Moes BBC'!U43+'Grille Works BBC &amp; Shipping'!U43+'Subway BBC'!U43+'Market Pavillion'!U43+'Chic Fil A BBC'!U43+Panera!U43+'Heritage Market'!U43</f>
        <v>0</v>
      </c>
      <c r="V43" s="80">
        <f t="shared" si="19"/>
        <v>0</v>
      </c>
    </row>
    <row r="44" spans="1:22" ht="12.75" customHeight="1">
      <c r="A44" s="2" t="s">
        <v>392</v>
      </c>
      <c r="B44" s="35"/>
      <c r="C44" s="79">
        <f>'POD Breezeway'!C44+'Express GL'!C44+'Starbucks GL-SBX Truck'!C44+'Miro''s'!C44+'Faculty Club'!C44+'Almazar &amp; Brand X'!C44+'Burger King'!C44+Bustelo!C44+Chilis!C44+Einstein!C44+Jamba!C44+'Pollo Tropical'!C44+'Subway GC'!C44+'Sushi Maki'!C44+Panda!C44+'Starbucks Mango'!C44+'Taco Bell'!C44+'Chick-fil-A'!C44+Dunkin!C44+Chipotle!C44+Sergios!C44+'Moes PG5'!C44+'Papa Johns'!C44+Salad!C44+'Half Moon &amp; Trop Smoothie'!C44+'Athletic Concessions -Kitchen'!C44+'Starbucks BBC'!C44+'Moes BBC'!C44+'Grille Works BBC &amp; Shipping'!C44+'Subway BBC'!C44+'Market Pavillion'!C44+'Chic Fil A BBC'!C44+Panera!C44+'Heritage Market'!C44</f>
        <v>0</v>
      </c>
      <c r="D44" s="80">
        <f t="shared" si="10"/>
        <v>0</v>
      </c>
      <c r="E44" s="79">
        <f>'POD Breezeway'!E44+'Express GL'!E44+'Starbucks GL-SBX Truck'!E44+'Miro''s'!E44+'Faculty Club'!E44+'Almazar &amp; Brand X'!E44+'Burger King'!E44+Bustelo!E44+Chilis!E44+Einstein!E44+Jamba!E44+'Pollo Tropical'!E44+'Subway GC'!E44+'Sushi Maki'!E44+Panda!E44+'Starbucks Mango'!E44+'Taco Bell'!E44+'Chick-fil-A'!E44+Dunkin!E44+Chipotle!E44+Sergios!E44+'Moes PG5'!E44+'Papa Johns'!E44+Salad!E44+'Half Moon &amp; Trop Smoothie'!E44+'Athletic Concessions -Kitchen'!E44+'Starbucks BBC'!E44+'Moes BBC'!E44+'Grille Works BBC &amp; Shipping'!E44+'Subway BBC'!E44+'Market Pavillion'!E44+'Chic Fil A BBC'!E44+Panera!E44+'Heritage Market'!E44</f>
        <v>0</v>
      </c>
      <c r="F44" s="80">
        <f t="shared" si="11"/>
        <v>0</v>
      </c>
      <c r="G44" s="79">
        <f>'POD Breezeway'!G44+'Express GL'!G44+'Starbucks GL-SBX Truck'!G44+'Miro''s'!G44+'Faculty Club'!G44+'Almazar &amp; Brand X'!G44+'Burger King'!G44+Bustelo!G44+Chilis!G44+Einstein!G44+Jamba!G44+'Pollo Tropical'!G44+'Subway GC'!G44+'Sushi Maki'!G44+Panda!G44+'Starbucks Mango'!G44+'Taco Bell'!G44+'Chick-fil-A'!G44+Dunkin!G44+Chipotle!G44+Sergios!G44+'Moes PG5'!G44+'Papa Johns'!G44+Salad!G44+'Half Moon &amp; Trop Smoothie'!G44+'Athletic Concessions -Kitchen'!G44+'Starbucks BBC'!G44+'Moes BBC'!G44+'Grille Works BBC &amp; Shipping'!G44+'Subway BBC'!G44+'Market Pavillion'!G44+'Chic Fil A BBC'!G44+Panera!G44+'Heritage Market'!G44</f>
        <v>0</v>
      </c>
      <c r="H44" s="80">
        <f t="shared" si="12"/>
        <v>0</v>
      </c>
      <c r="I44" s="79">
        <f>'POD Breezeway'!I44+'Express GL'!I44+'Starbucks GL-SBX Truck'!I44+'Miro''s'!I44+'Faculty Club'!I44+'Almazar &amp; Brand X'!I44+'Burger King'!I44+Bustelo!I44+Chilis!I44+Einstein!I44+Jamba!I44+'Pollo Tropical'!I44+'Subway GC'!I44+'Sushi Maki'!I44+Panda!I44+'Starbucks Mango'!I44+'Taco Bell'!I44+'Chick-fil-A'!I44+Dunkin!I44+Chipotle!I44+Sergios!I44+'Moes PG5'!I44+'Papa Johns'!I44+Salad!I44+'Half Moon &amp; Trop Smoothie'!I44+'Athletic Concessions -Kitchen'!I44+'Starbucks BBC'!I44+'Moes BBC'!I44+'Grille Works BBC &amp; Shipping'!I44+'Subway BBC'!I44+'Market Pavillion'!I44+'Chic Fil A BBC'!I44+Panera!I44+'Heritage Market'!I44</f>
        <v>0</v>
      </c>
      <c r="J44" s="80">
        <f t="shared" si="13"/>
        <v>0</v>
      </c>
      <c r="K44" s="79">
        <f>'POD Breezeway'!K44+'Express GL'!K44+'Starbucks GL-SBX Truck'!K44+'Miro''s'!K44+'Faculty Club'!K44+'Almazar &amp; Brand X'!K44+'Burger King'!K44+Bustelo!K44+Chilis!K44+Einstein!K44+Jamba!K44+'Pollo Tropical'!K44+'Subway GC'!K44+'Sushi Maki'!K44+Panda!K44+'Starbucks Mango'!K44+'Taco Bell'!K44+'Chick-fil-A'!K44+Dunkin!K44+Chipotle!K44+Sergios!K44+'Moes PG5'!K44+'Papa Johns'!K44+Salad!K44+'Half Moon &amp; Trop Smoothie'!K44+'Athletic Concessions -Kitchen'!K44+'Starbucks BBC'!K44+'Moes BBC'!K44+'Grille Works BBC &amp; Shipping'!K44+'Subway BBC'!K44+'Market Pavillion'!K44+'Chic Fil A BBC'!K44+Panera!K44+'Heritage Market'!K44</f>
        <v>0</v>
      </c>
      <c r="L44" s="80">
        <f t="shared" si="14"/>
        <v>0</v>
      </c>
      <c r="M44" s="79">
        <f>'POD Breezeway'!M44+'Express GL'!M44+'Starbucks GL-SBX Truck'!M44+'Miro''s'!M44+'Faculty Club'!M44+'Almazar &amp; Brand X'!M44+'Burger King'!M44+Bustelo!M44+Chilis!M44+Einstein!M44+Jamba!M44+'Pollo Tropical'!M44+'Subway GC'!M44+'Sushi Maki'!M44+Panda!M44+'Starbucks Mango'!M44+'Taco Bell'!M44+'Chick-fil-A'!M44+Dunkin!M44+Chipotle!M44+Sergios!M44+'Moes PG5'!M44+'Papa Johns'!M44+Salad!M44+'Half Moon &amp; Trop Smoothie'!M44+'Athletic Concessions -Kitchen'!M44+'Starbucks BBC'!M44+'Moes BBC'!M44+'Grille Works BBC &amp; Shipping'!M44+'Subway BBC'!M44+'Market Pavillion'!M44+'Chic Fil A BBC'!M44+Panera!M44+'Heritage Market'!M44</f>
        <v>0</v>
      </c>
      <c r="N44" s="80">
        <f t="shared" si="15"/>
        <v>0</v>
      </c>
      <c r="O44" s="79">
        <f>'POD Breezeway'!O44+'Express GL'!O44+'Starbucks GL-SBX Truck'!O44+'Miro''s'!O44+'Faculty Club'!O44+'Almazar &amp; Brand X'!O44+'Burger King'!O44+Bustelo!O44+Chilis!O44+Einstein!O44+Jamba!O44+'Pollo Tropical'!O44+'Subway GC'!O44+'Sushi Maki'!O44+Panda!O44+'Starbucks Mango'!O44+'Taco Bell'!O44+'Chick-fil-A'!O44+Dunkin!O44+Chipotle!O44+Sergios!O44+'Moes PG5'!O44+'Papa Johns'!O44+Salad!O44+'Half Moon &amp; Trop Smoothie'!O44+'Athletic Concessions -Kitchen'!O44+'Starbucks BBC'!O44+'Moes BBC'!O44+'Grille Works BBC &amp; Shipping'!O44+'Subway BBC'!O44+'Market Pavillion'!O44+'Chic Fil A BBC'!O44+Panera!O44+'Heritage Market'!O44</f>
        <v>0</v>
      </c>
      <c r="P44" s="80">
        <f t="shared" si="16"/>
        <v>0</v>
      </c>
      <c r="Q44" s="79">
        <f>'POD Breezeway'!Q44+'Express GL'!Q44+'Starbucks GL-SBX Truck'!Q44+'Miro''s'!Q44+'Faculty Club'!Q44+'Almazar &amp; Brand X'!Q44+'Burger King'!Q44+Bustelo!Q44+Chilis!Q44+Einstein!Q44+Jamba!Q44+'Pollo Tropical'!Q44+'Subway GC'!Q44+'Sushi Maki'!Q44+Panda!Q44+'Starbucks Mango'!Q44+'Taco Bell'!Q44+'Chick-fil-A'!Q44+Dunkin!Q44+Chipotle!Q44+Sergios!Q44+'Moes PG5'!Q44+'Papa Johns'!Q44+Salad!Q44+'Half Moon &amp; Trop Smoothie'!Q44+'Athletic Concessions -Kitchen'!Q44+'Starbucks BBC'!Q44+'Moes BBC'!Q44+'Grille Works BBC &amp; Shipping'!Q44+'Subway BBC'!Q44+'Market Pavillion'!Q44+'Chic Fil A BBC'!Q44+Panera!Q44+'Heritage Market'!Q44</f>
        <v>0</v>
      </c>
      <c r="R44" s="80">
        <f t="shared" si="17"/>
        <v>0</v>
      </c>
      <c r="S44" s="79">
        <f>'POD Breezeway'!S44+'Express GL'!S44+'Starbucks GL-SBX Truck'!S44+'Miro''s'!S44+'Faculty Club'!S44+'Almazar &amp; Brand X'!S44+'Burger King'!S44+Bustelo!S44+Chilis!S44+Einstein!S44+Jamba!S44+'Pollo Tropical'!S44+'Subway GC'!S44+'Sushi Maki'!S44+Panda!S44+'Starbucks Mango'!S44+'Taco Bell'!S44+'Chick-fil-A'!S44+Dunkin!S44+Chipotle!S44+Sergios!S44+'Moes PG5'!S44+'Papa Johns'!S44+Salad!S44+'Half Moon &amp; Trop Smoothie'!S44+'Athletic Concessions -Kitchen'!S44+'Starbucks BBC'!S44+'Moes BBC'!S44+'Grille Works BBC &amp; Shipping'!S44+'Subway BBC'!S44+'Market Pavillion'!S44+'Chic Fil A BBC'!S44+Panera!S44+'Heritage Market'!S44</f>
        <v>0</v>
      </c>
      <c r="T44" s="80">
        <f t="shared" si="18"/>
        <v>0</v>
      </c>
      <c r="U44" s="79">
        <f>'POD Breezeway'!U44+'Express GL'!U44+'Starbucks GL-SBX Truck'!U44+'Miro''s'!U44+'Faculty Club'!U44+'Almazar &amp; Brand X'!U44+'Burger King'!U44+Bustelo!U44+Chilis!U44+Einstein!U44+Jamba!U44+'Pollo Tropical'!U44+'Subway GC'!U44+'Sushi Maki'!U44+Panda!U44+'Starbucks Mango'!U44+'Taco Bell'!U44+'Chick-fil-A'!U44+Dunkin!U44+Chipotle!U44+Sergios!U44+'Moes PG5'!U44+'Papa Johns'!U44+Salad!U44+'Half Moon &amp; Trop Smoothie'!U44+'Athletic Concessions -Kitchen'!U44+'Starbucks BBC'!U44+'Moes BBC'!U44+'Grille Works BBC &amp; Shipping'!U44+'Subway BBC'!U44+'Market Pavillion'!U44+'Chic Fil A BBC'!U44+Panera!U44+'Heritage Market'!U44</f>
        <v>0</v>
      </c>
      <c r="V44" s="80">
        <f t="shared" si="19"/>
        <v>0</v>
      </c>
    </row>
    <row r="45" spans="1:22" ht="12.75" customHeight="1">
      <c r="A45" s="2" t="s">
        <v>393</v>
      </c>
      <c r="B45" s="35"/>
      <c r="C45" s="81">
        <f>'POD Breezeway'!C45+'Express GL'!C45+'Starbucks GL-SBX Truck'!C45+'Miro''s'!C45+'Faculty Club'!C45+'Almazar &amp; Brand X'!C45+'Burger King'!C45+Bustelo!C45+Chilis!C45+Einstein!C45+Jamba!C45+'Pollo Tropical'!C45+'Subway GC'!C45+'Sushi Maki'!C45+Panda!C45+'Starbucks Mango'!C45+'Taco Bell'!C45+'Chick-fil-A'!C45+Dunkin!C45+Chipotle!C45+Sergios!C45+'Moes PG5'!C45+'Papa Johns'!C45+Salad!C45+'Half Moon &amp; Trop Smoothie'!C45+'Athletic Concessions -Kitchen'!C45+'Starbucks BBC'!C45+'Moes BBC'!C45+'Grille Works BBC &amp; Shipping'!C45+'Subway BBC'!C45+'Market Pavillion'!C45+'Chic Fil A BBC'!C45+Panera!C45+'Heritage Market'!C45</f>
        <v>411359.76400000002</v>
      </c>
      <c r="D45" s="80">
        <f t="shared" si="10"/>
        <v>2.5950678801472463E-2</v>
      </c>
      <c r="E45" s="81">
        <f>'POD Breezeway'!E45+'Express GL'!E45+'Starbucks GL-SBX Truck'!E45+'Miro''s'!E45+'Faculty Club'!E45+'Almazar &amp; Brand X'!E45+'Burger King'!E45+Bustelo!E45+Chilis!E45+Einstein!E45+Jamba!E45+'Pollo Tropical'!E45+'Subway GC'!E45+'Sushi Maki'!E45+Panda!E45+'Starbucks Mango'!E45+'Taco Bell'!E45+'Chick-fil-A'!E45+Dunkin!E45+Chipotle!E45+Sergios!E45+'Moes PG5'!E45+'Papa Johns'!E45+Salad!E45+'Half Moon &amp; Trop Smoothie'!E45+'Athletic Concessions -Kitchen'!E45+'Starbucks BBC'!E45+'Moes BBC'!E45+'Grille Works BBC &amp; Shipping'!E45+'Subway BBC'!E45+'Market Pavillion'!E45+'Chic Fil A BBC'!E45+Panera!E45+'Heritage Market'!E45</f>
        <v>481874.18828657147</v>
      </c>
      <c r="F45" s="80">
        <f t="shared" si="11"/>
        <v>2.5617909716808926E-2</v>
      </c>
      <c r="G45" s="81">
        <f>'POD Breezeway'!G45+'Express GL'!G45+'Starbucks GL-SBX Truck'!G45+'Miro''s'!G45+'Faculty Club'!G45+'Almazar &amp; Brand X'!G45+'Burger King'!G45+Bustelo!G45+Chilis!G45+Einstein!G45+Jamba!G45+'Pollo Tropical'!G45+'Subway GC'!G45+'Sushi Maki'!G45+Panda!G45+'Starbucks Mango'!G45+'Taco Bell'!G45+'Chick-fil-A'!G45+Dunkin!G45+Chipotle!G45+Sergios!G45+'Moes PG5'!G45+'Papa Johns'!G45+Salad!G45+'Half Moon &amp; Trop Smoothie'!G45+'Athletic Concessions -Kitchen'!G45+'Starbucks BBC'!G45+'Moes BBC'!G45+'Grille Works BBC &amp; Shipping'!G45+'Subway BBC'!G45+'Market Pavillion'!G45+'Chic Fil A BBC'!G45+Panera!G45+'Heritage Market'!G45</f>
        <v>550005.93933700514</v>
      </c>
      <c r="H45" s="80">
        <f t="shared" si="12"/>
        <v>2.6650341231742362E-2</v>
      </c>
      <c r="I45" s="81">
        <f>'POD Breezeway'!I45+'Express GL'!I45+'Starbucks GL-SBX Truck'!I45+'Miro''s'!I45+'Faculty Club'!I45+'Almazar &amp; Brand X'!I45+'Burger King'!I45+Bustelo!I45+Chilis!I45+Einstein!I45+Jamba!I45+'Pollo Tropical'!I45+'Subway GC'!I45+'Sushi Maki'!I45+Panda!I45+'Starbucks Mango'!I45+'Taco Bell'!I45+'Chick-fil-A'!I45+Dunkin!I45+Chipotle!I45+Sergios!I45+'Moes PG5'!I45+'Papa Johns'!I45+Salad!I45+'Half Moon &amp; Trop Smoothie'!I45+'Athletic Concessions -Kitchen'!I45+'Starbucks BBC'!I45+'Moes BBC'!I45+'Grille Works BBC &amp; Shipping'!I45+'Subway BBC'!I45+'Market Pavillion'!I45+'Chic Fil A BBC'!I45+Panera!I45+'Heritage Market'!I45</f>
        <v>563195.36047359544</v>
      </c>
      <c r="J45" s="80">
        <f t="shared" si="13"/>
        <v>2.6294598091730355E-2</v>
      </c>
      <c r="K45" s="81">
        <f>'POD Breezeway'!K45+'Express GL'!K45+'Starbucks GL-SBX Truck'!K45+'Miro''s'!K45+'Faculty Club'!K45+'Almazar &amp; Brand X'!K45+'Burger King'!K45+Bustelo!K45+Chilis!K45+Einstein!K45+Jamba!K45+'Pollo Tropical'!K45+'Subway GC'!K45+'Sushi Maki'!K45+Panda!K45+'Starbucks Mango'!K45+'Taco Bell'!K45+'Chick-fil-A'!K45+Dunkin!K45+Chipotle!K45+Sergios!K45+'Moes PG5'!K45+'Papa Johns'!K45+Salad!K45+'Half Moon &amp; Trop Smoothie'!K45+'Athletic Concessions -Kitchen'!K45+'Starbucks BBC'!K45+'Moes BBC'!K45+'Grille Works BBC &amp; Shipping'!K45+'Subway BBC'!K45+'Market Pavillion'!K45+'Chic Fil A BBC'!K45+Panera!K45+'Heritage Market'!K45</f>
        <v>576399.67277771665</v>
      </c>
      <c r="L45" s="80">
        <f t="shared" si="14"/>
        <v>2.6120951951561951E-2</v>
      </c>
      <c r="M45" s="81">
        <f>'POD Breezeway'!M45+'Express GL'!M45+'Starbucks GL-SBX Truck'!M45+'Miro''s'!M45+'Faculty Club'!M45+'Almazar &amp; Brand X'!M45+'Burger King'!M45+Bustelo!M45+Chilis!M45+Einstein!M45+Jamba!M45+'Pollo Tropical'!M45+'Subway GC'!M45+'Sushi Maki'!M45+Panda!M45+'Starbucks Mango'!M45+'Taco Bell'!M45+'Chick-fil-A'!M45+Dunkin!M45+Chipotle!M45+Sergios!M45+'Moes PG5'!M45+'Papa Johns'!M45+Salad!M45+'Half Moon &amp; Trop Smoothie'!M45+'Athletic Concessions -Kitchen'!M45+'Starbucks BBC'!M45+'Moes BBC'!M45+'Grille Works BBC &amp; Shipping'!M45+'Subway BBC'!M45+'Market Pavillion'!M45+'Chic Fil A BBC'!M45+Panera!M45+'Heritage Market'!M45</f>
        <v>590442.60222272133</v>
      </c>
      <c r="N45" s="80">
        <f t="shared" si="15"/>
        <v>2.5962101816023275E-2</v>
      </c>
      <c r="O45" s="81">
        <f>'POD Breezeway'!O45+'Express GL'!O45+'Starbucks GL-SBX Truck'!O45+'Miro''s'!O45+'Faculty Club'!O45+'Almazar &amp; Brand X'!O45+'Burger King'!O45+Bustelo!O45+Chilis!O45+Einstein!O45+Jamba!O45+'Pollo Tropical'!O45+'Subway GC'!O45+'Sushi Maki'!O45+Panda!O45+'Starbucks Mango'!O45+'Taco Bell'!O45+'Chick-fil-A'!O45+Dunkin!O45+Chipotle!O45+Sergios!O45+'Moes PG5'!O45+'Papa Johns'!O45+Salad!O45+'Half Moon &amp; Trop Smoothie'!O45+'Athletic Concessions -Kitchen'!O45+'Starbucks BBC'!O45+'Moes BBC'!O45+'Grille Works BBC &amp; Shipping'!O45+'Subway BBC'!O45+'Market Pavillion'!O45+'Chic Fil A BBC'!O45+Panera!O45+'Heritage Market'!O45</f>
        <v>604802.64309102867</v>
      </c>
      <c r="P45" s="80">
        <f t="shared" si="16"/>
        <v>2.5783232078813181E-2</v>
      </c>
      <c r="Q45" s="81">
        <f>'POD Breezeway'!Q45+'Express GL'!Q45+'Starbucks GL-SBX Truck'!Q45+'Miro''s'!Q45+'Faculty Club'!Q45+'Almazar &amp; Brand X'!Q45+'Burger King'!Q45+Bustelo!Q45+Chilis!Q45+Einstein!Q45+Jamba!Q45+'Pollo Tropical'!Q45+'Subway GC'!Q45+'Sushi Maki'!Q45+Panda!Q45+'Starbucks Mango'!Q45+'Taco Bell'!Q45+'Chick-fil-A'!Q45+Dunkin!Q45+Chipotle!Q45+Sergios!Q45+'Moes PG5'!Q45+'Papa Johns'!Q45+Salad!Q45+'Half Moon &amp; Trop Smoothie'!Q45+'Athletic Concessions -Kitchen'!Q45+'Starbucks BBC'!Q45+'Moes BBC'!Q45+'Grille Works BBC &amp; Shipping'!Q45+'Subway BBC'!Q45+'Market Pavillion'!Q45+'Chic Fil A BBC'!Q45+Panera!Q45+'Heritage Market'!Q45</f>
        <v>618252.89537678158</v>
      </c>
      <c r="R45" s="80">
        <f t="shared" si="17"/>
        <v>2.5540899078368009E-2</v>
      </c>
      <c r="S45" s="81">
        <f>'POD Breezeway'!S45+'Express GL'!S45+'Starbucks GL-SBX Truck'!S45+'Miro''s'!S45+'Faculty Club'!S45+'Almazar &amp; Brand X'!S45+'Burger King'!S45+Bustelo!S45+Chilis!S45+Einstein!S45+Jamba!S45+'Pollo Tropical'!S45+'Subway GC'!S45+'Sushi Maki'!S45+Panda!S45+'Starbucks Mango'!S45+'Taco Bell'!S45+'Chick-fil-A'!S45+Dunkin!S45+Chipotle!S45+Sergios!S45+'Moes PG5'!S45+'Papa Johns'!S45+Salad!S45+'Half Moon &amp; Trop Smoothie'!S45+'Athletic Concessions -Kitchen'!S45+'Starbucks BBC'!S45+'Moes BBC'!S45+'Grille Works BBC &amp; Shipping'!S45+'Subway BBC'!S45+'Market Pavillion'!S45+'Chic Fil A BBC'!S45+Panera!S45+'Heritage Market'!S45</f>
        <v>631559.75033518067</v>
      </c>
      <c r="T45" s="80">
        <f t="shared" si="18"/>
        <v>2.5276762999627642E-2</v>
      </c>
      <c r="U45" s="81">
        <f>'POD Breezeway'!U45+'Express GL'!U45+'Starbucks GL-SBX Truck'!U45+'Miro''s'!U45+'Faculty Club'!U45+'Almazar &amp; Brand X'!U45+'Burger King'!U45+Bustelo!U45+Chilis!U45+Einstein!U45+Jamba!U45+'Pollo Tropical'!U45+'Subway GC'!U45+'Sushi Maki'!U45+Panda!U45+'Starbucks Mango'!U45+'Taco Bell'!U45+'Chick-fil-A'!U45+Dunkin!U45+Chipotle!U45+Sergios!U45+'Moes PG5'!U45+'Papa Johns'!U45+Salad!U45+'Half Moon &amp; Trop Smoothie'!U45+'Athletic Concessions -Kitchen'!U45+'Starbucks BBC'!U45+'Moes BBC'!U45+'Grille Works BBC &amp; Shipping'!U45+'Subway BBC'!U45+'Market Pavillion'!U45+'Chic Fil A BBC'!U45+Panera!U45+'Heritage Market'!U45</f>
        <v>647199.30466635688</v>
      </c>
      <c r="V45" s="80">
        <f t="shared" si="19"/>
        <v>2.508939598818824E-2</v>
      </c>
    </row>
    <row r="46" spans="1:22" ht="12.75" customHeight="1">
      <c r="A46" s="1" t="s">
        <v>394</v>
      </c>
      <c r="B46" s="53"/>
      <c r="C46" s="82">
        <f>SUM(C36:C45)</f>
        <v>5161333.34</v>
      </c>
      <c r="D46" s="83">
        <f t="shared" si="10"/>
        <v>0.32560331713354218</v>
      </c>
      <c r="E46" s="82">
        <f>SUM(E36:E45)</f>
        <v>6030641.3957305718</v>
      </c>
      <c r="F46" s="83">
        <f t="shared" si="11"/>
        <v>0.32060739206558087</v>
      </c>
      <c r="G46" s="82">
        <f>SUM(G36:G45)</f>
        <v>6854732.0284727979</v>
      </c>
      <c r="H46" s="83">
        <f t="shared" si="12"/>
        <v>0.33214359072406213</v>
      </c>
      <c r="I46" s="82">
        <f>SUM(I36:I45)</f>
        <v>7061443.2497922564</v>
      </c>
      <c r="J46" s="83">
        <f t="shared" si="13"/>
        <v>0.32968633130200453</v>
      </c>
      <c r="K46" s="82">
        <f>SUM(K36:K45)</f>
        <v>7227564.9358962541</v>
      </c>
      <c r="L46" s="83">
        <f t="shared" si="14"/>
        <v>0.32753466966339773</v>
      </c>
      <c r="M46" s="82">
        <f>SUM(M36:M45)</f>
        <v>7404267.143345058</v>
      </c>
      <c r="N46" s="83">
        <f t="shared" si="15"/>
        <v>0.32556989743780179</v>
      </c>
      <c r="O46" s="82">
        <f>SUM(O36:O45)</f>
        <v>7584855.2765914146</v>
      </c>
      <c r="P46" s="83">
        <f t="shared" si="16"/>
        <v>0.32334859332143029</v>
      </c>
      <c r="Q46" s="82">
        <f>SUM(Q36:Q45)</f>
        <v>7754170.8056597477</v>
      </c>
      <c r="R46" s="83">
        <f t="shared" si="17"/>
        <v>0.32033573229460827</v>
      </c>
      <c r="S46" s="82">
        <f>SUM(S36:S45)</f>
        <v>7921797.671988083</v>
      </c>
      <c r="T46" s="83">
        <f t="shared" si="18"/>
        <v>0.31705219051653466</v>
      </c>
      <c r="U46" s="82">
        <f>SUM(U36:U45)</f>
        <v>8118478.4241884882</v>
      </c>
      <c r="V46" s="83">
        <f t="shared" si="19"/>
        <v>0.31472178436754072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2" ht="12.75" customHeight="1">
      <c r="A49" s="1"/>
      <c r="B49" s="118"/>
    </row>
    <row r="50" spans="1:22" ht="12.75" customHeight="1">
      <c r="C50" s="86" t="str">
        <f>C6</f>
        <v>FY 2018-19</v>
      </c>
      <c r="D50" s="86" t="s">
        <v>366</v>
      </c>
      <c r="E50" s="86" t="str">
        <f>E6</f>
        <v>FY 2019-20</v>
      </c>
      <c r="F50" s="86" t="s">
        <v>366</v>
      </c>
      <c r="G50" s="86" t="str">
        <f>G6</f>
        <v>FY 2020-21</v>
      </c>
      <c r="H50" s="86" t="s">
        <v>366</v>
      </c>
      <c r="I50" s="86" t="str">
        <f>I6</f>
        <v>FY 2021-22</v>
      </c>
      <c r="J50" s="86" t="s">
        <v>366</v>
      </c>
      <c r="K50" s="86" t="str">
        <f>K6</f>
        <v>FY 2022-23</v>
      </c>
      <c r="L50" s="86" t="s">
        <v>366</v>
      </c>
      <c r="M50" s="86" t="str">
        <f>M6</f>
        <v>FY 2023-24</v>
      </c>
      <c r="N50" s="86" t="s">
        <v>366</v>
      </c>
      <c r="O50" s="86" t="str">
        <f>O6</f>
        <v>FY 2024-25</v>
      </c>
      <c r="P50" s="86" t="s">
        <v>366</v>
      </c>
      <c r="Q50" s="86" t="str">
        <f>Q6</f>
        <v>FY 2025-26</v>
      </c>
      <c r="R50" s="86" t="s">
        <v>366</v>
      </c>
      <c r="S50" s="86" t="str">
        <f>S6</f>
        <v>FY 2026-27</v>
      </c>
      <c r="T50" s="86" t="s">
        <v>366</v>
      </c>
      <c r="U50" s="86" t="str">
        <f>U6</f>
        <v>FY 2027-28</v>
      </c>
      <c r="V50" s="86" t="s">
        <v>366</v>
      </c>
    </row>
    <row r="51" spans="1:22" ht="12.75" customHeight="1">
      <c r="A51" s="1" t="s">
        <v>395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2" ht="12.75" customHeight="1">
      <c r="A52" s="2" t="s">
        <v>396</v>
      </c>
      <c r="B52" s="35"/>
      <c r="C52" s="134">
        <f>'POD Breezeway'!C52+'Express GL'!C52+'Starbucks GL-SBX Truck'!C52+'Miro''s'!C52+'Faculty Club'!C52+'Almazar &amp; Brand X'!C52+'Burger King'!C52+Bustelo!C52+Chilis!C52+Einstein!C52+Jamba!C52+'Pollo Tropical'!C52+'Subway GC'!C52+'Sushi Maki'!C52+Panda!C52+'Starbucks Mango'!C52+'Taco Bell'!C52+'Chick-fil-A'!C52+Dunkin!C52+Chipotle!C52+Sergios!C52+'Moes PG5'!C52+'Papa Johns'!C52+Salad!C52+'Half Moon &amp; Trop Smoothie'!C52+'Athletic Concessions -Kitchen'!C52+'Starbucks BBC'!C52+'Moes BBC'!C52+'Grille Works BBC &amp; Shipping'!C52+'Subway BBC'!C52+'Market Pavillion'!C52+'Chic Fil A BBC'!C52+Panera!C52+'Heritage Market'!C52</f>
        <v>0</v>
      </c>
      <c r="D52" s="80">
        <f t="shared" ref="D52:D83" si="20">IFERROR(C52/C$28,0)</f>
        <v>0</v>
      </c>
      <c r="E52" s="134">
        <f>'POD Breezeway'!E52+'Express GL'!E52+'Starbucks GL-SBX Truck'!E52+'Miro''s'!E52+'Faculty Club'!E52+'Almazar &amp; Brand X'!E52+'Burger King'!E52+Bustelo!E52+Chilis!E52+Einstein!E52+Jamba!E52+'Pollo Tropical'!E52+'Subway GC'!E52+'Sushi Maki'!E52+Panda!E52+'Starbucks Mango'!E52+'Taco Bell'!E52+'Chick-fil-A'!E52+Dunkin!E52+Chipotle!E52+Sergios!E52+'Moes PG5'!E52+'Papa Johns'!E52+Salad!E52+'Half Moon &amp; Trop Smoothie'!E52+'Athletic Concessions -Kitchen'!E52+'Starbucks BBC'!E52+'Moes BBC'!E52+'Grille Works BBC &amp; Shipping'!E52+'Subway BBC'!E52+'Market Pavillion'!E52+'Chic Fil A BBC'!E52+Panera!E52+'Heritage Market'!E52</f>
        <v>0</v>
      </c>
      <c r="F52" s="80">
        <f t="shared" ref="F52:F83" si="21">IFERROR(E52/E$28,0)</f>
        <v>0</v>
      </c>
      <c r="G52" s="134">
        <f>'POD Breezeway'!G52+'Express GL'!G52+'Starbucks GL-SBX Truck'!G52+'Miro''s'!G52+'Faculty Club'!G52+'Almazar &amp; Brand X'!G52+'Burger King'!G52+Bustelo!G52+Chilis!G52+Einstein!G52+Jamba!G52+'Pollo Tropical'!G52+'Subway GC'!G52+'Sushi Maki'!G52+Panda!G52+'Starbucks Mango'!G52+'Taco Bell'!G52+'Chick-fil-A'!G52+Dunkin!G52+Chipotle!G52+Sergios!G52+'Moes PG5'!G52+'Papa Johns'!G52+Salad!G52+'Half Moon &amp; Trop Smoothie'!G52+'Athletic Concessions -Kitchen'!G52+'Starbucks BBC'!G52+'Moes BBC'!G52+'Grille Works BBC &amp; Shipping'!G52+'Subway BBC'!G52+'Market Pavillion'!G52+'Chic Fil A BBC'!G52+Panera!G52+'Heritage Market'!G52</f>
        <v>0</v>
      </c>
      <c r="H52" s="80">
        <f t="shared" ref="H52:H83" si="22">IFERROR(G52/G$28,0)</f>
        <v>0</v>
      </c>
      <c r="I52" s="134">
        <f>'POD Breezeway'!I52+'Express GL'!I52+'Starbucks GL-SBX Truck'!I52+'Miro''s'!I52+'Faculty Club'!I52+'Almazar &amp; Brand X'!I52+'Burger King'!I52+Bustelo!I52+Chilis!I52+Einstein!I52+Jamba!I52+'Pollo Tropical'!I52+'Subway GC'!I52+'Sushi Maki'!I52+Panda!I52+'Starbucks Mango'!I52+'Taco Bell'!I52+'Chick-fil-A'!I52+Dunkin!I52+Chipotle!I52+Sergios!I52+'Moes PG5'!I52+'Papa Johns'!I52+Salad!I52+'Half Moon &amp; Trop Smoothie'!I52+'Athletic Concessions -Kitchen'!I52+'Starbucks BBC'!I52+'Moes BBC'!I52+'Grille Works BBC &amp; Shipping'!I52+'Subway BBC'!I52+'Market Pavillion'!I52+'Chic Fil A BBC'!I52+Panera!I52+'Heritage Market'!I52</f>
        <v>0</v>
      </c>
      <c r="J52" s="80">
        <f t="shared" ref="J52:J83" si="23">IFERROR(I52/I$28,0)</f>
        <v>0</v>
      </c>
      <c r="K52" s="134">
        <f>'POD Breezeway'!K52+'Express GL'!K52+'Starbucks GL-SBX Truck'!K52+'Miro''s'!K52+'Faculty Club'!K52+'Almazar &amp; Brand X'!K52+'Burger King'!K52+Bustelo!K52+Chilis!K52+Einstein!K52+Jamba!K52+'Pollo Tropical'!K52+'Subway GC'!K52+'Sushi Maki'!K52+Panda!K52+'Starbucks Mango'!K52+'Taco Bell'!K52+'Chick-fil-A'!K52+Dunkin!K52+Chipotle!K52+Sergios!K52+'Moes PG5'!K52+'Papa Johns'!K52+Salad!K52+'Half Moon &amp; Trop Smoothie'!K52+'Athletic Concessions -Kitchen'!K52+'Starbucks BBC'!K52+'Moes BBC'!K52+'Grille Works BBC &amp; Shipping'!K52+'Subway BBC'!K52+'Market Pavillion'!K52+'Chic Fil A BBC'!K52+Panera!K52+'Heritage Market'!K52</f>
        <v>0</v>
      </c>
      <c r="L52" s="80">
        <f t="shared" ref="L52:L83" si="24">IFERROR(K52/K$28,0)</f>
        <v>0</v>
      </c>
      <c r="M52" s="134">
        <f>'POD Breezeway'!M52+'Express GL'!M52+'Starbucks GL-SBX Truck'!M52+'Miro''s'!M52+'Faculty Club'!M52+'Almazar &amp; Brand X'!M52+'Burger King'!M52+Bustelo!M52+Chilis!M52+Einstein!M52+Jamba!M52+'Pollo Tropical'!M52+'Subway GC'!M52+'Sushi Maki'!M52+Panda!M52+'Starbucks Mango'!M52+'Taco Bell'!M52+'Chick-fil-A'!M52+Dunkin!M52+Chipotle!M52+Sergios!M52+'Moes PG5'!M52+'Papa Johns'!M52+Salad!M52+'Half Moon &amp; Trop Smoothie'!M52+'Athletic Concessions -Kitchen'!M52+'Starbucks BBC'!M52+'Moes BBC'!M52+'Grille Works BBC &amp; Shipping'!M52+'Subway BBC'!M52+'Market Pavillion'!M52+'Chic Fil A BBC'!M52+Panera!M52+'Heritage Market'!M52</f>
        <v>0</v>
      </c>
      <c r="N52" s="80">
        <f t="shared" ref="N52:N83" si="25">IFERROR(M52/M$28,0)</f>
        <v>0</v>
      </c>
      <c r="O52" s="134">
        <f>'POD Breezeway'!O52+'Express GL'!O52+'Starbucks GL-SBX Truck'!O52+'Miro''s'!O52+'Faculty Club'!O52+'Almazar &amp; Brand X'!O52+'Burger King'!O52+Bustelo!O52+Chilis!O52+Einstein!O52+Jamba!O52+'Pollo Tropical'!O52+'Subway GC'!O52+'Sushi Maki'!O52+Panda!O52+'Starbucks Mango'!O52+'Taco Bell'!O52+'Chick-fil-A'!O52+Dunkin!O52+Chipotle!O52+Sergios!O52+'Moes PG5'!O52+'Papa Johns'!O52+Salad!O52+'Half Moon &amp; Trop Smoothie'!O52+'Athletic Concessions -Kitchen'!O52+'Starbucks BBC'!O52+'Moes BBC'!O52+'Grille Works BBC &amp; Shipping'!O52+'Subway BBC'!O52+'Market Pavillion'!O52+'Chic Fil A BBC'!O52+Panera!O52+'Heritage Market'!O52</f>
        <v>0</v>
      </c>
      <c r="P52" s="80">
        <f t="shared" ref="P52:P83" si="26">IFERROR(O52/O$28,0)</f>
        <v>0</v>
      </c>
      <c r="Q52" s="134">
        <f>'POD Breezeway'!Q52+'Express GL'!Q52+'Starbucks GL-SBX Truck'!Q52+'Miro''s'!Q52+'Faculty Club'!Q52+'Almazar &amp; Brand X'!Q52+'Burger King'!Q52+Bustelo!Q52+Chilis!Q52+Einstein!Q52+Jamba!Q52+'Pollo Tropical'!Q52+'Subway GC'!Q52+'Sushi Maki'!Q52+Panda!Q52+'Starbucks Mango'!Q52+'Taco Bell'!Q52+'Chick-fil-A'!Q52+Dunkin!Q52+Chipotle!Q52+Sergios!Q52+'Moes PG5'!Q52+'Papa Johns'!Q52+Salad!Q52+'Half Moon &amp; Trop Smoothie'!Q52+'Athletic Concessions -Kitchen'!Q52+'Starbucks BBC'!Q52+'Moes BBC'!Q52+'Grille Works BBC &amp; Shipping'!Q52+'Subway BBC'!Q52+'Market Pavillion'!Q52+'Chic Fil A BBC'!Q52+Panera!Q52+'Heritage Market'!Q52</f>
        <v>0</v>
      </c>
      <c r="R52" s="80">
        <f t="shared" ref="R52:R83" si="27">IFERROR(Q52/Q$28,0)</f>
        <v>0</v>
      </c>
      <c r="S52" s="134">
        <f>'POD Breezeway'!S52+'Express GL'!S52+'Starbucks GL-SBX Truck'!S52+'Miro''s'!S52+'Faculty Club'!S52+'Almazar &amp; Brand X'!S52+'Burger King'!S52+Bustelo!S52+Chilis!S52+Einstein!S52+Jamba!S52+'Pollo Tropical'!S52+'Subway GC'!S52+'Sushi Maki'!S52+Panda!S52+'Starbucks Mango'!S52+'Taco Bell'!S52+'Chick-fil-A'!S52+Dunkin!S52+Chipotle!S52+Sergios!S52+'Moes PG5'!S52+'Papa Johns'!S52+Salad!S52+'Half Moon &amp; Trop Smoothie'!S52+'Athletic Concessions -Kitchen'!S52+'Starbucks BBC'!S52+'Moes BBC'!S52+'Grille Works BBC &amp; Shipping'!S52+'Subway BBC'!S52+'Market Pavillion'!S52+'Chic Fil A BBC'!S52+Panera!S52+'Heritage Market'!S52</f>
        <v>0</v>
      </c>
      <c r="T52" s="80">
        <f t="shared" ref="T52:T83" si="28">IFERROR(S52/S$28,0)</f>
        <v>0</v>
      </c>
      <c r="U52" s="134">
        <f>'POD Breezeway'!U52+'Express GL'!U52+'Starbucks GL-SBX Truck'!U52+'Miro''s'!U52+'Faculty Club'!U52+'Almazar &amp; Brand X'!U52+'Burger King'!U52+Bustelo!U52+Chilis!U52+Einstein!U52+Jamba!U52+'Pollo Tropical'!U52+'Subway GC'!U52+'Sushi Maki'!U52+Panda!U52+'Starbucks Mango'!U52+'Taco Bell'!U52+'Chick-fil-A'!U52+Dunkin!U52+Chipotle!U52+Sergios!U52+'Moes PG5'!U52+'Papa Johns'!U52+Salad!U52+'Half Moon &amp; Trop Smoothie'!U52+'Athletic Concessions -Kitchen'!U52+'Starbucks BBC'!U52+'Moes BBC'!U52+'Grille Works BBC &amp; Shipping'!U52+'Subway BBC'!U52+'Market Pavillion'!U52+'Chic Fil A BBC'!U52+Panera!U52+'Heritage Market'!U52</f>
        <v>0</v>
      </c>
      <c r="V52" s="80">
        <f t="shared" ref="V52:V105" si="29">IFERROR(U52/U$28,0)</f>
        <v>0</v>
      </c>
    </row>
    <row r="53" spans="1:22" ht="12.75" customHeight="1">
      <c r="A53" s="2" t="s">
        <v>397</v>
      </c>
      <c r="B53" s="35"/>
      <c r="C53" s="134">
        <f>'POD Breezeway'!C53+'Express GL'!C53+'Starbucks GL-SBX Truck'!C53+'Miro''s'!C53+'Faculty Club'!C53+'Almazar &amp; Brand X'!C53+'Burger King'!C53+Bustelo!C53+Chilis!C53+Einstein!C53+Jamba!C53+'Pollo Tropical'!C53+'Subway GC'!C53+'Sushi Maki'!C53+Panda!C53+'Starbucks Mango'!C53+'Taco Bell'!C53+'Chick-fil-A'!C53+Dunkin!C53+Chipotle!C53+Sergios!C53+'Moes PG5'!C53+'Papa Johns'!C53+Salad!C53+'Half Moon &amp; Trop Smoothie'!C53+'Athletic Concessions -Kitchen'!C53+'Starbucks BBC'!C53+'Moes BBC'!C53+'Grille Works BBC &amp; Shipping'!C53+'Subway BBC'!C53+'Market Pavillion'!C53+'Chic Fil A BBC'!C53+Panera!C53+'Heritage Market'!C53</f>
        <v>0</v>
      </c>
      <c r="D53" s="80">
        <f t="shared" si="20"/>
        <v>0</v>
      </c>
      <c r="E53" s="134">
        <f>'POD Breezeway'!E53+'Express GL'!E53+'Starbucks GL-SBX Truck'!E53+'Miro''s'!E53+'Faculty Club'!E53+'Almazar &amp; Brand X'!E53+'Burger King'!E53+Bustelo!E53+Chilis!E53+Einstein!E53+Jamba!E53+'Pollo Tropical'!E53+'Subway GC'!E53+'Sushi Maki'!E53+Panda!E53+'Starbucks Mango'!E53+'Taco Bell'!E53+'Chick-fil-A'!E53+Dunkin!E53+Chipotle!E53+Sergios!E53+'Moes PG5'!E53+'Papa Johns'!E53+Salad!E53+'Half Moon &amp; Trop Smoothie'!E53+'Athletic Concessions -Kitchen'!E53+'Starbucks BBC'!E53+'Moes BBC'!E53+'Grille Works BBC &amp; Shipping'!E53+'Subway BBC'!E53+'Market Pavillion'!E53+'Chic Fil A BBC'!E53+Panera!E53+'Heritage Market'!E53</f>
        <v>0</v>
      </c>
      <c r="F53" s="80">
        <f t="shared" si="21"/>
        <v>0</v>
      </c>
      <c r="G53" s="134">
        <f>'POD Breezeway'!G53+'Express GL'!G53+'Starbucks GL-SBX Truck'!G53+'Miro''s'!G53+'Faculty Club'!G53+'Almazar &amp; Brand X'!G53+'Burger King'!G53+Bustelo!G53+Chilis!G53+Einstein!G53+Jamba!G53+'Pollo Tropical'!G53+'Subway GC'!G53+'Sushi Maki'!G53+Panda!G53+'Starbucks Mango'!G53+'Taco Bell'!G53+'Chick-fil-A'!G53+Dunkin!G53+Chipotle!G53+Sergios!G53+'Moes PG5'!G53+'Papa Johns'!G53+Salad!G53+'Half Moon &amp; Trop Smoothie'!G53+'Athletic Concessions -Kitchen'!G53+'Starbucks BBC'!G53+'Moes BBC'!G53+'Grille Works BBC &amp; Shipping'!G53+'Subway BBC'!G53+'Market Pavillion'!G53+'Chic Fil A BBC'!G53+Panera!G53+'Heritage Market'!G53</f>
        <v>0</v>
      </c>
      <c r="H53" s="80">
        <f t="shared" si="22"/>
        <v>0</v>
      </c>
      <c r="I53" s="134">
        <f>'POD Breezeway'!I53+'Express GL'!I53+'Starbucks GL-SBX Truck'!I53+'Miro''s'!I53+'Faculty Club'!I53+'Almazar &amp; Brand X'!I53+'Burger King'!I53+Bustelo!I53+Chilis!I53+Einstein!I53+Jamba!I53+'Pollo Tropical'!I53+'Subway GC'!I53+'Sushi Maki'!I53+Panda!I53+'Starbucks Mango'!I53+'Taco Bell'!I53+'Chick-fil-A'!I53+Dunkin!I53+Chipotle!I53+Sergios!I53+'Moes PG5'!I53+'Papa Johns'!I53+Salad!I53+'Half Moon &amp; Trop Smoothie'!I53+'Athletic Concessions -Kitchen'!I53+'Starbucks BBC'!I53+'Moes BBC'!I53+'Grille Works BBC &amp; Shipping'!I53+'Subway BBC'!I53+'Market Pavillion'!I53+'Chic Fil A BBC'!I53+Panera!I53+'Heritage Market'!I53</f>
        <v>0</v>
      </c>
      <c r="J53" s="80">
        <f t="shared" si="23"/>
        <v>0</v>
      </c>
      <c r="K53" s="134">
        <f>'POD Breezeway'!K53+'Express GL'!K53+'Starbucks GL-SBX Truck'!K53+'Miro''s'!K53+'Faculty Club'!K53+'Almazar &amp; Brand X'!K53+'Burger King'!K53+Bustelo!K53+Chilis!K53+Einstein!K53+Jamba!K53+'Pollo Tropical'!K53+'Subway GC'!K53+'Sushi Maki'!K53+Panda!K53+'Starbucks Mango'!K53+'Taco Bell'!K53+'Chick-fil-A'!K53+Dunkin!K53+Chipotle!K53+Sergios!K53+'Moes PG5'!K53+'Papa Johns'!K53+Salad!K53+'Half Moon &amp; Trop Smoothie'!K53+'Athletic Concessions -Kitchen'!K53+'Starbucks BBC'!K53+'Moes BBC'!K53+'Grille Works BBC &amp; Shipping'!K53+'Subway BBC'!K53+'Market Pavillion'!K53+'Chic Fil A BBC'!K53+Panera!K53+'Heritage Market'!K53</f>
        <v>0</v>
      </c>
      <c r="L53" s="80">
        <f t="shared" si="24"/>
        <v>0</v>
      </c>
      <c r="M53" s="134">
        <f>'POD Breezeway'!M53+'Express GL'!M53+'Starbucks GL-SBX Truck'!M53+'Miro''s'!M53+'Faculty Club'!M53+'Almazar &amp; Brand X'!M53+'Burger King'!M53+Bustelo!M53+Chilis!M53+Einstein!M53+Jamba!M53+'Pollo Tropical'!M53+'Subway GC'!M53+'Sushi Maki'!M53+Panda!M53+'Starbucks Mango'!M53+'Taco Bell'!M53+'Chick-fil-A'!M53+Dunkin!M53+Chipotle!M53+Sergios!M53+'Moes PG5'!M53+'Papa Johns'!M53+Salad!M53+'Half Moon &amp; Trop Smoothie'!M53+'Athletic Concessions -Kitchen'!M53+'Starbucks BBC'!M53+'Moes BBC'!M53+'Grille Works BBC &amp; Shipping'!M53+'Subway BBC'!M53+'Market Pavillion'!M53+'Chic Fil A BBC'!M53+Panera!M53+'Heritage Market'!M53</f>
        <v>0</v>
      </c>
      <c r="N53" s="80">
        <f t="shared" si="25"/>
        <v>0</v>
      </c>
      <c r="O53" s="134">
        <f>'POD Breezeway'!O53+'Express GL'!O53+'Starbucks GL-SBX Truck'!O53+'Miro''s'!O53+'Faculty Club'!O53+'Almazar &amp; Brand X'!O53+'Burger King'!O53+Bustelo!O53+Chilis!O53+Einstein!O53+Jamba!O53+'Pollo Tropical'!O53+'Subway GC'!O53+'Sushi Maki'!O53+Panda!O53+'Starbucks Mango'!O53+'Taco Bell'!O53+'Chick-fil-A'!O53+Dunkin!O53+Chipotle!O53+Sergios!O53+'Moes PG5'!O53+'Papa Johns'!O53+Salad!O53+'Half Moon &amp; Trop Smoothie'!O53+'Athletic Concessions -Kitchen'!O53+'Starbucks BBC'!O53+'Moes BBC'!O53+'Grille Works BBC &amp; Shipping'!O53+'Subway BBC'!O53+'Market Pavillion'!O53+'Chic Fil A BBC'!O53+Panera!O53+'Heritage Market'!O53</f>
        <v>0</v>
      </c>
      <c r="P53" s="80">
        <f t="shared" si="26"/>
        <v>0</v>
      </c>
      <c r="Q53" s="134">
        <f>'POD Breezeway'!Q53+'Express GL'!Q53+'Starbucks GL-SBX Truck'!Q53+'Miro''s'!Q53+'Faculty Club'!Q53+'Almazar &amp; Brand X'!Q53+'Burger King'!Q53+Bustelo!Q53+Chilis!Q53+Einstein!Q53+Jamba!Q53+'Pollo Tropical'!Q53+'Subway GC'!Q53+'Sushi Maki'!Q53+Panda!Q53+'Starbucks Mango'!Q53+'Taco Bell'!Q53+'Chick-fil-A'!Q53+Dunkin!Q53+Chipotle!Q53+Sergios!Q53+'Moes PG5'!Q53+'Papa Johns'!Q53+Salad!Q53+'Half Moon &amp; Trop Smoothie'!Q53+'Athletic Concessions -Kitchen'!Q53+'Starbucks BBC'!Q53+'Moes BBC'!Q53+'Grille Works BBC &amp; Shipping'!Q53+'Subway BBC'!Q53+'Market Pavillion'!Q53+'Chic Fil A BBC'!Q53+Panera!Q53+'Heritage Market'!Q53</f>
        <v>0</v>
      </c>
      <c r="R53" s="80">
        <f t="shared" si="27"/>
        <v>0</v>
      </c>
      <c r="S53" s="134">
        <f>'POD Breezeway'!S53+'Express GL'!S53+'Starbucks GL-SBX Truck'!S53+'Miro''s'!S53+'Faculty Club'!S53+'Almazar &amp; Brand X'!S53+'Burger King'!S53+Bustelo!S53+Chilis!S53+Einstein!S53+Jamba!S53+'Pollo Tropical'!S53+'Subway GC'!S53+'Sushi Maki'!S53+Panda!S53+'Starbucks Mango'!S53+'Taco Bell'!S53+'Chick-fil-A'!S53+Dunkin!S53+Chipotle!S53+Sergios!S53+'Moes PG5'!S53+'Papa Johns'!S53+Salad!S53+'Half Moon &amp; Trop Smoothie'!S53+'Athletic Concessions -Kitchen'!S53+'Starbucks BBC'!S53+'Moes BBC'!S53+'Grille Works BBC &amp; Shipping'!S53+'Subway BBC'!S53+'Market Pavillion'!S53+'Chic Fil A BBC'!S53+Panera!S53+'Heritage Market'!S53</f>
        <v>0</v>
      </c>
      <c r="T53" s="80">
        <f t="shared" si="28"/>
        <v>0</v>
      </c>
      <c r="U53" s="134">
        <f>'POD Breezeway'!U53+'Express GL'!U53+'Starbucks GL-SBX Truck'!U53+'Miro''s'!U53+'Faculty Club'!U53+'Almazar &amp; Brand X'!U53+'Burger King'!U53+Bustelo!U53+Chilis!U53+Einstein!U53+Jamba!U53+'Pollo Tropical'!U53+'Subway GC'!U53+'Sushi Maki'!U53+Panda!U53+'Starbucks Mango'!U53+'Taco Bell'!U53+'Chick-fil-A'!U53+Dunkin!U53+Chipotle!U53+Sergios!U53+'Moes PG5'!U53+'Papa Johns'!U53+Salad!U53+'Half Moon &amp; Trop Smoothie'!U53+'Athletic Concessions -Kitchen'!U53+'Starbucks BBC'!U53+'Moes BBC'!U53+'Grille Works BBC &amp; Shipping'!U53+'Subway BBC'!U53+'Market Pavillion'!U53+'Chic Fil A BBC'!U53+Panera!U53+'Heritage Market'!U53</f>
        <v>0</v>
      </c>
      <c r="V53" s="80">
        <f t="shared" si="29"/>
        <v>0</v>
      </c>
    </row>
    <row r="54" spans="1:22" ht="12.75" customHeight="1">
      <c r="A54" s="214" t="s">
        <v>398</v>
      </c>
      <c r="B54" s="215"/>
      <c r="C54" s="134">
        <f>'POD Breezeway'!C54+'Express GL'!C54+'Starbucks GL-SBX Truck'!C54+'Miro''s'!C54+'Faculty Club'!C54+'Almazar &amp; Brand X'!C54+'Burger King'!C54+Bustelo!C54+Chilis!C54+Einstein!C54+Jamba!C54+'Pollo Tropical'!C54+'Subway GC'!C54+'Sushi Maki'!C54+Panda!C54+'Starbucks Mango'!C54+'Taco Bell'!C54+'Chick-fil-A'!C54+Dunkin!C54+Chipotle!C54+Sergios!C54+'Moes PG5'!C54+'Papa Johns'!C54+Salad!C54+'Half Moon &amp; Trop Smoothie'!C54+'Athletic Concessions -Kitchen'!C54+'Starbucks BBC'!C54+'Moes BBC'!C54+'Grille Works BBC &amp; Shipping'!C54+'Subway BBC'!C54+'Market Pavillion'!C54+'Chic Fil A BBC'!C54+Panera!C54+'Heritage Market'!C54</f>
        <v>10902.709566000001</v>
      </c>
      <c r="D54" s="80">
        <f t="shared" si="20"/>
        <v>6.8779870753963007E-4</v>
      </c>
      <c r="E54" s="134">
        <f>'POD Breezeway'!E54+'Express GL'!E54+'Starbucks GL-SBX Truck'!E54+'Miro''s'!E54+'Faculty Club'!E54+'Almazar &amp; Brand X'!E54+'Burger King'!E54+Bustelo!E54+Chilis!E54+Einstein!E54+Jamba!E54+'Pollo Tropical'!E54+'Subway GC'!E54+'Sushi Maki'!E54+Panda!E54+'Starbucks Mango'!E54+'Taco Bell'!E54+'Chick-fil-A'!E54+Dunkin!E54+Chipotle!E54+Sergios!E54+'Moes PG5'!E54+'Papa Johns'!E54+Salad!E54+'Half Moon &amp; Trop Smoothie'!E54+'Athletic Concessions -Kitchen'!E54+'Starbucks BBC'!E54+'Moes BBC'!E54+'Grille Works BBC &amp; Shipping'!E54+'Subway BBC'!E54+'Market Pavillion'!E54+'Chic Fil A BBC'!E54+Panera!E54+'Heritage Market'!E54</f>
        <v>12966.5375</v>
      </c>
      <c r="F54" s="80">
        <f t="shared" si="21"/>
        <v>6.8934090077693035E-4</v>
      </c>
      <c r="G54" s="134">
        <f>'POD Breezeway'!G54+'Express GL'!G54+'Starbucks GL-SBX Truck'!G54+'Miro''s'!G54+'Faculty Club'!G54+'Almazar &amp; Brand X'!G54+'Burger King'!G54+Bustelo!G54+Chilis!G54+Einstein!G54+Jamba!G54+'Pollo Tropical'!G54+'Subway GC'!G54+'Sushi Maki'!G54+Panda!G54+'Starbucks Mango'!G54+'Taco Bell'!G54+'Chick-fil-A'!G54+Dunkin!G54+Chipotle!G54+Sergios!G54+'Moes PG5'!G54+'Papa Johns'!G54+Salad!G54+'Half Moon &amp; Trop Smoothie'!G54+'Athletic Concessions -Kitchen'!G54+'Starbucks BBC'!G54+'Moes BBC'!G54+'Grille Works BBC &amp; Shipping'!G54+'Subway BBC'!G54+'Market Pavillion'!G54+'Chic Fil A BBC'!G54+Panera!G54+'Heritage Market'!G54</f>
        <v>14272.434050000002</v>
      </c>
      <c r="H54" s="80">
        <f t="shared" si="22"/>
        <v>6.9156569126970369E-4</v>
      </c>
      <c r="I54" s="134">
        <f>'POD Breezeway'!I54+'Express GL'!I54+'Starbucks GL-SBX Truck'!I54+'Miro''s'!I54+'Faculty Club'!I54+'Almazar &amp; Brand X'!I54+'Burger King'!I54+Bustelo!I54+Chilis!I54+Einstein!I54+Jamba!I54+'Pollo Tropical'!I54+'Subway GC'!I54+'Sushi Maki'!I54+Panda!I54+'Starbucks Mango'!I54+'Taco Bell'!I54+'Chick-fil-A'!I54+Dunkin!I54+Chipotle!I54+Sergios!I54+'Moes PG5'!I54+'Papa Johns'!I54+Salad!I54+'Half Moon &amp; Trop Smoothie'!I54+'Athletic Concessions -Kitchen'!I54+'Starbucks BBC'!I54+'Moes BBC'!I54+'Grille Works BBC &amp; Shipping'!I54+'Subway BBC'!I54+'Market Pavillion'!I54+'Chic Fil A BBC'!I54+Panera!I54+'Heritage Market'!I54</f>
        <v>14815.522714650004</v>
      </c>
      <c r="J54" s="80">
        <f t="shared" si="23"/>
        <v>6.917106259061379E-4</v>
      </c>
      <c r="K54" s="134">
        <f>'POD Breezeway'!K54+'Express GL'!K54+'Starbucks GL-SBX Truck'!K54+'Miro''s'!K54+'Faculty Club'!K54+'Almazar &amp; Brand X'!K54+'Burger King'!K54+Bustelo!K54+Chilis!K54+Einstein!K54+Jamba!K54+'Pollo Tropical'!K54+'Subway GC'!K54+'Sushi Maki'!K54+Panda!K54+'Starbucks Mango'!K54+'Taco Bell'!K54+'Chick-fil-A'!K54+Dunkin!K54+Chipotle!K54+Sergios!K54+'Moes PG5'!K54+'Papa Johns'!K54+Salad!K54+'Half Moon &amp; Trop Smoothie'!K54+'Athletic Concessions -Kitchen'!K54+'Starbucks BBC'!K54+'Moes BBC'!K54+'Grille Works BBC &amp; Shipping'!K54+'Subway BBC'!K54+'Market Pavillion'!K54+'Chic Fil A BBC'!K54+Panera!K54+'Heritage Market'!K54</f>
        <v>15265.496867729504</v>
      </c>
      <c r="L54" s="80">
        <f t="shared" si="24"/>
        <v>6.917930891200487E-4</v>
      </c>
      <c r="M54" s="134">
        <f>'POD Breezeway'!M54+'Express GL'!M54+'Starbucks GL-SBX Truck'!M54+'Miro''s'!M54+'Faculty Club'!M54+'Almazar &amp; Brand X'!M54+'Burger King'!M54+Bustelo!M54+Chilis!M54+Einstein!M54+Jamba!M54+'Pollo Tropical'!M54+'Subway GC'!M54+'Sushi Maki'!M54+Panda!M54+'Starbucks Mango'!M54+'Taco Bell'!M54+'Chick-fil-A'!M54+Dunkin!M54+Chipotle!M54+Sergios!M54+'Moes PG5'!M54+'Papa Johns'!M54+Salad!M54+'Half Moon &amp; Trop Smoothie'!M54+'Athletic Concessions -Kitchen'!M54+'Starbucks BBC'!M54+'Moes BBC'!M54+'Grille Works BBC &amp; Shipping'!M54+'Subway BBC'!M54+'Market Pavillion'!M54+'Chic Fil A BBC'!M54+Panera!M54+'Heritage Market'!M54</f>
        <v>15735.016268486605</v>
      </c>
      <c r="N54" s="80">
        <f t="shared" si="25"/>
        <v>6.918777420555028E-4</v>
      </c>
      <c r="O54" s="134">
        <f>'POD Breezeway'!O54+'Express GL'!O54+'Starbucks GL-SBX Truck'!O54+'Miro''s'!O54+'Faculty Club'!O54+'Almazar &amp; Brand X'!O54+'Burger King'!O54+Bustelo!O54+Chilis!O54+Einstein!O54+Jamba!O54+'Pollo Tropical'!O54+'Subway GC'!O54+'Sushi Maki'!O54+Panda!O54+'Starbucks Mango'!O54+'Taco Bell'!O54+'Chick-fil-A'!O54+Dunkin!O54+Chipotle!O54+Sergios!O54+'Moes PG5'!O54+'Papa Johns'!O54+Salad!O54+'Half Moon &amp; Trop Smoothie'!O54+'Athletic Concessions -Kitchen'!O54+'Starbucks BBC'!O54+'Moes BBC'!O54+'Grille Works BBC &amp; Shipping'!O54+'Subway BBC'!O54+'Market Pavillion'!O54+'Chic Fil A BBC'!O54+Panera!O54+'Heritage Market'!O54</f>
        <v>16231.631042747333</v>
      </c>
      <c r="P54" s="80">
        <f t="shared" si="26"/>
        <v>6.9196772694962239E-4</v>
      </c>
      <c r="Q54" s="134">
        <f>'POD Breezeway'!Q54+'Express GL'!Q54+'Starbucks GL-SBX Truck'!Q54+'Miro''s'!Q54+'Faculty Club'!Q54+'Almazar &amp; Brand X'!Q54+'Burger King'!Q54+Bustelo!Q54+Chilis!Q54+Einstein!Q54+Jamba!Q54+'Pollo Tropical'!Q54+'Subway GC'!Q54+'Sushi Maki'!Q54+Panda!Q54+'Starbucks Mango'!Q54+'Taco Bell'!Q54+'Chick-fil-A'!Q54+Dunkin!Q54+Chipotle!Q54+Sergios!Q54+'Moes PG5'!Q54+'Papa Johns'!Q54+Salad!Q54+'Half Moon &amp; Trop Smoothie'!Q54+'Athletic Concessions -Kitchen'!Q54+'Starbucks BBC'!Q54+'Moes BBC'!Q54+'Grille Works BBC &amp; Shipping'!Q54+'Subway BBC'!Q54+'Market Pavillion'!Q54+'Chic Fil A BBC'!Q54+Panera!Q54+'Heritage Market'!Q54</f>
        <v>16752.288122766651</v>
      </c>
      <c r="R54" s="80">
        <f t="shared" si="27"/>
        <v>6.9206064941203455E-4</v>
      </c>
      <c r="S54" s="134">
        <f>'POD Breezeway'!S54+'Express GL'!S54+'Starbucks GL-SBX Truck'!S54+'Miro''s'!S54+'Faculty Club'!S54+'Almazar &amp; Brand X'!S54+'Burger King'!S54+Bustelo!S54+Chilis!S54+Einstein!S54+Jamba!S54+'Pollo Tropical'!S54+'Subway GC'!S54+'Sushi Maki'!S54+Panda!S54+'Starbucks Mango'!S54+'Taco Bell'!S54+'Chick-fil-A'!S54+Dunkin!S54+Chipotle!S54+Sergios!S54+'Moes PG5'!S54+'Papa Johns'!S54+Salad!S54+'Half Moon &amp; Trop Smoothie'!S54+'Athletic Concessions -Kitchen'!S54+'Starbucks BBC'!S54+'Moes BBC'!S54+'Grille Works BBC &amp; Shipping'!S54+'Subway BBC'!S54+'Market Pavillion'!S54+'Chic Fil A BBC'!S54+Panera!S54+'Heritage Market'!S54</f>
        <v>17294.022416356111</v>
      </c>
      <c r="T54" s="80">
        <f t="shared" si="28"/>
        <v>6.9215447263142461E-4</v>
      </c>
      <c r="U54" s="134">
        <f>'POD Breezeway'!U54+'Express GL'!U54+'Starbucks GL-SBX Truck'!U54+'Miro''s'!U54+'Faculty Club'!U54+'Almazar &amp; Brand X'!U54+'Burger King'!U54+Bustelo!U54+Chilis!U54+Einstein!U54+Jamba!U54+'Pollo Tropical'!U54+'Subway GC'!U54+'Sushi Maki'!U54+Panda!U54+'Starbucks Mango'!U54+'Taco Bell'!U54+'Chick-fil-A'!U54+Dunkin!U54+Chipotle!U54+Sergios!U54+'Moes PG5'!U54+'Papa Johns'!U54+Salad!U54+'Half Moon &amp; Trop Smoothie'!U54+'Athletic Concessions -Kitchen'!U54+'Starbucks BBC'!U54+'Moes BBC'!U54+'Grille Works BBC &amp; Shipping'!U54+'Subway BBC'!U54+'Market Pavillion'!U54+'Chic Fil A BBC'!U54+Panera!U54+'Heritage Market'!U54</f>
        <v>17857.064366644419</v>
      </c>
      <c r="V54" s="80">
        <f t="shared" si="29"/>
        <v>6.9224882636774736E-4</v>
      </c>
    </row>
    <row r="55" spans="1:22" ht="12.75" customHeight="1">
      <c r="A55" s="214" t="s">
        <v>399</v>
      </c>
      <c r="B55" s="215"/>
      <c r="C55" s="134">
        <f>'POD Breezeway'!C55+'Express GL'!C55+'Starbucks GL-SBX Truck'!C55+'Miro''s'!C55+'Faculty Club'!C55+'Almazar &amp; Brand X'!C55+'Burger King'!C55+Bustelo!C55+Chilis!C55+Einstein!C55+Jamba!C55+'Pollo Tropical'!C55+'Subway GC'!C55+'Sushi Maki'!C55+Panda!C55+'Starbucks Mango'!C55+'Taco Bell'!C55+'Chick-fil-A'!C55+Dunkin!C55+Chipotle!C55+Sergios!C55+'Moes PG5'!C55+'Papa Johns'!C55+Salad!C55+'Half Moon &amp; Trop Smoothie'!C55+'Athletic Concessions -Kitchen'!C55+'Starbucks BBC'!C55+'Moes BBC'!C55+'Grille Works BBC &amp; Shipping'!C55+'Subway BBC'!C55+'Market Pavillion'!C55+'Chic Fil A BBC'!C55+Panera!C55+'Heritage Market'!C55</f>
        <v>1008969.2695999999</v>
      </c>
      <c r="D55" s="80">
        <f t="shared" si="20"/>
        <v>6.365094432508929E-2</v>
      </c>
      <c r="E55" s="134">
        <f>'POD Breezeway'!E55+'Express GL'!E55+'Starbucks GL-SBX Truck'!E55+'Miro''s'!E55+'Faculty Club'!E55+'Almazar &amp; Brand X'!E55+'Burger King'!E55+Bustelo!E55+Chilis!E55+Einstein!E55+Jamba!E55+'Pollo Tropical'!E55+'Subway GC'!E55+'Sushi Maki'!E55+Panda!E55+'Starbucks Mango'!E55+'Taco Bell'!E55+'Chick-fil-A'!E55+Dunkin!E55+Chipotle!E55+Sergios!E55+'Moes PG5'!E55+'Papa Johns'!E55+Salad!E55+'Half Moon &amp; Trop Smoothie'!E55+'Athletic Concessions -Kitchen'!E55+'Starbucks BBC'!E55+'Moes BBC'!E55+'Grille Works BBC &amp; Shipping'!E55+'Subway BBC'!E55+'Market Pavillion'!E55+'Chic Fil A BBC'!E55+Panera!E55+'Heritage Market'!E55</f>
        <v>1053642.25</v>
      </c>
      <c r="F55" s="80">
        <f t="shared" si="21"/>
        <v>5.6014853441917832E-2</v>
      </c>
      <c r="G55" s="134">
        <f>'POD Breezeway'!G55+'Express GL'!G55+'Starbucks GL-SBX Truck'!G55+'Miro''s'!G55+'Faculty Club'!G55+'Almazar &amp; Brand X'!G55+'Burger King'!G55+Bustelo!G55+Chilis!G55+Einstein!G55+Jamba!G55+'Pollo Tropical'!G55+'Subway GC'!G55+'Sushi Maki'!G55+Panda!G55+'Starbucks Mango'!G55+'Taco Bell'!G55+'Chick-fil-A'!G55+Dunkin!G55+Chipotle!G55+Sergios!G55+'Moes PG5'!G55+'Papa Johns'!G55+Salad!G55+'Half Moon &amp; Trop Smoothie'!G55+'Athletic Concessions -Kitchen'!G55+'Starbucks BBC'!G55+'Moes BBC'!G55+'Grille Works BBC &amp; Shipping'!G55+'Subway BBC'!G55+'Market Pavillion'!G55+'Chic Fil A BBC'!G55+Panera!G55+'Heritage Market'!G55</f>
        <v>1142270.79</v>
      </c>
      <c r="H55" s="80">
        <f t="shared" si="22"/>
        <v>5.5348322909471809E-2</v>
      </c>
      <c r="I55" s="134">
        <f>'POD Breezeway'!I55+'Express GL'!I55+'Starbucks GL-SBX Truck'!I55+'Miro''s'!I55+'Faculty Club'!I55+'Almazar &amp; Brand X'!I55+'Burger King'!I55+Bustelo!I55+Chilis!I55+Einstein!I55+Jamba!I55+'Pollo Tropical'!I55+'Subway GC'!I55+'Sushi Maki'!I55+Panda!I55+'Starbucks Mango'!I55+'Taco Bell'!I55+'Chick-fil-A'!I55+Dunkin!I55+Chipotle!I55+Sergios!I55+'Moes PG5'!I55+'Papa Johns'!I55+Salad!I55+'Half Moon &amp; Trop Smoothie'!I55+'Athletic Concessions -Kitchen'!I55+'Starbucks BBC'!I55+'Moes BBC'!I55+'Grille Works BBC &amp; Shipping'!I55+'Subway BBC'!I55+'Market Pavillion'!I55+'Chic Fil A BBC'!I55+Panera!I55+'Heritage Market'!I55</f>
        <v>1190609.81855</v>
      </c>
      <c r="J55" s="80">
        <f t="shared" si="23"/>
        <v>5.5587472589465718E-2</v>
      </c>
      <c r="K55" s="134">
        <f>'POD Breezeway'!K55+'Express GL'!K55+'Starbucks GL-SBX Truck'!K55+'Miro''s'!K55+'Faculty Club'!K55+'Almazar &amp; Brand X'!K55+'Burger King'!K55+Bustelo!K55+Chilis!K55+Einstein!K55+Jamba!K55+'Pollo Tropical'!K55+'Subway GC'!K55+'Sushi Maki'!K55+Panda!K55+'Starbucks Mango'!K55+'Taco Bell'!K55+'Chick-fil-A'!K55+Dunkin!K55+Chipotle!K55+Sergios!K55+'Moes PG5'!K55+'Papa Johns'!K55+Salad!K55+'Half Moon &amp; Trop Smoothie'!K55+'Athletic Concessions -Kitchen'!K55+'Starbucks BBC'!K55+'Moes BBC'!K55+'Grille Works BBC &amp; Shipping'!K55+'Subway BBC'!K55+'Market Pavillion'!K55+'Chic Fil A BBC'!K55+Panera!K55+'Heritage Market'!K55</f>
        <v>1230594.4247705003</v>
      </c>
      <c r="L55" s="80">
        <f t="shared" si="24"/>
        <v>5.5767376977131654E-2</v>
      </c>
      <c r="M55" s="134">
        <f>'POD Breezeway'!M55+'Express GL'!M55+'Starbucks GL-SBX Truck'!M55+'Miro''s'!M55+'Faculty Club'!M55+'Almazar &amp; Brand X'!M55+'Burger King'!M55+Bustelo!M55+Chilis!M55+Einstein!M55+Jamba!M55+'Pollo Tropical'!M55+'Subway GC'!M55+'Sushi Maki'!M55+Panda!M55+'Starbucks Mango'!M55+'Taco Bell'!M55+'Chick-fil-A'!M55+Dunkin!M55+Chipotle!M55+Sergios!M55+'Moes PG5'!M55+'Papa Johns'!M55+Salad!M55+'Half Moon &amp; Trop Smoothie'!M55+'Athletic Concessions -Kitchen'!M55+'Starbucks BBC'!M55+'Moes BBC'!M55+'Grille Works BBC &amp; Shipping'!M55+'Subway BBC'!M55+'Market Pavillion'!M55+'Chic Fil A BBC'!M55+Panera!M55+'Heritage Market'!M55</f>
        <v>1272737.022268218</v>
      </c>
      <c r="N55" s="80">
        <f t="shared" si="25"/>
        <v>5.5962981046353437E-2</v>
      </c>
      <c r="O55" s="134">
        <f>'POD Breezeway'!O55+'Express GL'!O55+'Starbucks GL-SBX Truck'!O55+'Miro''s'!O55+'Faculty Club'!O55+'Almazar &amp; Brand X'!O55+'Burger King'!O55+Bustelo!O55+Chilis!O55+Einstein!O55+Jamba!O55+'Pollo Tropical'!O55+'Subway GC'!O55+'Sushi Maki'!O55+Panda!O55+'Starbucks Mango'!O55+'Taco Bell'!O55+'Chick-fil-A'!O55+Dunkin!O55+Chipotle!O55+Sergios!O55+'Moes PG5'!O55+'Papa Johns'!O55+Salad!O55+'Half Moon &amp; Trop Smoothie'!O55+'Athletic Concessions -Kitchen'!O55+'Starbucks BBC'!O55+'Moes BBC'!O55+'Grille Works BBC &amp; Shipping'!O55+'Subway BBC'!O55+'Market Pavillion'!O55+'Chic Fil A BBC'!O55+Panera!O55+'Heritage Market'!O55</f>
        <v>1317811.5652639978</v>
      </c>
      <c r="P55" s="80">
        <f t="shared" si="26"/>
        <v>5.6179386468441381E-2</v>
      </c>
      <c r="Q55" s="134">
        <f>'POD Breezeway'!Q55+'Express GL'!Q55+'Starbucks GL-SBX Truck'!Q55+'Miro''s'!Q55+'Faculty Club'!Q55+'Almazar &amp; Brand X'!Q55+'Burger King'!Q55+Bustelo!Q55+Chilis!Q55+Einstein!Q55+Jamba!Q55+'Pollo Tropical'!Q55+'Subway GC'!Q55+'Sushi Maki'!Q55+Panda!Q55+'Starbucks Mango'!Q55+'Taco Bell'!Q55+'Chick-fil-A'!Q55+Dunkin!Q55+Chipotle!Q55+Sergios!Q55+'Moes PG5'!Q55+'Papa Johns'!Q55+Salad!Q55+'Half Moon &amp; Trop Smoothie'!Q55+'Athletic Concessions -Kitchen'!Q55+'Starbucks BBC'!Q55+'Moes BBC'!Q55+'Grille Works BBC &amp; Shipping'!Q55+'Subway BBC'!Q55+'Market Pavillion'!Q55+'Chic Fil A BBC'!Q55+Panera!Q55+'Heritage Market'!Q55</f>
        <v>1365200.3815971543</v>
      </c>
      <c r="R55" s="80">
        <f t="shared" si="27"/>
        <v>5.6398353212519209E-2</v>
      </c>
      <c r="S55" s="134">
        <f>'POD Breezeway'!S55+'Express GL'!S55+'Starbucks GL-SBX Truck'!S55+'Miro''s'!S55+'Faculty Club'!S55+'Almazar &amp; Brand X'!S55+'Burger King'!S55+Bustelo!S55+Chilis!S55+Einstein!S55+Jamba!S55+'Pollo Tropical'!S55+'Subway GC'!S55+'Sushi Maki'!S55+Panda!S55+'Starbucks Mango'!S55+'Taco Bell'!S55+'Chick-fil-A'!S55+Dunkin!S55+Chipotle!S55+Sergios!S55+'Moes PG5'!S55+'Papa Johns'!S55+Salad!S55+'Half Moon &amp; Trop Smoothie'!S55+'Athletic Concessions -Kitchen'!S55+'Starbucks BBC'!S55+'Moes BBC'!S55+'Grille Works BBC &amp; Shipping'!S55+'Subway BBC'!S55+'Market Pavillion'!S55+'Chic Fil A BBC'!S55+Panera!S55+'Heritage Market'!S55</f>
        <v>1415029.7763515061</v>
      </c>
      <c r="T55" s="80">
        <f t="shared" si="28"/>
        <v>5.6633394188389474E-2</v>
      </c>
      <c r="U55" s="134">
        <f>'POD Breezeway'!U55+'Express GL'!U55+'Starbucks GL-SBX Truck'!U55+'Miro''s'!U55+'Faculty Club'!U55+'Almazar &amp; Brand X'!U55+'Burger King'!U55+Bustelo!U55+Chilis!U55+Einstein!U55+Jamba!U55+'Pollo Tropical'!U55+'Subway GC'!U55+'Sushi Maki'!U55+Panda!U55+'Starbucks Mango'!U55+'Taco Bell'!U55+'Chick-fil-A'!U55+Dunkin!U55+Chipotle!U55+Sergios!U55+'Moes PG5'!U55+'Papa Johns'!U55+Salad!U55+'Half Moon &amp; Trop Smoothie'!U55+'Athletic Concessions -Kitchen'!U55+'Starbucks BBC'!U55+'Moes BBC'!U55+'Grille Works BBC &amp; Shipping'!U55+'Subway BBC'!U55+'Market Pavillion'!U55+'Chic Fil A BBC'!U55+Panera!U55+'Heritage Market'!U55</f>
        <v>1427059.593253836</v>
      </c>
      <c r="V55" s="80">
        <f t="shared" si="29"/>
        <v>5.5321541564921785E-2</v>
      </c>
    </row>
    <row r="56" spans="1:22" ht="12.75" customHeight="1">
      <c r="A56" s="214" t="s">
        <v>400</v>
      </c>
      <c r="B56" s="215"/>
      <c r="C56" s="134">
        <f>'POD Breezeway'!C56+'Express GL'!C56+'Starbucks GL-SBX Truck'!C56+'Miro''s'!C56+'Faculty Club'!C56+'Almazar &amp; Brand X'!C56+'Burger King'!C56+Bustelo!C56+Chilis!C56+Einstein!C56+Jamba!C56+'Pollo Tropical'!C56+'Subway GC'!C56+'Sushi Maki'!C56+Panda!C56+'Starbucks Mango'!C56+'Taco Bell'!C56+'Chick-fil-A'!C56+Dunkin!C56+Chipotle!C56+Sergios!C56+'Moes PG5'!C56+'Papa Johns'!C56+Salad!C56+'Half Moon &amp; Trop Smoothie'!C56+'Athletic Concessions -Kitchen'!C56+'Starbucks BBC'!C56+'Moes BBC'!C56+'Grille Works BBC &amp; Shipping'!C56+'Subway BBC'!C56+'Market Pavillion'!C56+'Chic Fil A BBC'!C56+Panera!C56+'Heritage Market'!C56</f>
        <v>7943.4026838</v>
      </c>
      <c r="D56" s="80">
        <f t="shared" si="20"/>
        <v>5.011104869217304E-4</v>
      </c>
      <c r="E56" s="134">
        <f>'POD Breezeway'!E56+'Express GL'!E56+'Starbucks GL-SBX Truck'!E56+'Miro''s'!E56+'Faculty Club'!E56+'Almazar &amp; Brand X'!E56+'Burger King'!E56+Bustelo!E56+Chilis!E56+Einstein!E56+Jamba!E56+'Pollo Tropical'!E56+'Subway GC'!E56+'Sushi Maki'!E56+Panda!E56+'Starbucks Mango'!E56+'Taco Bell'!E56+'Chick-fil-A'!E56+Dunkin!E56+Chipotle!E56+Sergios!E56+'Moes PG5'!E56+'Papa Johns'!E56+Salad!E56+'Half Moon &amp; Trop Smoothie'!E56+'Athletic Concessions -Kitchen'!E56+'Starbucks BBC'!E56+'Moes BBC'!E56+'Grille Works BBC &amp; Shipping'!E56+'Subway BBC'!E56+'Market Pavillion'!E56+'Chic Fil A BBC'!E56+Panera!E56+'Heritage Market'!E56</f>
        <v>9447.0487499999981</v>
      </c>
      <c r="F56" s="80">
        <f t="shared" si="21"/>
        <v>5.0223408485176348E-4</v>
      </c>
      <c r="G56" s="134">
        <f>'POD Breezeway'!G56+'Express GL'!G56+'Starbucks GL-SBX Truck'!G56+'Miro''s'!G56+'Faculty Club'!G56+'Almazar &amp; Brand X'!G56+'Burger King'!G56+Bustelo!G56+Chilis!G56+Einstein!G56+Jamba!G56+'Pollo Tropical'!G56+'Subway GC'!G56+'Sushi Maki'!G56+Panda!G56+'Starbucks Mango'!G56+'Taco Bell'!G56+'Chick-fil-A'!G56+Dunkin!G56+Chipotle!G56+Sergios!G56+'Moes PG5'!G56+'Papa Johns'!G56+Salad!G56+'Half Moon &amp; Trop Smoothie'!G56+'Athletic Concessions -Kitchen'!G56+'Starbucks BBC'!G56+'Moes BBC'!G56+'Grille Works BBC &amp; Shipping'!G56+'Subway BBC'!G56+'Market Pavillion'!G56+'Chic Fil A BBC'!G56+Panera!G56+'Heritage Market'!G56</f>
        <v>10398.487664999999</v>
      </c>
      <c r="H56" s="80">
        <f t="shared" si="22"/>
        <v>5.0385500363935541E-4</v>
      </c>
      <c r="I56" s="134">
        <f>'POD Breezeway'!I56+'Express GL'!I56+'Starbucks GL-SBX Truck'!I56+'Miro''s'!I56+'Faculty Club'!I56+'Almazar &amp; Brand X'!I56+'Burger King'!I56+Bustelo!I56+Chilis!I56+Einstein!I56+Jamba!I56+'Pollo Tropical'!I56+'Subway GC'!I56+'Sushi Maki'!I56+Panda!I56+'Starbucks Mango'!I56+'Taco Bell'!I56+'Chick-fil-A'!I56+Dunkin!I56+Chipotle!I56+Sergios!I56+'Moes PG5'!I56+'Papa Johns'!I56+Salad!I56+'Half Moon &amp; Trop Smoothie'!I56+'Athletic Concessions -Kitchen'!I56+'Starbucks BBC'!I56+'Moes BBC'!I56+'Grille Works BBC &amp; Shipping'!I56+'Subway BBC'!I56+'Market Pavillion'!I56+'Chic Fil A BBC'!I56+Panera!I56+'Heritage Market'!I56</f>
        <v>10794.166549244999</v>
      </c>
      <c r="J56" s="80">
        <f t="shared" si="23"/>
        <v>5.0396059887447173E-4</v>
      </c>
      <c r="K56" s="134">
        <f>'POD Breezeway'!K56+'Express GL'!K56+'Starbucks GL-SBX Truck'!K56+'Miro''s'!K56+'Faculty Club'!K56+'Almazar &amp; Brand X'!K56+'Burger King'!K56+Bustelo!K56+Chilis!K56+Einstein!K56+Jamba!K56+'Pollo Tropical'!K56+'Subway GC'!K56+'Sushi Maki'!K56+Panda!K56+'Starbucks Mango'!K56+'Taco Bell'!K56+'Chick-fil-A'!K56+Dunkin!K56+Chipotle!K56+Sergios!K56+'Moes PG5'!K56+'Papa Johns'!K56+Salad!K56+'Half Moon &amp; Trop Smoothie'!K56+'Athletic Concessions -Kitchen'!K56+'Starbucks BBC'!K56+'Moes BBC'!K56+'Grille Works BBC &amp; Shipping'!K56+'Subway BBC'!K56+'Market Pavillion'!K56+'Chic Fil A BBC'!K56+Panera!K56+'Heritage Market'!K56</f>
        <v>11122.00486077435</v>
      </c>
      <c r="L56" s="80">
        <f t="shared" si="24"/>
        <v>5.0402067921603529E-4</v>
      </c>
      <c r="M56" s="134">
        <f>'POD Breezeway'!M56+'Express GL'!M56+'Starbucks GL-SBX Truck'!M56+'Miro''s'!M56+'Faculty Club'!M56+'Almazar &amp; Brand X'!M56+'Burger King'!M56+Bustelo!M56+Chilis!M56+Einstein!M56+Jamba!M56+'Pollo Tropical'!M56+'Subway GC'!M56+'Sushi Maki'!M56+Panda!M56+'Starbucks Mango'!M56+'Taco Bell'!M56+'Chick-fil-A'!M56+Dunkin!M56+Chipotle!M56+Sergios!M56+'Moes PG5'!M56+'Papa Johns'!M56+Salad!M56+'Half Moon &amp; Trop Smoothie'!M56+'Athletic Concessions -Kitchen'!M56+'Starbucks BBC'!M56+'Moes BBC'!M56+'Grille Works BBC &amp; Shipping'!M56+'Subway BBC'!M56+'Market Pavillion'!M56+'Chic Fil A BBC'!M56+Panera!M56+'Heritage Market'!M56</f>
        <v>11464.083281325959</v>
      </c>
      <c r="N56" s="80">
        <f t="shared" si="25"/>
        <v>5.0408235492615226E-4</v>
      </c>
      <c r="O56" s="134">
        <f>'POD Breezeway'!O56+'Express GL'!O56+'Starbucks GL-SBX Truck'!O56+'Miro''s'!O56+'Faculty Club'!O56+'Almazar &amp; Brand X'!O56+'Burger King'!O56+Bustelo!O56+Chilis!O56+Einstein!O56+Jamba!O56+'Pollo Tropical'!O56+'Subway GC'!O56+'Sushi Maki'!O56+Panda!O56+'Starbucks Mango'!O56+'Taco Bell'!O56+'Chick-fil-A'!O56+Dunkin!O56+Chipotle!O56+Sergios!O56+'Moes PG5'!O56+'Papa Johns'!O56+Salad!O56+'Half Moon &amp; Trop Smoothie'!O56+'Athletic Concessions -Kitchen'!O56+'Starbucks BBC'!O56+'Moes BBC'!O56+'Grille Works BBC &amp; Shipping'!O56+'Subway BBC'!O56+'Market Pavillion'!O56+'Chic Fil A BBC'!O56+Panera!O56+'Heritage Market'!O56</f>
        <v>11825.902616858775</v>
      </c>
      <c r="P56" s="80">
        <f t="shared" si="26"/>
        <v>5.0414791534901082E-4</v>
      </c>
      <c r="Q56" s="134">
        <f>'POD Breezeway'!Q56+'Express GL'!Q56+'Starbucks GL-SBX Truck'!Q56+'Miro''s'!Q56+'Faculty Club'!Q56+'Almazar &amp; Brand X'!Q56+'Burger King'!Q56+Bustelo!Q56+Chilis!Q56+Einstein!Q56+Jamba!Q56+'Pollo Tropical'!Q56+'Subway GC'!Q56+'Sushi Maki'!Q56+Panda!Q56+'Starbucks Mango'!Q56+'Taco Bell'!Q56+'Chick-fil-A'!Q56+Dunkin!Q56+Chipotle!Q56+Sergios!Q56+'Moes PG5'!Q56+'Papa Johns'!Q56+Salad!Q56+'Half Moon &amp; Trop Smoothie'!Q56+'Athletic Concessions -Kitchen'!Q56+'Starbucks BBC'!Q56+'Moes BBC'!Q56+'Grille Works BBC &amp; Shipping'!Q56+'Subway BBC'!Q56+'Market Pavillion'!Q56+'Chic Fil A BBC'!Q56+Panera!Q56+'Heritage Market'!Q56</f>
        <v>12205.238489444277</v>
      </c>
      <c r="R56" s="80">
        <f t="shared" si="27"/>
        <v>5.0421561600019673E-4</v>
      </c>
      <c r="S56" s="134">
        <f>'POD Breezeway'!S56+'Express GL'!S56+'Starbucks GL-SBX Truck'!S56+'Miro''s'!S56+'Faculty Club'!S56+'Almazar &amp; Brand X'!S56+'Burger King'!S56+Bustelo!S56+Chilis!S56+Einstein!S56+Jamba!S56+'Pollo Tropical'!S56+'Subway GC'!S56+'Sushi Maki'!S56+Panda!S56+'Starbucks Mango'!S56+'Taco Bell'!S56+'Chick-fil-A'!S56+Dunkin!S56+Chipotle!S56+Sergios!S56+'Moes PG5'!S56+'Papa Johns'!S56+Salad!S56+'Half Moon &amp; Trop Smoothie'!S56+'Athletic Concessions -Kitchen'!S56+'Starbucks BBC'!S56+'Moes BBC'!S56+'Grille Works BBC &amp; Shipping'!S56+'Subway BBC'!S56+'Market Pavillion'!S56+'Chic Fil A BBC'!S56+Panera!S56+'Heritage Market'!S56</f>
        <v>12599.930617630878</v>
      </c>
      <c r="T56" s="80">
        <f t="shared" si="28"/>
        <v>5.0428397291718064E-4</v>
      </c>
      <c r="U56" s="134">
        <f>'POD Breezeway'!U56+'Express GL'!U56+'Starbucks GL-SBX Truck'!U56+'Miro''s'!U56+'Faculty Club'!U56+'Almazar &amp; Brand X'!U56+'Burger King'!U56+Bustelo!U56+Chilis!U56+Einstein!U56+Jamba!U56+'Pollo Tropical'!U56+'Subway GC'!U56+'Sushi Maki'!U56+Panda!U56+'Starbucks Mango'!U56+'Taco Bell'!U56+'Chick-fil-A'!U56+Dunkin!U56+Chipotle!U56+Sergios!U56+'Moes PG5'!U56+'Papa Johns'!U56+Salad!U56+'Half Moon &amp; Trop Smoothie'!U56+'Athletic Concessions -Kitchen'!U56+'Starbucks BBC'!U56+'Moes BBC'!U56+'Grille Works BBC &amp; Shipping'!U56+'Subway BBC'!U56+'Market Pavillion'!U56+'Chic Fil A BBC'!U56+Panera!U56+'Heritage Market'!U56</f>
        <v>13010.146895698077</v>
      </c>
      <c r="V56" s="80">
        <f t="shared" si="29"/>
        <v>5.0435271635364449E-4</v>
      </c>
    </row>
    <row r="57" spans="1:22" ht="12.75" customHeight="1">
      <c r="A57" s="2" t="s">
        <v>401</v>
      </c>
      <c r="B57" s="35"/>
      <c r="C57" s="134">
        <f>'POD Breezeway'!C57+'Express GL'!C57+'Starbucks GL-SBX Truck'!C57+'Miro''s'!C57+'Faculty Club'!C57+'Almazar &amp; Brand X'!C57+'Burger King'!C57+Bustelo!C57+Chilis!C57+Einstein!C57+Jamba!C57+'Pollo Tropical'!C57+'Subway GC'!C57+'Sushi Maki'!C57+Panda!C57+'Starbucks Mango'!C57+'Taco Bell'!C57+'Chick-fil-A'!C57+Dunkin!C57+Chipotle!C57+Sergios!C57+'Moes PG5'!C57+'Papa Johns'!C57+Salad!C57+'Half Moon &amp; Trop Smoothie'!C57+'Athletic Concessions -Kitchen'!C57+'Starbucks BBC'!C57+'Moes BBC'!C57+'Grille Works BBC &amp; Shipping'!C57+'Subway BBC'!C57+'Market Pavillion'!C57+'Chic Fil A BBC'!C57+Panera!C57+'Heritage Market'!C57</f>
        <v>0</v>
      </c>
      <c r="D57" s="80">
        <f t="shared" si="20"/>
        <v>0</v>
      </c>
      <c r="E57" s="134">
        <f>'POD Breezeway'!E57+'Express GL'!E57+'Starbucks GL-SBX Truck'!E57+'Miro''s'!E57+'Faculty Club'!E57+'Almazar &amp; Brand X'!E57+'Burger King'!E57+Bustelo!E57+Chilis!E57+Einstein!E57+Jamba!E57+'Pollo Tropical'!E57+'Subway GC'!E57+'Sushi Maki'!E57+Panda!E57+'Starbucks Mango'!E57+'Taco Bell'!E57+'Chick-fil-A'!E57+Dunkin!E57+Chipotle!E57+Sergios!E57+'Moes PG5'!E57+'Papa Johns'!E57+Salad!E57+'Half Moon &amp; Trop Smoothie'!E57+'Athletic Concessions -Kitchen'!E57+'Starbucks BBC'!E57+'Moes BBC'!E57+'Grille Works BBC &amp; Shipping'!E57+'Subway BBC'!E57+'Market Pavillion'!E57+'Chic Fil A BBC'!E57+Panera!E57+'Heritage Market'!E57</f>
        <v>0</v>
      </c>
      <c r="F57" s="80">
        <f t="shared" si="21"/>
        <v>0</v>
      </c>
      <c r="G57" s="134">
        <f>'POD Breezeway'!G57+'Express GL'!G57+'Starbucks GL-SBX Truck'!G57+'Miro''s'!G57+'Faculty Club'!G57+'Almazar &amp; Brand X'!G57+'Burger King'!G57+Bustelo!G57+Chilis!G57+Einstein!G57+Jamba!G57+'Pollo Tropical'!G57+'Subway GC'!G57+'Sushi Maki'!G57+Panda!G57+'Starbucks Mango'!G57+'Taco Bell'!G57+'Chick-fil-A'!G57+Dunkin!G57+Chipotle!G57+Sergios!G57+'Moes PG5'!G57+'Papa Johns'!G57+Salad!G57+'Half Moon &amp; Trop Smoothie'!G57+'Athletic Concessions -Kitchen'!G57+'Starbucks BBC'!G57+'Moes BBC'!G57+'Grille Works BBC &amp; Shipping'!G57+'Subway BBC'!G57+'Market Pavillion'!G57+'Chic Fil A BBC'!G57+Panera!G57+'Heritage Market'!G57</f>
        <v>0</v>
      </c>
      <c r="H57" s="80">
        <f t="shared" si="22"/>
        <v>0</v>
      </c>
      <c r="I57" s="134">
        <f>'POD Breezeway'!I57+'Express GL'!I57+'Starbucks GL-SBX Truck'!I57+'Miro''s'!I57+'Faculty Club'!I57+'Almazar &amp; Brand X'!I57+'Burger King'!I57+Bustelo!I57+Chilis!I57+Einstein!I57+Jamba!I57+'Pollo Tropical'!I57+'Subway GC'!I57+'Sushi Maki'!I57+Panda!I57+'Starbucks Mango'!I57+'Taco Bell'!I57+'Chick-fil-A'!I57+Dunkin!I57+Chipotle!I57+Sergios!I57+'Moes PG5'!I57+'Papa Johns'!I57+Salad!I57+'Half Moon &amp; Trop Smoothie'!I57+'Athletic Concessions -Kitchen'!I57+'Starbucks BBC'!I57+'Moes BBC'!I57+'Grille Works BBC &amp; Shipping'!I57+'Subway BBC'!I57+'Market Pavillion'!I57+'Chic Fil A BBC'!I57+Panera!I57+'Heritage Market'!I57</f>
        <v>0</v>
      </c>
      <c r="J57" s="80">
        <f t="shared" si="23"/>
        <v>0</v>
      </c>
      <c r="K57" s="134">
        <f>'POD Breezeway'!K57+'Express GL'!K57+'Starbucks GL-SBX Truck'!K57+'Miro''s'!K57+'Faculty Club'!K57+'Almazar &amp; Brand X'!K57+'Burger King'!K57+Bustelo!K57+Chilis!K57+Einstein!K57+Jamba!K57+'Pollo Tropical'!K57+'Subway GC'!K57+'Sushi Maki'!K57+Panda!K57+'Starbucks Mango'!K57+'Taco Bell'!K57+'Chick-fil-A'!K57+Dunkin!K57+Chipotle!K57+Sergios!K57+'Moes PG5'!K57+'Papa Johns'!K57+Salad!K57+'Half Moon &amp; Trop Smoothie'!K57+'Athletic Concessions -Kitchen'!K57+'Starbucks BBC'!K57+'Moes BBC'!K57+'Grille Works BBC &amp; Shipping'!K57+'Subway BBC'!K57+'Market Pavillion'!K57+'Chic Fil A BBC'!K57+Panera!K57+'Heritage Market'!K57</f>
        <v>0</v>
      </c>
      <c r="L57" s="80">
        <f t="shared" si="24"/>
        <v>0</v>
      </c>
      <c r="M57" s="134">
        <f>'POD Breezeway'!M57+'Express GL'!M57+'Starbucks GL-SBX Truck'!M57+'Miro''s'!M57+'Faculty Club'!M57+'Almazar &amp; Brand X'!M57+'Burger King'!M57+Bustelo!M57+Chilis!M57+Einstein!M57+Jamba!M57+'Pollo Tropical'!M57+'Subway GC'!M57+'Sushi Maki'!M57+Panda!M57+'Starbucks Mango'!M57+'Taco Bell'!M57+'Chick-fil-A'!M57+Dunkin!M57+Chipotle!M57+Sergios!M57+'Moes PG5'!M57+'Papa Johns'!M57+Salad!M57+'Half Moon &amp; Trop Smoothie'!M57+'Athletic Concessions -Kitchen'!M57+'Starbucks BBC'!M57+'Moes BBC'!M57+'Grille Works BBC &amp; Shipping'!M57+'Subway BBC'!M57+'Market Pavillion'!M57+'Chic Fil A BBC'!M57+Panera!M57+'Heritage Market'!M57</f>
        <v>0</v>
      </c>
      <c r="N57" s="80">
        <f t="shared" si="25"/>
        <v>0</v>
      </c>
      <c r="O57" s="134">
        <f>'POD Breezeway'!O57+'Express GL'!O57+'Starbucks GL-SBX Truck'!O57+'Miro''s'!O57+'Faculty Club'!O57+'Almazar &amp; Brand X'!O57+'Burger King'!O57+Bustelo!O57+Chilis!O57+Einstein!O57+Jamba!O57+'Pollo Tropical'!O57+'Subway GC'!O57+'Sushi Maki'!O57+Panda!O57+'Starbucks Mango'!O57+'Taco Bell'!O57+'Chick-fil-A'!O57+Dunkin!O57+Chipotle!O57+Sergios!O57+'Moes PG5'!O57+'Papa Johns'!O57+Salad!O57+'Half Moon &amp; Trop Smoothie'!O57+'Athletic Concessions -Kitchen'!O57+'Starbucks BBC'!O57+'Moes BBC'!O57+'Grille Works BBC &amp; Shipping'!O57+'Subway BBC'!O57+'Market Pavillion'!O57+'Chic Fil A BBC'!O57+Panera!O57+'Heritage Market'!O57</f>
        <v>0</v>
      </c>
      <c r="P57" s="80">
        <f t="shared" si="26"/>
        <v>0</v>
      </c>
      <c r="Q57" s="134">
        <f>'POD Breezeway'!Q57+'Express GL'!Q57+'Starbucks GL-SBX Truck'!Q57+'Miro''s'!Q57+'Faculty Club'!Q57+'Almazar &amp; Brand X'!Q57+'Burger King'!Q57+Bustelo!Q57+Chilis!Q57+Einstein!Q57+Jamba!Q57+'Pollo Tropical'!Q57+'Subway GC'!Q57+'Sushi Maki'!Q57+Panda!Q57+'Starbucks Mango'!Q57+'Taco Bell'!Q57+'Chick-fil-A'!Q57+Dunkin!Q57+Chipotle!Q57+Sergios!Q57+'Moes PG5'!Q57+'Papa Johns'!Q57+Salad!Q57+'Half Moon &amp; Trop Smoothie'!Q57+'Athletic Concessions -Kitchen'!Q57+'Starbucks BBC'!Q57+'Moes BBC'!Q57+'Grille Works BBC &amp; Shipping'!Q57+'Subway BBC'!Q57+'Market Pavillion'!Q57+'Chic Fil A BBC'!Q57+Panera!Q57+'Heritage Market'!Q57</f>
        <v>0</v>
      </c>
      <c r="R57" s="80">
        <f t="shared" si="27"/>
        <v>0</v>
      </c>
      <c r="S57" s="134">
        <f>'POD Breezeway'!S57+'Express GL'!S57+'Starbucks GL-SBX Truck'!S57+'Miro''s'!S57+'Faculty Club'!S57+'Almazar &amp; Brand X'!S57+'Burger King'!S57+Bustelo!S57+Chilis!S57+Einstein!S57+Jamba!S57+'Pollo Tropical'!S57+'Subway GC'!S57+'Sushi Maki'!S57+Panda!S57+'Starbucks Mango'!S57+'Taco Bell'!S57+'Chick-fil-A'!S57+Dunkin!S57+Chipotle!S57+Sergios!S57+'Moes PG5'!S57+'Papa Johns'!S57+Salad!S57+'Half Moon &amp; Trop Smoothie'!S57+'Athletic Concessions -Kitchen'!S57+'Starbucks BBC'!S57+'Moes BBC'!S57+'Grille Works BBC &amp; Shipping'!S57+'Subway BBC'!S57+'Market Pavillion'!S57+'Chic Fil A BBC'!S57+Panera!S57+'Heritage Market'!S57</f>
        <v>0</v>
      </c>
      <c r="T57" s="80">
        <f t="shared" si="28"/>
        <v>0</v>
      </c>
      <c r="U57" s="134">
        <f>'POD Breezeway'!U57+'Express GL'!U57+'Starbucks GL-SBX Truck'!U57+'Miro''s'!U57+'Faculty Club'!U57+'Almazar &amp; Brand X'!U57+'Burger King'!U57+Bustelo!U57+Chilis!U57+Einstein!U57+Jamba!U57+'Pollo Tropical'!U57+'Subway GC'!U57+'Sushi Maki'!U57+Panda!U57+'Starbucks Mango'!U57+'Taco Bell'!U57+'Chick-fil-A'!U57+Dunkin!U57+Chipotle!U57+Sergios!U57+'Moes PG5'!U57+'Papa Johns'!U57+Salad!U57+'Half Moon &amp; Trop Smoothie'!U57+'Athletic Concessions -Kitchen'!U57+'Starbucks BBC'!U57+'Moes BBC'!U57+'Grille Works BBC &amp; Shipping'!U57+'Subway BBC'!U57+'Market Pavillion'!U57+'Chic Fil A BBC'!U57+Panera!U57+'Heritage Market'!U57</f>
        <v>0</v>
      </c>
      <c r="V57" s="80">
        <f t="shared" si="29"/>
        <v>0</v>
      </c>
    </row>
    <row r="58" spans="1:22" ht="12.75" customHeight="1">
      <c r="A58" s="2" t="s">
        <v>402</v>
      </c>
      <c r="B58" s="35"/>
      <c r="C58" s="134">
        <f>'POD Breezeway'!C58+'Express GL'!C58+'Starbucks GL-SBX Truck'!C58+'Miro''s'!C58+'Faculty Club'!C58+'Almazar &amp; Brand X'!C58+'Burger King'!C58+Bustelo!C58+Chilis!C58+Einstein!C58+Jamba!C58+'Pollo Tropical'!C58+'Subway GC'!C58+'Sushi Maki'!C58+Panda!C58+'Starbucks Mango'!C58+'Taco Bell'!C58+'Chick-fil-A'!C58+Dunkin!C58+Chipotle!C58+Sergios!C58+'Moes PG5'!C58+'Papa Johns'!C58+Salad!C58+'Half Moon &amp; Trop Smoothie'!C58+'Athletic Concessions -Kitchen'!C58+'Starbucks BBC'!C58+'Moes BBC'!C58+'Grille Works BBC &amp; Shipping'!C58+'Subway BBC'!C58+'Market Pavillion'!C58+'Chic Fil A BBC'!C58+Panera!C58+'Heritage Market'!C58</f>
        <v>0</v>
      </c>
      <c r="D58" s="80">
        <f t="shared" si="20"/>
        <v>0</v>
      </c>
      <c r="E58" s="134">
        <f>'POD Breezeway'!E58+'Express GL'!E58+'Starbucks GL-SBX Truck'!E58+'Miro''s'!E58+'Faculty Club'!E58+'Almazar &amp; Brand X'!E58+'Burger King'!E58+Bustelo!E58+Chilis!E58+Einstein!E58+Jamba!E58+'Pollo Tropical'!E58+'Subway GC'!E58+'Sushi Maki'!E58+Panda!E58+'Starbucks Mango'!E58+'Taco Bell'!E58+'Chick-fil-A'!E58+Dunkin!E58+Chipotle!E58+Sergios!E58+'Moes PG5'!E58+'Papa Johns'!E58+Salad!E58+'Half Moon &amp; Trop Smoothie'!E58+'Athletic Concessions -Kitchen'!E58+'Starbucks BBC'!E58+'Moes BBC'!E58+'Grille Works BBC &amp; Shipping'!E58+'Subway BBC'!E58+'Market Pavillion'!E58+'Chic Fil A BBC'!E58+Panera!E58+'Heritage Market'!E58</f>
        <v>0</v>
      </c>
      <c r="F58" s="80">
        <f t="shared" si="21"/>
        <v>0</v>
      </c>
      <c r="G58" s="134">
        <f>'POD Breezeway'!G58+'Express GL'!G58+'Starbucks GL-SBX Truck'!G58+'Miro''s'!G58+'Faculty Club'!G58+'Almazar &amp; Brand X'!G58+'Burger King'!G58+Bustelo!G58+Chilis!G58+Einstein!G58+Jamba!G58+'Pollo Tropical'!G58+'Subway GC'!G58+'Sushi Maki'!G58+Panda!G58+'Starbucks Mango'!G58+'Taco Bell'!G58+'Chick-fil-A'!G58+Dunkin!G58+Chipotle!G58+Sergios!G58+'Moes PG5'!G58+'Papa Johns'!G58+Salad!G58+'Half Moon &amp; Trop Smoothie'!G58+'Athletic Concessions -Kitchen'!G58+'Starbucks BBC'!G58+'Moes BBC'!G58+'Grille Works BBC &amp; Shipping'!G58+'Subway BBC'!G58+'Market Pavillion'!G58+'Chic Fil A BBC'!G58+Panera!G58+'Heritage Market'!G58</f>
        <v>0</v>
      </c>
      <c r="H58" s="80">
        <f t="shared" si="22"/>
        <v>0</v>
      </c>
      <c r="I58" s="134">
        <f>'POD Breezeway'!I58+'Express GL'!I58+'Starbucks GL-SBX Truck'!I58+'Miro''s'!I58+'Faculty Club'!I58+'Almazar &amp; Brand X'!I58+'Burger King'!I58+Bustelo!I58+Chilis!I58+Einstein!I58+Jamba!I58+'Pollo Tropical'!I58+'Subway GC'!I58+'Sushi Maki'!I58+Panda!I58+'Starbucks Mango'!I58+'Taco Bell'!I58+'Chick-fil-A'!I58+Dunkin!I58+Chipotle!I58+Sergios!I58+'Moes PG5'!I58+'Papa Johns'!I58+Salad!I58+'Half Moon &amp; Trop Smoothie'!I58+'Athletic Concessions -Kitchen'!I58+'Starbucks BBC'!I58+'Moes BBC'!I58+'Grille Works BBC &amp; Shipping'!I58+'Subway BBC'!I58+'Market Pavillion'!I58+'Chic Fil A BBC'!I58+Panera!I58+'Heritage Market'!I58</f>
        <v>0</v>
      </c>
      <c r="J58" s="80">
        <f t="shared" si="23"/>
        <v>0</v>
      </c>
      <c r="K58" s="134">
        <f>'POD Breezeway'!K58+'Express GL'!K58+'Starbucks GL-SBX Truck'!K58+'Miro''s'!K58+'Faculty Club'!K58+'Almazar &amp; Brand X'!K58+'Burger King'!K58+Bustelo!K58+Chilis!K58+Einstein!K58+Jamba!K58+'Pollo Tropical'!K58+'Subway GC'!K58+'Sushi Maki'!K58+Panda!K58+'Starbucks Mango'!K58+'Taco Bell'!K58+'Chick-fil-A'!K58+Dunkin!K58+Chipotle!K58+Sergios!K58+'Moes PG5'!K58+'Papa Johns'!K58+Salad!K58+'Half Moon &amp; Trop Smoothie'!K58+'Athletic Concessions -Kitchen'!K58+'Starbucks BBC'!K58+'Moes BBC'!K58+'Grille Works BBC &amp; Shipping'!K58+'Subway BBC'!K58+'Market Pavillion'!K58+'Chic Fil A BBC'!K58+Panera!K58+'Heritage Market'!K58</f>
        <v>0</v>
      </c>
      <c r="L58" s="80">
        <f t="shared" si="24"/>
        <v>0</v>
      </c>
      <c r="M58" s="134">
        <f>'POD Breezeway'!M58+'Express GL'!M58+'Starbucks GL-SBX Truck'!M58+'Miro''s'!M58+'Faculty Club'!M58+'Almazar &amp; Brand X'!M58+'Burger King'!M58+Bustelo!M58+Chilis!M58+Einstein!M58+Jamba!M58+'Pollo Tropical'!M58+'Subway GC'!M58+'Sushi Maki'!M58+Panda!M58+'Starbucks Mango'!M58+'Taco Bell'!M58+'Chick-fil-A'!M58+Dunkin!M58+Chipotle!M58+Sergios!M58+'Moes PG5'!M58+'Papa Johns'!M58+Salad!M58+'Half Moon &amp; Trop Smoothie'!M58+'Athletic Concessions -Kitchen'!M58+'Starbucks BBC'!M58+'Moes BBC'!M58+'Grille Works BBC &amp; Shipping'!M58+'Subway BBC'!M58+'Market Pavillion'!M58+'Chic Fil A BBC'!M58+Panera!M58+'Heritage Market'!M58</f>
        <v>0</v>
      </c>
      <c r="N58" s="80">
        <f t="shared" si="25"/>
        <v>0</v>
      </c>
      <c r="O58" s="134">
        <f>'POD Breezeway'!O58+'Express GL'!O58+'Starbucks GL-SBX Truck'!O58+'Miro''s'!O58+'Faculty Club'!O58+'Almazar &amp; Brand X'!O58+'Burger King'!O58+Bustelo!O58+Chilis!O58+Einstein!O58+Jamba!O58+'Pollo Tropical'!O58+'Subway GC'!O58+'Sushi Maki'!O58+Panda!O58+'Starbucks Mango'!O58+'Taco Bell'!O58+'Chick-fil-A'!O58+Dunkin!O58+Chipotle!O58+Sergios!O58+'Moes PG5'!O58+'Papa Johns'!O58+Salad!O58+'Half Moon &amp; Trop Smoothie'!O58+'Athletic Concessions -Kitchen'!O58+'Starbucks BBC'!O58+'Moes BBC'!O58+'Grille Works BBC &amp; Shipping'!O58+'Subway BBC'!O58+'Market Pavillion'!O58+'Chic Fil A BBC'!O58+Panera!O58+'Heritage Market'!O58</f>
        <v>0</v>
      </c>
      <c r="P58" s="80">
        <f t="shared" si="26"/>
        <v>0</v>
      </c>
      <c r="Q58" s="134">
        <f>'POD Breezeway'!Q58+'Express GL'!Q58+'Starbucks GL-SBX Truck'!Q58+'Miro''s'!Q58+'Faculty Club'!Q58+'Almazar &amp; Brand X'!Q58+'Burger King'!Q58+Bustelo!Q58+Chilis!Q58+Einstein!Q58+Jamba!Q58+'Pollo Tropical'!Q58+'Subway GC'!Q58+'Sushi Maki'!Q58+Panda!Q58+'Starbucks Mango'!Q58+'Taco Bell'!Q58+'Chick-fil-A'!Q58+Dunkin!Q58+Chipotle!Q58+Sergios!Q58+'Moes PG5'!Q58+'Papa Johns'!Q58+Salad!Q58+'Half Moon &amp; Trop Smoothie'!Q58+'Athletic Concessions -Kitchen'!Q58+'Starbucks BBC'!Q58+'Moes BBC'!Q58+'Grille Works BBC &amp; Shipping'!Q58+'Subway BBC'!Q58+'Market Pavillion'!Q58+'Chic Fil A BBC'!Q58+Panera!Q58+'Heritage Market'!Q58</f>
        <v>0</v>
      </c>
      <c r="R58" s="80">
        <f t="shared" si="27"/>
        <v>0</v>
      </c>
      <c r="S58" s="134">
        <f>'POD Breezeway'!S58+'Express GL'!S58+'Starbucks GL-SBX Truck'!S58+'Miro''s'!S58+'Faculty Club'!S58+'Almazar &amp; Brand X'!S58+'Burger King'!S58+Bustelo!S58+Chilis!S58+Einstein!S58+Jamba!S58+'Pollo Tropical'!S58+'Subway GC'!S58+'Sushi Maki'!S58+Panda!S58+'Starbucks Mango'!S58+'Taco Bell'!S58+'Chick-fil-A'!S58+Dunkin!S58+Chipotle!S58+Sergios!S58+'Moes PG5'!S58+'Papa Johns'!S58+Salad!S58+'Half Moon &amp; Trop Smoothie'!S58+'Athletic Concessions -Kitchen'!S58+'Starbucks BBC'!S58+'Moes BBC'!S58+'Grille Works BBC &amp; Shipping'!S58+'Subway BBC'!S58+'Market Pavillion'!S58+'Chic Fil A BBC'!S58+Panera!S58+'Heritage Market'!S58</f>
        <v>0</v>
      </c>
      <c r="T58" s="80">
        <f t="shared" si="28"/>
        <v>0</v>
      </c>
      <c r="U58" s="134">
        <f>'POD Breezeway'!U58+'Express GL'!U58+'Starbucks GL-SBX Truck'!U58+'Miro''s'!U58+'Faculty Club'!U58+'Almazar &amp; Brand X'!U58+'Burger King'!U58+Bustelo!U58+Chilis!U58+Einstein!U58+Jamba!U58+'Pollo Tropical'!U58+'Subway GC'!U58+'Sushi Maki'!U58+Panda!U58+'Starbucks Mango'!U58+'Taco Bell'!U58+'Chick-fil-A'!U58+Dunkin!U58+Chipotle!U58+Sergios!U58+'Moes PG5'!U58+'Papa Johns'!U58+Salad!U58+'Half Moon &amp; Trop Smoothie'!U58+'Athletic Concessions -Kitchen'!U58+'Starbucks BBC'!U58+'Moes BBC'!U58+'Grille Works BBC &amp; Shipping'!U58+'Subway BBC'!U58+'Market Pavillion'!U58+'Chic Fil A BBC'!U58+Panera!U58+'Heritage Market'!U58</f>
        <v>0</v>
      </c>
      <c r="V58" s="80">
        <f t="shared" si="29"/>
        <v>0</v>
      </c>
    </row>
    <row r="59" spans="1:22" ht="12.75" customHeight="1">
      <c r="A59" s="2" t="s">
        <v>403</v>
      </c>
      <c r="B59" s="35"/>
      <c r="C59" s="134">
        <f>'POD Breezeway'!C59+'Express GL'!C59+'Starbucks GL-SBX Truck'!C59+'Miro''s'!C59+'Faculty Club'!C59+'Almazar &amp; Brand X'!C59+'Burger King'!C59+Bustelo!C59+Chilis!C59+Einstein!C59+Jamba!C59+'Pollo Tropical'!C59+'Subway GC'!C59+'Sushi Maki'!C59+Panda!C59+'Starbucks Mango'!C59+'Taco Bell'!C59+'Chick-fil-A'!C59+Dunkin!C59+Chipotle!C59+Sergios!C59+'Moes PG5'!C59+'Papa Johns'!C59+Salad!C59+'Half Moon &amp; Trop Smoothie'!C59+'Athletic Concessions -Kitchen'!C59+'Starbucks BBC'!C59+'Moes BBC'!C59+'Grille Works BBC &amp; Shipping'!C59+'Subway BBC'!C59+'Market Pavillion'!C59+'Chic Fil A BBC'!C59+Panera!C59+'Heritage Market'!C59</f>
        <v>0</v>
      </c>
      <c r="D59" s="80">
        <f t="shared" si="20"/>
        <v>0</v>
      </c>
      <c r="E59" s="134">
        <f>'POD Breezeway'!E59+'Express GL'!E59+'Starbucks GL-SBX Truck'!E59+'Miro''s'!E59+'Faculty Club'!E59+'Almazar &amp; Brand X'!E59+'Burger King'!E59+Bustelo!E59+Chilis!E59+Einstein!E59+Jamba!E59+'Pollo Tropical'!E59+'Subway GC'!E59+'Sushi Maki'!E59+Panda!E59+'Starbucks Mango'!E59+'Taco Bell'!E59+'Chick-fil-A'!E59+Dunkin!E59+Chipotle!E59+Sergios!E59+'Moes PG5'!E59+'Papa Johns'!E59+Salad!E59+'Half Moon &amp; Trop Smoothie'!E59+'Athletic Concessions -Kitchen'!E59+'Starbucks BBC'!E59+'Moes BBC'!E59+'Grille Works BBC &amp; Shipping'!E59+'Subway BBC'!E59+'Market Pavillion'!E59+'Chic Fil A BBC'!E59+Panera!E59+'Heritage Market'!E59</f>
        <v>0</v>
      </c>
      <c r="F59" s="80">
        <f t="shared" si="21"/>
        <v>0</v>
      </c>
      <c r="G59" s="134">
        <f>'POD Breezeway'!G59+'Express GL'!G59+'Starbucks GL-SBX Truck'!G59+'Miro''s'!G59+'Faculty Club'!G59+'Almazar &amp; Brand X'!G59+'Burger King'!G59+Bustelo!G59+Chilis!G59+Einstein!G59+Jamba!G59+'Pollo Tropical'!G59+'Subway GC'!G59+'Sushi Maki'!G59+Panda!G59+'Starbucks Mango'!G59+'Taco Bell'!G59+'Chick-fil-A'!G59+Dunkin!G59+Chipotle!G59+Sergios!G59+'Moes PG5'!G59+'Papa Johns'!G59+Salad!G59+'Half Moon &amp; Trop Smoothie'!G59+'Athletic Concessions -Kitchen'!G59+'Starbucks BBC'!G59+'Moes BBC'!G59+'Grille Works BBC &amp; Shipping'!G59+'Subway BBC'!G59+'Market Pavillion'!G59+'Chic Fil A BBC'!G59+Panera!G59+'Heritage Market'!G59</f>
        <v>0</v>
      </c>
      <c r="H59" s="80">
        <f t="shared" si="22"/>
        <v>0</v>
      </c>
      <c r="I59" s="134">
        <f>'POD Breezeway'!I59+'Express GL'!I59+'Starbucks GL-SBX Truck'!I59+'Miro''s'!I59+'Faculty Club'!I59+'Almazar &amp; Brand X'!I59+'Burger King'!I59+Bustelo!I59+Chilis!I59+Einstein!I59+Jamba!I59+'Pollo Tropical'!I59+'Subway GC'!I59+'Sushi Maki'!I59+Panda!I59+'Starbucks Mango'!I59+'Taco Bell'!I59+'Chick-fil-A'!I59+Dunkin!I59+Chipotle!I59+Sergios!I59+'Moes PG5'!I59+'Papa Johns'!I59+Salad!I59+'Half Moon &amp; Trop Smoothie'!I59+'Athletic Concessions -Kitchen'!I59+'Starbucks BBC'!I59+'Moes BBC'!I59+'Grille Works BBC &amp; Shipping'!I59+'Subway BBC'!I59+'Market Pavillion'!I59+'Chic Fil A BBC'!I59+Panera!I59+'Heritage Market'!I59</f>
        <v>0</v>
      </c>
      <c r="J59" s="80">
        <f t="shared" si="23"/>
        <v>0</v>
      </c>
      <c r="K59" s="134">
        <f>'POD Breezeway'!K59+'Express GL'!K59+'Starbucks GL-SBX Truck'!K59+'Miro''s'!K59+'Faculty Club'!K59+'Almazar &amp; Brand X'!K59+'Burger King'!K59+Bustelo!K59+Chilis!K59+Einstein!K59+Jamba!K59+'Pollo Tropical'!K59+'Subway GC'!K59+'Sushi Maki'!K59+Panda!K59+'Starbucks Mango'!K59+'Taco Bell'!K59+'Chick-fil-A'!K59+Dunkin!K59+Chipotle!K59+Sergios!K59+'Moes PG5'!K59+'Papa Johns'!K59+Salad!K59+'Half Moon &amp; Trop Smoothie'!K59+'Athletic Concessions -Kitchen'!K59+'Starbucks BBC'!K59+'Moes BBC'!K59+'Grille Works BBC &amp; Shipping'!K59+'Subway BBC'!K59+'Market Pavillion'!K59+'Chic Fil A BBC'!K59+Panera!K59+'Heritage Market'!K59</f>
        <v>0</v>
      </c>
      <c r="L59" s="80">
        <f t="shared" si="24"/>
        <v>0</v>
      </c>
      <c r="M59" s="134">
        <f>'POD Breezeway'!M59+'Express GL'!M59+'Starbucks GL-SBX Truck'!M59+'Miro''s'!M59+'Faculty Club'!M59+'Almazar &amp; Brand X'!M59+'Burger King'!M59+Bustelo!M59+Chilis!M59+Einstein!M59+Jamba!M59+'Pollo Tropical'!M59+'Subway GC'!M59+'Sushi Maki'!M59+Panda!M59+'Starbucks Mango'!M59+'Taco Bell'!M59+'Chick-fil-A'!M59+Dunkin!M59+Chipotle!M59+Sergios!M59+'Moes PG5'!M59+'Papa Johns'!M59+Salad!M59+'Half Moon &amp; Trop Smoothie'!M59+'Athletic Concessions -Kitchen'!M59+'Starbucks BBC'!M59+'Moes BBC'!M59+'Grille Works BBC &amp; Shipping'!M59+'Subway BBC'!M59+'Market Pavillion'!M59+'Chic Fil A BBC'!M59+Panera!M59+'Heritage Market'!M59</f>
        <v>0</v>
      </c>
      <c r="N59" s="80">
        <f t="shared" si="25"/>
        <v>0</v>
      </c>
      <c r="O59" s="134">
        <f>'POD Breezeway'!O59+'Express GL'!O59+'Starbucks GL-SBX Truck'!O59+'Miro''s'!O59+'Faculty Club'!O59+'Almazar &amp; Brand X'!O59+'Burger King'!O59+Bustelo!O59+Chilis!O59+Einstein!O59+Jamba!O59+'Pollo Tropical'!O59+'Subway GC'!O59+'Sushi Maki'!O59+Panda!O59+'Starbucks Mango'!O59+'Taco Bell'!O59+'Chick-fil-A'!O59+Dunkin!O59+Chipotle!O59+Sergios!O59+'Moes PG5'!O59+'Papa Johns'!O59+Salad!O59+'Half Moon &amp; Trop Smoothie'!O59+'Athletic Concessions -Kitchen'!O59+'Starbucks BBC'!O59+'Moes BBC'!O59+'Grille Works BBC &amp; Shipping'!O59+'Subway BBC'!O59+'Market Pavillion'!O59+'Chic Fil A BBC'!O59+Panera!O59+'Heritage Market'!O59</f>
        <v>0</v>
      </c>
      <c r="P59" s="80">
        <f t="shared" si="26"/>
        <v>0</v>
      </c>
      <c r="Q59" s="134">
        <f>'POD Breezeway'!Q59+'Express GL'!Q59+'Starbucks GL-SBX Truck'!Q59+'Miro''s'!Q59+'Faculty Club'!Q59+'Almazar &amp; Brand X'!Q59+'Burger King'!Q59+Bustelo!Q59+Chilis!Q59+Einstein!Q59+Jamba!Q59+'Pollo Tropical'!Q59+'Subway GC'!Q59+'Sushi Maki'!Q59+Panda!Q59+'Starbucks Mango'!Q59+'Taco Bell'!Q59+'Chick-fil-A'!Q59+Dunkin!Q59+Chipotle!Q59+Sergios!Q59+'Moes PG5'!Q59+'Papa Johns'!Q59+Salad!Q59+'Half Moon &amp; Trop Smoothie'!Q59+'Athletic Concessions -Kitchen'!Q59+'Starbucks BBC'!Q59+'Moes BBC'!Q59+'Grille Works BBC &amp; Shipping'!Q59+'Subway BBC'!Q59+'Market Pavillion'!Q59+'Chic Fil A BBC'!Q59+Panera!Q59+'Heritage Market'!Q59</f>
        <v>0</v>
      </c>
      <c r="R59" s="80">
        <f t="shared" si="27"/>
        <v>0</v>
      </c>
      <c r="S59" s="134">
        <f>'POD Breezeway'!S59+'Express GL'!S59+'Starbucks GL-SBX Truck'!S59+'Miro''s'!S59+'Faculty Club'!S59+'Almazar &amp; Brand X'!S59+'Burger King'!S59+Bustelo!S59+Chilis!S59+Einstein!S59+Jamba!S59+'Pollo Tropical'!S59+'Subway GC'!S59+'Sushi Maki'!S59+Panda!S59+'Starbucks Mango'!S59+'Taco Bell'!S59+'Chick-fil-A'!S59+Dunkin!S59+Chipotle!S59+Sergios!S59+'Moes PG5'!S59+'Papa Johns'!S59+Salad!S59+'Half Moon &amp; Trop Smoothie'!S59+'Athletic Concessions -Kitchen'!S59+'Starbucks BBC'!S59+'Moes BBC'!S59+'Grille Works BBC &amp; Shipping'!S59+'Subway BBC'!S59+'Market Pavillion'!S59+'Chic Fil A BBC'!S59+Panera!S59+'Heritage Market'!S59</f>
        <v>0</v>
      </c>
      <c r="T59" s="80">
        <f t="shared" si="28"/>
        <v>0</v>
      </c>
      <c r="U59" s="134">
        <f>'POD Breezeway'!U59+'Express GL'!U59+'Starbucks GL-SBX Truck'!U59+'Miro''s'!U59+'Faculty Club'!U59+'Almazar &amp; Brand X'!U59+'Burger King'!U59+Bustelo!U59+Chilis!U59+Einstein!U59+Jamba!U59+'Pollo Tropical'!U59+'Subway GC'!U59+'Sushi Maki'!U59+Panda!U59+'Starbucks Mango'!U59+'Taco Bell'!U59+'Chick-fil-A'!U59+Dunkin!U59+Chipotle!U59+Sergios!U59+'Moes PG5'!U59+'Papa Johns'!U59+Salad!U59+'Half Moon &amp; Trop Smoothie'!U59+'Athletic Concessions -Kitchen'!U59+'Starbucks BBC'!U59+'Moes BBC'!U59+'Grille Works BBC &amp; Shipping'!U59+'Subway BBC'!U59+'Market Pavillion'!U59+'Chic Fil A BBC'!U59+Panera!U59+'Heritage Market'!U59</f>
        <v>0</v>
      </c>
      <c r="V59" s="80">
        <f t="shared" si="29"/>
        <v>0</v>
      </c>
    </row>
    <row r="60" spans="1:22" ht="12.75" customHeight="1">
      <c r="A60" s="2" t="s">
        <v>404</v>
      </c>
      <c r="B60" s="35"/>
      <c r="C60" s="134">
        <f>'POD Breezeway'!C60+'Express GL'!C60+'Starbucks GL-SBX Truck'!C60+'Miro''s'!C60+'Faculty Club'!C60+'Almazar &amp; Brand X'!C60+'Burger King'!C60+Bustelo!C60+Chilis!C60+Einstein!C60+Jamba!C60+'Pollo Tropical'!C60+'Subway GC'!C60+'Sushi Maki'!C60+Panda!C60+'Starbucks Mango'!C60+'Taco Bell'!C60+'Chick-fil-A'!C60+Dunkin!C60+Chipotle!C60+Sergios!C60+'Moes PG5'!C60+'Papa Johns'!C60+Salad!C60+'Half Moon &amp; Trop Smoothie'!C60+'Athletic Concessions -Kitchen'!C60+'Starbucks BBC'!C60+'Moes BBC'!C60+'Grille Works BBC &amp; Shipping'!C60+'Subway BBC'!C60+'Market Pavillion'!C60+'Chic Fil A BBC'!C60+Panera!C60+'Heritage Market'!C60</f>
        <v>0</v>
      </c>
      <c r="D60" s="80">
        <f t="shared" si="20"/>
        <v>0</v>
      </c>
      <c r="E60" s="134">
        <f>'POD Breezeway'!E60+'Express GL'!E60+'Starbucks GL-SBX Truck'!E60+'Miro''s'!E60+'Faculty Club'!E60+'Almazar &amp; Brand X'!E60+'Burger King'!E60+Bustelo!E60+Chilis!E60+Einstein!E60+Jamba!E60+'Pollo Tropical'!E60+'Subway GC'!E60+'Sushi Maki'!E60+Panda!E60+'Starbucks Mango'!E60+'Taco Bell'!E60+'Chick-fil-A'!E60+Dunkin!E60+Chipotle!E60+Sergios!E60+'Moes PG5'!E60+'Papa Johns'!E60+Salad!E60+'Half Moon &amp; Trop Smoothie'!E60+'Athletic Concessions -Kitchen'!E60+'Starbucks BBC'!E60+'Moes BBC'!E60+'Grille Works BBC &amp; Shipping'!E60+'Subway BBC'!E60+'Market Pavillion'!E60+'Chic Fil A BBC'!E60+Panera!E60+'Heritage Market'!E60</f>
        <v>0</v>
      </c>
      <c r="F60" s="80">
        <f t="shared" si="21"/>
        <v>0</v>
      </c>
      <c r="G60" s="134">
        <f>'POD Breezeway'!G60+'Express GL'!G60+'Starbucks GL-SBX Truck'!G60+'Miro''s'!G60+'Faculty Club'!G60+'Almazar &amp; Brand X'!G60+'Burger King'!G60+Bustelo!G60+Chilis!G60+Einstein!G60+Jamba!G60+'Pollo Tropical'!G60+'Subway GC'!G60+'Sushi Maki'!G60+Panda!G60+'Starbucks Mango'!G60+'Taco Bell'!G60+'Chick-fil-A'!G60+Dunkin!G60+Chipotle!G60+Sergios!G60+'Moes PG5'!G60+'Papa Johns'!G60+Salad!G60+'Half Moon &amp; Trop Smoothie'!G60+'Athletic Concessions -Kitchen'!G60+'Starbucks BBC'!G60+'Moes BBC'!G60+'Grille Works BBC &amp; Shipping'!G60+'Subway BBC'!G60+'Market Pavillion'!G60+'Chic Fil A BBC'!G60+Panera!G60+'Heritage Market'!G60</f>
        <v>0</v>
      </c>
      <c r="H60" s="80">
        <f t="shared" si="22"/>
        <v>0</v>
      </c>
      <c r="I60" s="134">
        <f>'POD Breezeway'!I60+'Express GL'!I60+'Starbucks GL-SBX Truck'!I60+'Miro''s'!I60+'Faculty Club'!I60+'Almazar &amp; Brand X'!I60+'Burger King'!I60+Bustelo!I60+Chilis!I60+Einstein!I60+Jamba!I60+'Pollo Tropical'!I60+'Subway GC'!I60+'Sushi Maki'!I60+Panda!I60+'Starbucks Mango'!I60+'Taco Bell'!I60+'Chick-fil-A'!I60+Dunkin!I60+Chipotle!I60+Sergios!I60+'Moes PG5'!I60+'Papa Johns'!I60+Salad!I60+'Half Moon &amp; Trop Smoothie'!I60+'Athletic Concessions -Kitchen'!I60+'Starbucks BBC'!I60+'Moes BBC'!I60+'Grille Works BBC &amp; Shipping'!I60+'Subway BBC'!I60+'Market Pavillion'!I60+'Chic Fil A BBC'!I60+Panera!I60+'Heritage Market'!I60</f>
        <v>0</v>
      </c>
      <c r="J60" s="80">
        <f t="shared" si="23"/>
        <v>0</v>
      </c>
      <c r="K60" s="134">
        <f>'POD Breezeway'!K60+'Express GL'!K60+'Starbucks GL-SBX Truck'!K60+'Miro''s'!K60+'Faculty Club'!K60+'Almazar &amp; Brand X'!K60+'Burger King'!K60+Bustelo!K60+Chilis!K60+Einstein!K60+Jamba!K60+'Pollo Tropical'!K60+'Subway GC'!K60+'Sushi Maki'!K60+Panda!K60+'Starbucks Mango'!K60+'Taco Bell'!K60+'Chick-fil-A'!K60+Dunkin!K60+Chipotle!K60+Sergios!K60+'Moes PG5'!K60+'Papa Johns'!K60+Salad!K60+'Half Moon &amp; Trop Smoothie'!K60+'Athletic Concessions -Kitchen'!K60+'Starbucks BBC'!K60+'Moes BBC'!K60+'Grille Works BBC &amp; Shipping'!K60+'Subway BBC'!K60+'Market Pavillion'!K60+'Chic Fil A BBC'!K60+Panera!K60+'Heritage Market'!K60</f>
        <v>0</v>
      </c>
      <c r="L60" s="80">
        <f t="shared" si="24"/>
        <v>0</v>
      </c>
      <c r="M60" s="134">
        <f>'POD Breezeway'!M60+'Express GL'!M60+'Starbucks GL-SBX Truck'!M60+'Miro''s'!M60+'Faculty Club'!M60+'Almazar &amp; Brand X'!M60+'Burger King'!M60+Bustelo!M60+Chilis!M60+Einstein!M60+Jamba!M60+'Pollo Tropical'!M60+'Subway GC'!M60+'Sushi Maki'!M60+Panda!M60+'Starbucks Mango'!M60+'Taco Bell'!M60+'Chick-fil-A'!M60+Dunkin!M60+Chipotle!M60+Sergios!M60+'Moes PG5'!M60+'Papa Johns'!M60+Salad!M60+'Half Moon &amp; Trop Smoothie'!M60+'Athletic Concessions -Kitchen'!M60+'Starbucks BBC'!M60+'Moes BBC'!M60+'Grille Works BBC &amp; Shipping'!M60+'Subway BBC'!M60+'Market Pavillion'!M60+'Chic Fil A BBC'!M60+Panera!M60+'Heritage Market'!M60</f>
        <v>0</v>
      </c>
      <c r="N60" s="80">
        <f t="shared" si="25"/>
        <v>0</v>
      </c>
      <c r="O60" s="134">
        <f>'POD Breezeway'!O60+'Express GL'!O60+'Starbucks GL-SBX Truck'!O60+'Miro''s'!O60+'Faculty Club'!O60+'Almazar &amp; Brand X'!O60+'Burger King'!O60+Bustelo!O60+Chilis!O60+Einstein!O60+Jamba!O60+'Pollo Tropical'!O60+'Subway GC'!O60+'Sushi Maki'!O60+Panda!O60+'Starbucks Mango'!O60+'Taco Bell'!O60+'Chick-fil-A'!O60+Dunkin!O60+Chipotle!O60+Sergios!O60+'Moes PG5'!O60+'Papa Johns'!O60+Salad!O60+'Half Moon &amp; Trop Smoothie'!O60+'Athletic Concessions -Kitchen'!O60+'Starbucks BBC'!O60+'Moes BBC'!O60+'Grille Works BBC &amp; Shipping'!O60+'Subway BBC'!O60+'Market Pavillion'!O60+'Chic Fil A BBC'!O60+Panera!O60+'Heritage Market'!O60</f>
        <v>0</v>
      </c>
      <c r="P60" s="80">
        <f t="shared" si="26"/>
        <v>0</v>
      </c>
      <c r="Q60" s="134">
        <f>'POD Breezeway'!Q60+'Express GL'!Q60+'Starbucks GL-SBX Truck'!Q60+'Miro''s'!Q60+'Faculty Club'!Q60+'Almazar &amp; Brand X'!Q60+'Burger King'!Q60+Bustelo!Q60+Chilis!Q60+Einstein!Q60+Jamba!Q60+'Pollo Tropical'!Q60+'Subway GC'!Q60+'Sushi Maki'!Q60+Panda!Q60+'Starbucks Mango'!Q60+'Taco Bell'!Q60+'Chick-fil-A'!Q60+Dunkin!Q60+Chipotle!Q60+Sergios!Q60+'Moes PG5'!Q60+'Papa Johns'!Q60+Salad!Q60+'Half Moon &amp; Trop Smoothie'!Q60+'Athletic Concessions -Kitchen'!Q60+'Starbucks BBC'!Q60+'Moes BBC'!Q60+'Grille Works BBC &amp; Shipping'!Q60+'Subway BBC'!Q60+'Market Pavillion'!Q60+'Chic Fil A BBC'!Q60+Panera!Q60+'Heritage Market'!Q60</f>
        <v>0</v>
      </c>
      <c r="R60" s="80">
        <f t="shared" si="27"/>
        <v>0</v>
      </c>
      <c r="S60" s="134">
        <f>'POD Breezeway'!S60+'Express GL'!S60+'Starbucks GL-SBX Truck'!S60+'Miro''s'!S60+'Faculty Club'!S60+'Almazar &amp; Brand X'!S60+'Burger King'!S60+Bustelo!S60+Chilis!S60+Einstein!S60+Jamba!S60+'Pollo Tropical'!S60+'Subway GC'!S60+'Sushi Maki'!S60+Panda!S60+'Starbucks Mango'!S60+'Taco Bell'!S60+'Chick-fil-A'!S60+Dunkin!S60+Chipotle!S60+Sergios!S60+'Moes PG5'!S60+'Papa Johns'!S60+Salad!S60+'Half Moon &amp; Trop Smoothie'!S60+'Athletic Concessions -Kitchen'!S60+'Starbucks BBC'!S60+'Moes BBC'!S60+'Grille Works BBC &amp; Shipping'!S60+'Subway BBC'!S60+'Market Pavillion'!S60+'Chic Fil A BBC'!S60+Panera!S60+'Heritage Market'!S60</f>
        <v>0</v>
      </c>
      <c r="T60" s="80">
        <f t="shared" si="28"/>
        <v>0</v>
      </c>
      <c r="U60" s="134">
        <f>'POD Breezeway'!U60+'Express GL'!U60+'Starbucks GL-SBX Truck'!U60+'Miro''s'!U60+'Faculty Club'!U60+'Almazar &amp; Brand X'!U60+'Burger King'!U60+Bustelo!U60+Chilis!U60+Einstein!U60+Jamba!U60+'Pollo Tropical'!U60+'Subway GC'!U60+'Sushi Maki'!U60+Panda!U60+'Starbucks Mango'!U60+'Taco Bell'!U60+'Chick-fil-A'!U60+Dunkin!U60+Chipotle!U60+Sergios!U60+'Moes PG5'!U60+'Papa Johns'!U60+Salad!U60+'Half Moon &amp; Trop Smoothie'!U60+'Athletic Concessions -Kitchen'!U60+'Starbucks BBC'!U60+'Moes BBC'!U60+'Grille Works BBC &amp; Shipping'!U60+'Subway BBC'!U60+'Market Pavillion'!U60+'Chic Fil A BBC'!U60+Panera!U60+'Heritage Market'!U60</f>
        <v>0</v>
      </c>
      <c r="V60" s="80">
        <f t="shared" si="29"/>
        <v>0</v>
      </c>
    </row>
    <row r="61" spans="1:22" ht="12.75" customHeight="1">
      <c r="A61" s="2" t="s">
        <v>405</v>
      </c>
      <c r="B61" s="35"/>
      <c r="C61" s="134">
        <f>'POD Breezeway'!C61+'Express GL'!C61+'Starbucks GL-SBX Truck'!C61+'Miro''s'!C61+'Faculty Club'!C61+'Almazar &amp; Brand X'!C61+'Burger King'!C61+Bustelo!C61+Chilis!C61+Einstein!C61+Jamba!C61+'Pollo Tropical'!C61+'Subway GC'!C61+'Sushi Maki'!C61+Panda!C61+'Starbucks Mango'!C61+'Taco Bell'!C61+'Chick-fil-A'!C61+Dunkin!C61+Chipotle!C61+Sergios!C61+'Moes PG5'!C61+'Papa Johns'!C61+Salad!C61+'Half Moon &amp; Trop Smoothie'!C61+'Athletic Concessions -Kitchen'!C61+'Starbucks BBC'!C61+'Moes BBC'!C61+'Grille Works BBC &amp; Shipping'!C61+'Subway BBC'!C61+'Market Pavillion'!C61+'Chic Fil A BBC'!C61+Panera!C61+'Heritage Market'!C61</f>
        <v>0</v>
      </c>
      <c r="D61" s="80">
        <f t="shared" si="20"/>
        <v>0</v>
      </c>
      <c r="E61" s="134">
        <f>'POD Breezeway'!E61+'Express GL'!E61+'Starbucks GL-SBX Truck'!E61+'Miro''s'!E61+'Faculty Club'!E61+'Almazar &amp; Brand X'!E61+'Burger King'!E61+Bustelo!E61+Chilis!E61+Einstein!E61+Jamba!E61+'Pollo Tropical'!E61+'Subway GC'!E61+'Sushi Maki'!E61+Panda!E61+'Starbucks Mango'!E61+'Taco Bell'!E61+'Chick-fil-A'!E61+Dunkin!E61+Chipotle!E61+Sergios!E61+'Moes PG5'!E61+'Papa Johns'!E61+Salad!E61+'Half Moon &amp; Trop Smoothie'!E61+'Athletic Concessions -Kitchen'!E61+'Starbucks BBC'!E61+'Moes BBC'!E61+'Grille Works BBC &amp; Shipping'!E61+'Subway BBC'!E61+'Market Pavillion'!E61+'Chic Fil A BBC'!E61+Panera!E61+'Heritage Market'!E61</f>
        <v>0</v>
      </c>
      <c r="F61" s="80">
        <f t="shared" si="21"/>
        <v>0</v>
      </c>
      <c r="G61" s="134">
        <f>'POD Breezeway'!G61+'Express GL'!G61+'Starbucks GL-SBX Truck'!G61+'Miro''s'!G61+'Faculty Club'!G61+'Almazar &amp; Brand X'!G61+'Burger King'!G61+Bustelo!G61+Chilis!G61+Einstein!G61+Jamba!G61+'Pollo Tropical'!G61+'Subway GC'!G61+'Sushi Maki'!G61+Panda!G61+'Starbucks Mango'!G61+'Taco Bell'!G61+'Chick-fil-A'!G61+Dunkin!G61+Chipotle!G61+Sergios!G61+'Moes PG5'!G61+'Papa Johns'!G61+Salad!G61+'Half Moon &amp; Trop Smoothie'!G61+'Athletic Concessions -Kitchen'!G61+'Starbucks BBC'!G61+'Moes BBC'!G61+'Grille Works BBC &amp; Shipping'!G61+'Subway BBC'!G61+'Market Pavillion'!G61+'Chic Fil A BBC'!G61+Panera!G61+'Heritage Market'!G61</f>
        <v>0</v>
      </c>
      <c r="H61" s="80">
        <f t="shared" si="22"/>
        <v>0</v>
      </c>
      <c r="I61" s="134">
        <f>'POD Breezeway'!I61+'Express GL'!I61+'Starbucks GL-SBX Truck'!I61+'Miro''s'!I61+'Faculty Club'!I61+'Almazar &amp; Brand X'!I61+'Burger King'!I61+Bustelo!I61+Chilis!I61+Einstein!I61+Jamba!I61+'Pollo Tropical'!I61+'Subway GC'!I61+'Sushi Maki'!I61+Panda!I61+'Starbucks Mango'!I61+'Taco Bell'!I61+'Chick-fil-A'!I61+Dunkin!I61+Chipotle!I61+Sergios!I61+'Moes PG5'!I61+'Papa Johns'!I61+Salad!I61+'Half Moon &amp; Trop Smoothie'!I61+'Athletic Concessions -Kitchen'!I61+'Starbucks BBC'!I61+'Moes BBC'!I61+'Grille Works BBC &amp; Shipping'!I61+'Subway BBC'!I61+'Market Pavillion'!I61+'Chic Fil A BBC'!I61+Panera!I61+'Heritage Market'!I61</f>
        <v>0</v>
      </c>
      <c r="J61" s="80">
        <f t="shared" si="23"/>
        <v>0</v>
      </c>
      <c r="K61" s="134">
        <f>'POD Breezeway'!K61+'Express GL'!K61+'Starbucks GL-SBX Truck'!K61+'Miro''s'!K61+'Faculty Club'!K61+'Almazar &amp; Brand X'!K61+'Burger King'!K61+Bustelo!K61+Chilis!K61+Einstein!K61+Jamba!K61+'Pollo Tropical'!K61+'Subway GC'!K61+'Sushi Maki'!K61+Panda!K61+'Starbucks Mango'!K61+'Taco Bell'!K61+'Chick-fil-A'!K61+Dunkin!K61+Chipotle!K61+Sergios!K61+'Moes PG5'!K61+'Papa Johns'!K61+Salad!K61+'Half Moon &amp; Trop Smoothie'!K61+'Athletic Concessions -Kitchen'!K61+'Starbucks BBC'!K61+'Moes BBC'!K61+'Grille Works BBC &amp; Shipping'!K61+'Subway BBC'!K61+'Market Pavillion'!K61+'Chic Fil A BBC'!K61+Panera!K61+'Heritage Market'!K61</f>
        <v>0</v>
      </c>
      <c r="L61" s="80">
        <f t="shared" si="24"/>
        <v>0</v>
      </c>
      <c r="M61" s="134">
        <f>'POD Breezeway'!M61+'Express GL'!M61+'Starbucks GL-SBX Truck'!M61+'Miro''s'!M61+'Faculty Club'!M61+'Almazar &amp; Brand X'!M61+'Burger King'!M61+Bustelo!M61+Chilis!M61+Einstein!M61+Jamba!M61+'Pollo Tropical'!M61+'Subway GC'!M61+'Sushi Maki'!M61+Panda!M61+'Starbucks Mango'!M61+'Taco Bell'!M61+'Chick-fil-A'!M61+Dunkin!M61+Chipotle!M61+Sergios!M61+'Moes PG5'!M61+'Papa Johns'!M61+Salad!M61+'Half Moon &amp; Trop Smoothie'!M61+'Athletic Concessions -Kitchen'!M61+'Starbucks BBC'!M61+'Moes BBC'!M61+'Grille Works BBC &amp; Shipping'!M61+'Subway BBC'!M61+'Market Pavillion'!M61+'Chic Fil A BBC'!M61+Panera!M61+'Heritage Market'!M61</f>
        <v>0</v>
      </c>
      <c r="N61" s="80">
        <f t="shared" si="25"/>
        <v>0</v>
      </c>
      <c r="O61" s="134">
        <f>'POD Breezeway'!O61+'Express GL'!O61+'Starbucks GL-SBX Truck'!O61+'Miro''s'!O61+'Faculty Club'!O61+'Almazar &amp; Brand X'!O61+'Burger King'!O61+Bustelo!O61+Chilis!O61+Einstein!O61+Jamba!O61+'Pollo Tropical'!O61+'Subway GC'!O61+'Sushi Maki'!O61+Panda!O61+'Starbucks Mango'!O61+'Taco Bell'!O61+'Chick-fil-A'!O61+Dunkin!O61+Chipotle!O61+Sergios!O61+'Moes PG5'!O61+'Papa Johns'!O61+Salad!O61+'Half Moon &amp; Trop Smoothie'!O61+'Athletic Concessions -Kitchen'!O61+'Starbucks BBC'!O61+'Moes BBC'!O61+'Grille Works BBC &amp; Shipping'!O61+'Subway BBC'!O61+'Market Pavillion'!O61+'Chic Fil A BBC'!O61+Panera!O61+'Heritage Market'!O61</f>
        <v>0</v>
      </c>
      <c r="P61" s="80">
        <f t="shared" si="26"/>
        <v>0</v>
      </c>
      <c r="Q61" s="134">
        <f>'POD Breezeway'!Q61+'Express GL'!Q61+'Starbucks GL-SBX Truck'!Q61+'Miro''s'!Q61+'Faculty Club'!Q61+'Almazar &amp; Brand X'!Q61+'Burger King'!Q61+Bustelo!Q61+Chilis!Q61+Einstein!Q61+Jamba!Q61+'Pollo Tropical'!Q61+'Subway GC'!Q61+'Sushi Maki'!Q61+Panda!Q61+'Starbucks Mango'!Q61+'Taco Bell'!Q61+'Chick-fil-A'!Q61+Dunkin!Q61+Chipotle!Q61+Sergios!Q61+'Moes PG5'!Q61+'Papa Johns'!Q61+Salad!Q61+'Half Moon &amp; Trop Smoothie'!Q61+'Athletic Concessions -Kitchen'!Q61+'Starbucks BBC'!Q61+'Moes BBC'!Q61+'Grille Works BBC &amp; Shipping'!Q61+'Subway BBC'!Q61+'Market Pavillion'!Q61+'Chic Fil A BBC'!Q61+Panera!Q61+'Heritage Market'!Q61</f>
        <v>0</v>
      </c>
      <c r="R61" s="80">
        <f t="shared" si="27"/>
        <v>0</v>
      </c>
      <c r="S61" s="134">
        <f>'POD Breezeway'!S61+'Express GL'!S61+'Starbucks GL-SBX Truck'!S61+'Miro''s'!S61+'Faculty Club'!S61+'Almazar &amp; Brand X'!S61+'Burger King'!S61+Bustelo!S61+Chilis!S61+Einstein!S61+Jamba!S61+'Pollo Tropical'!S61+'Subway GC'!S61+'Sushi Maki'!S61+Panda!S61+'Starbucks Mango'!S61+'Taco Bell'!S61+'Chick-fil-A'!S61+Dunkin!S61+Chipotle!S61+Sergios!S61+'Moes PG5'!S61+'Papa Johns'!S61+Salad!S61+'Half Moon &amp; Trop Smoothie'!S61+'Athletic Concessions -Kitchen'!S61+'Starbucks BBC'!S61+'Moes BBC'!S61+'Grille Works BBC &amp; Shipping'!S61+'Subway BBC'!S61+'Market Pavillion'!S61+'Chic Fil A BBC'!S61+Panera!S61+'Heritage Market'!S61</f>
        <v>0</v>
      </c>
      <c r="T61" s="80">
        <f t="shared" si="28"/>
        <v>0</v>
      </c>
      <c r="U61" s="134">
        <f>'POD Breezeway'!U61+'Express GL'!U61+'Starbucks GL-SBX Truck'!U61+'Miro''s'!U61+'Faculty Club'!U61+'Almazar &amp; Brand X'!U61+'Burger King'!U61+Bustelo!U61+Chilis!U61+Einstein!U61+Jamba!U61+'Pollo Tropical'!U61+'Subway GC'!U61+'Sushi Maki'!U61+Panda!U61+'Starbucks Mango'!U61+'Taco Bell'!U61+'Chick-fil-A'!U61+Dunkin!U61+Chipotle!U61+Sergios!U61+'Moes PG5'!U61+'Papa Johns'!U61+Salad!U61+'Half Moon &amp; Trop Smoothie'!U61+'Athletic Concessions -Kitchen'!U61+'Starbucks BBC'!U61+'Moes BBC'!U61+'Grille Works BBC &amp; Shipping'!U61+'Subway BBC'!U61+'Market Pavillion'!U61+'Chic Fil A BBC'!U61+Panera!U61+'Heritage Market'!U61</f>
        <v>0</v>
      </c>
      <c r="V61" s="80">
        <f t="shared" si="29"/>
        <v>0</v>
      </c>
    </row>
    <row r="62" spans="1:22" ht="12.75" customHeight="1">
      <c r="A62" s="2" t="s">
        <v>406</v>
      </c>
      <c r="B62" s="35"/>
      <c r="C62" s="134">
        <f>'POD Breezeway'!C62+'Express GL'!C62+'Starbucks GL-SBX Truck'!C62+'Miro''s'!C62+'Faculty Club'!C62+'Almazar &amp; Brand X'!C62+'Burger King'!C62+Bustelo!C62+Chilis!C62+Einstein!C62+Jamba!C62+'Pollo Tropical'!C62+'Subway GC'!C62+'Sushi Maki'!C62+Panda!C62+'Starbucks Mango'!C62+'Taco Bell'!C62+'Chick-fil-A'!C62+Dunkin!C62+Chipotle!C62+Sergios!C62+'Moes PG5'!C62+'Papa Johns'!C62+Salad!C62+'Half Moon &amp; Trop Smoothie'!C62+'Athletic Concessions -Kitchen'!C62+'Starbucks BBC'!C62+'Moes BBC'!C62+'Grille Works BBC &amp; Shipping'!C62+'Subway BBC'!C62+'Market Pavillion'!C62+'Chic Fil A BBC'!C62+Panera!C62+'Heritage Market'!C62</f>
        <v>0</v>
      </c>
      <c r="D62" s="80">
        <f t="shared" si="20"/>
        <v>0</v>
      </c>
      <c r="E62" s="134">
        <f>'POD Breezeway'!E62+'Express GL'!E62+'Starbucks GL-SBX Truck'!E62+'Miro''s'!E62+'Faculty Club'!E62+'Almazar &amp; Brand X'!E62+'Burger King'!E62+Bustelo!E62+Chilis!E62+Einstein!E62+Jamba!E62+'Pollo Tropical'!E62+'Subway GC'!E62+'Sushi Maki'!E62+Panda!E62+'Starbucks Mango'!E62+'Taco Bell'!E62+'Chick-fil-A'!E62+Dunkin!E62+Chipotle!E62+Sergios!E62+'Moes PG5'!E62+'Papa Johns'!E62+Salad!E62+'Half Moon &amp; Trop Smoothie'!E62+'Athletic Concessions -Kitchen'!E62+'Starbucks BBC'!E62+'Moes BBC'!E62+'Grille Works BBC &amp; Shipping'!E62+'Subway BBC'!E62+'Market Pavillion'!E62+'Chic Fil A BBC'!E62+Panera!E62+'Heritage Market'!E62</f>
        <v>0</v>
      </c>
      <c r="F62" s="80">
        <f t="shared" si="21"/>
        <v>0</v>
      </c>
      <c r="G62" s="134">
        <f>'POD Breezeway'!G62+'Express GL'!G62+'Starbucks GL-SBX Truck'!G62+'Miro''s'!G62+'Faculty Club'!G62+'Almazar &amp; Brand X'!G62+'Burger King'!G62+Bustelo!G62+Chilis!G62+Einstein!G62+Jamba!G62+'Pollo Tropical'!G62+'Subway GC'!G62+'Sushi Maki'!G62+Panda!G62+'Starbucks Mango'!G62+'Taco Bell'!G62+'Chick-fil-A'!G62+Dunkin!G62+Chipotle!G62+Sergios!G62+'Moes PG5'!G62+'Papa Johns'!G62+Salad!G62+'Half Moon &amp; Trop Smoothie'!G62+'Athletic Concessions -Kitchen'!G62+'Starbucks BBC'!G62+'Moes BBC'!G62+'Grille Works BBC &amp; Shipping'!G62+'Subway BBC'!G62+'Market Pavillion'!G62+'Chic Fil A BBC'!G62+Panera!G62+'Heritage Market'!G62</f>
        <v>0</v>
      </c>
      <c r="H62" s="80">
        <f t="shared" si="22"/>
        <v>0</v>
      </c>
      <c r="I62" s="134">
        <f>'POD Breezeway'!I62+'Express GL'!I62+'Starbucks GL-SBX Truck'!I62+'Miro''s'!I62+'Faculty Club'!I62+'Almazar &amp; Brand X'!I62+'Burger King'!I62+Bustelo!I62+Chilis!I62+Einstein!I62+Jamba!I62+'Pollo Tropical'!I62+'Subway GC'!I62+'Sushi Maki'!I62+Panda!I62+'Starbucks Mango'!I62+'Taco Bell'!I62+'Chick-fil-A'!I62+Dunkin!I62+Chipotle!I62+Sergios!I62+'Moes PG5'!I62+'Papa Johns'!I62+Salad!I62+'Half Moon &amp; Trop Smoothie'!I62+'Athletic Concessions -Kitchen'!I62+'Starbucks BBC'!I62+'Moes BBC'!I62+'Grille Works BBC &amp; Shipping'!I62+'Subway BBC'!I62+'Market Pavillion'!I62+'Chic Fil A BBC'!I62+Panera!I62+'Heritage Market'!I62</f>
        <v>0</v>
      </c>
      <c r="J62" s="80">
        <f t="shared" si="23"/>
        <v>0</v>
      </c>
      <c r="K62" s="134">
        <f>'POD Breezeway'!K62+'Express GL'!K62+'Starbucks GL-SBX Truck'!K62+'Miro''s'!K62+'Faculty Club'!K62+'Almazar &amp; Brand X'!K62+'Burger King'!K62+Bustelo!K62+Chilis!K62+Einstein!K62+Jamba!K62+'Pollo Tropical'!K62+'Subway GC'!K62+'Sushi Maki'!K62+Panda!K62+'Starbucks Mango'!K62+'Taco Bell'!K62+'Chick-fil-A'!K62+Dunkin!K62+Chipotle!K62+Sergios!K62+'Moes PG5'!K62+'Papa Johns'!K62+Salad!K62+'Half Moon &amp; Trop Smoothie'!K62+'Athletic Concessions -Kitchen'!K62+'Starbucks BBC'!K62+'Moes BBC'!K62+'Grille Works BBC &amp; Shipping'!K62+'Subway BBC'!K62+'Market Pavillion'!K62+'Chic Fil A BBC'!K62+Panera!K62+'Heritage Market'!K62</f>
        <v>0</v>
      </c>
      <c r="L62" s="80">
        <f t="shared" si="24"/>
        <v>0</v>
      </c>
      <c r="M62" s="134">
        <f>'POD Breezeway'!M62+'Express GL'!M62+'Starbucks GL-SBX Truck'!M62+'Miro''s'!M62+'Faculty Club'!M62+'Almazar &amp; Brand X'!M62+'Burger King'!M62+Bustelo!M62+Chilis!M62+Einstein!M62+Jamba!M62+'Pollo Tropical'!M62+'Subway GC'!M62+'Sushi Maki'!M62+Panda!M62+'Starbucks Mango'!M62+'Taco Bell'!M62+'Chick-fil-A'!M62+Dunkin!M62+Chipotle!M62+Sergios!M62+'Moes PG5'!M62+'Papa Johns'!M62+Salad!M62+'Half Moon &amp; Trop Smoothie'!M62+'Athletic Concessions -Kitchen'!M62+'Starbucks BBC'!M62+'Moes BBC'!M62+'Grille Works BBC &amp; Shipping'!M62+'Subway BBC'!M62+'Market Pavillion'!M62+'Chic Fil A BBC'!M62+Panera!M62+'Heritage Market'!M62</f>
        <v>0</v>
      </c>
      <c r="N62" s="80">
        <f t="shared" si="25"/>
        <v>0</v>
      </c>
      <c r="O62" s="134">
        <f>'POD Breezeway'!O62+'Express GL'!O62+'Starbucks GL-SBX Truck'!O62+'Miro''s'!O62+'Faculty Club'!O62+'Almazar &amp; Brand X'!O62+'Burger King'!O62+Bustelo!O62+Chilis!O62+Einstein!O62+Jamba!O62+'Pollo Tropical'!O62+'Subway GC'!O62+'Sushi Maki'!O62+Panda!O62+'Starbucks Mango'!O62+'Taco Bell'!O62+'Chick-fil-A'!O62+Dunkin!O62+Chipotle!O62+Sergios!O62+'Moes PG5'!O62+'Papa Johns'!O62+Salad!O62+'Half Moon &amp; Trop Smoothie'!O62+'Athletic Concessions -Kitchen'!O62+'Starbucks BBC'!O62+'Moes BBC'!O62+'Grille Works BBC &amp; Shipping'!O62+'Subway BBC'!O62+'Market Pavillion'!O62+'Chic Fil A BBC'!O62+Panera!O62+'Heritage Market'!O62</f>
        <v>0</v>
      </c>
      <c r="P62" s="80">
        <f t="shared" si="26"/>
        <v>0</v>
      </c>
      <c r="Q62" s="134">
        <f>'POD Breezeway'!Q62+'Express GL'!Q62+'Starbucks GL-SBX Truck'!Q62+'Miro''s'!Q62+'Faculty Club'!Q62+'Almazar &amp; Brand X'!Q62+'Burger King'!Q62+Bustelo!Q62+Chilis!Q62+Einstein!Q62+Jamba!Q62+'Pollo Tropical'!Q62+'Subway GC'!Q62+'Sushi Maki'!Q62+Panda!Q62+'Starbucks Mango'!Q62+'Taco Bell'!Q62+'Chick-fil-A'!Q62+Dunkin!Q62+Chipotle!Q62+Sergios!Q62+'Moes PG5'!Q62+'Papa Johns'!Q62+Salad!Q62+'Half Moon &amp; Trop Smoothie'!Q62+'Athletic Concessions -Kitchen'!Q62+'Starbucks BBC'!Q62+'Moes BBC'!Q62+'Grille Works BBC &amp; Shipping'!Q62+'Subway BBC'!Q62+'Market Pavillion'!Q62+'Chic Fil A BBC'!Q62+Panera!Q62+'Heritage Market'!Q62</f>
        <v>0</v>
      </c>
      <c r="R62" s="80">
        <f t="shared" si="27"/>
        <v>0</v>
      </c>
      <c r="S62" s="134">
        <f>'POD Breezeway'!S62+'Express GL'!S62+'Starbucks GL-SBX Truck'!S62+'Miro''s'!S62+'Faculty Club'!S62+'Almazar &amp; Brand X'!S62+'Burger King'!S62+Bustelo!S62+Chilis!S62+Einstein!S62+Jamba!S62+'Pollo Tropical'!S62+'Subway GC'!S62+'Sushi Maki'!S62+Panda!S62+'Starbucks Mango'!S62+'Taco Bell'!S62+'Chick-fil-A'!S62+Dunkin!S62+Chipotle!S62+Sergios!S62+'Moes PG5'!S62+'Papa Johns'!S62+Salad!S62+'Half Moon &amp; Trop Smoothie'!S62+'Athletic Concessions -Kitchen'!S62+'Starbucks BBC'!S62+'Moes BBC'!S62+'Grille Works BBC &amp; Shipping'!S62+'Subway BBC'!S62+'Market Pavillion'!S62+'Chic Fil A BBC'!S62+Panera!S62+'Heritage Market'!S62</f>
        <v>0</v>
      </c>
      <c r="T62" s="80">
        <f t="shared" si="28"/>
        <v>0</v>
      </c>
      <c r="U62" s="134">
        <f>'POD Breezeway'!U62+'Express GL'!U62+'Starbucks GL-SBX Truck'!U62+'Miro''s'!U62+'Faculty Club'!U62+'Almazar &amp; Brand X'!U62+'Burger King'!U62+Bustelo!U62+Chilis!U62+Einstein!U62+Jamba!U62+'Pollo Tropical'!U62+'Subway GC'!U62+'Sushi Maki'!U62+Panda!U62+'Starbucks Mango'!U62+'Taco Bell'!U62+'Chick-fil-A'!U62+Dunkin!U62+Chipotle!U62+Sergios!U62+'Moes PG5'!U62+'Papa Johns'!U62+Salad!U62+'Half Moon &amp; Trop Smoothie'!U62+'Athletic Concessions -Kitchen'!U62+'Starbucks BBC'!U62+'Moes BBC'!U62+'Grille Works BBC &amp; Shipping'!U62+'Subway BBC'!U62+'Market Pavillion'!U62+'Chic Fil A BBC'!U62+Panera!U62+'Heritage Market'!U62</f>
        <v>0</v>
      </c>
      <c r="V62" s="80">
        <f t="shared" si="29"/>
        <v>0</v>
      </c>
    </row>
    <row r="63" spans="1:22" ht="12.75" customHeight="1">
      <c r="A63" s="214" t="s">
        <v>407</v>
      </c>
      <c r="B63" s="215"/>
      <c r="C63" s="134">
        <f>'POD Breezeway'!C63+'Express GL'!C63+'Starbucks GL-SBX Truck'!C63+'Miro''s'!C63+'Faculty Club'!C63+'Almazar &amp; Brand X'!C63+'Burger King'!C63+Bustelo!C63+Chilis!C63+Einstein!C63+Jamba!C63+'Pollo Tropical'!C63+'Subway GC'!C63+'Sushi Maki'!C63+Panda!C63+'Starbucks Mango'!C63+'Taco Bell'!C63+'Chick-fil-A'!C63+Dunkin!C63+Chipotle!C63+Sergios!C63+'Moes PG5'!C63+'Papa Johns'!C63+Salad!C63+'Half Moon &amp; Trop Smoothie'!C63+'Athletic Concessions -Kitchen'!C63+'Starbucks BBC'!C63+'Moes BBC'!C63+'Grille Works BBC &amp; Shipping'!C63+'Subway BBC'!C63+'Market Pavillion'!C63+'Chic Fil A BBC'!C63+Panera!C63+'Heritage Market'!C63</f>
        <v>189484.1057257764</v>
      </c>
      <c r="D63" s="80">
        <f t="shared" si="20"/>
        <v>1.1953626961128538E-2</v>
      </c>
      <c r="E63" s="134">
        <f>'POD Breezeway'!E63+'Express GL'!E63+'Starbucks GL-SBX Truck'!E63+'Miro''s'!E63+'Faculty Club'!E63+'Almazar &amp; Brand X'!E63+'Burger King'!E63+Bustelo!E63+Chilis!E63+Einstein!E63+Jamba!E63+'Pollo Tropical'!E63+'Subway GC'!E63+'Sushi Maki'!E63+Panda!E63+'Starbucks Mango'!E63+'Taco Bell'!E63+'Chick-fil-A'!E63+Dunkin!E63+Chipotle!E63+Sergios!E63+'Moes PG5'!E63+'Papa Johns'!E63+Salad!E63+'Half Moon &amp; Trop Smoothie'!E63+'Athletic Concessions -Kitchen'!E63+'Starbucks BBC'!E63+'Moes BBC'!E63+'Grille Works BBC &amp; Shipping'!E63+'Subway BBC'!E63+'Market Pavillion'!E63+'Chic Fil A BBC'!E63+Panera!E63+'Heritage Market'!E63</f>
        <v>228679.54152886124</v>
      </c>
      <c r="F63" s="80">
        <f t="shared" si="21"/>
        <v>1.2157305768541576E-2</v>
      </c>
      <c r="G63" s="134">
        <f>'POD Breezeway'!G63+'Express GL'!G63+'Starbucks GL-SBX Truck'!G63+'Miro''s'!G63+'Faculty Club'!G63+'Almazar &amp; Brand X'!G63+'Burger King'!G63+Bustelo!G63+Chilis!G63+Einstein!G63+Jamba!G63+'Pollo Tropical'!G63+'Subway GC'!G63+'Sushi Maki'!G63+Panda!G63+'Starbucks Mango'!G63+'Taco Bell'!G63+'Chick-fil-A'!G63+Dunkin!G63+Chipotle!G63+Sergios!G63+'Moes PG5'!G63+'Papa Johns'!G63+Salad!G63+'Half Moon &amp; Trop Smoothie'!G63+'Athletic Concessions -Kitchen'!G63+'Starbucks BBC'!G63+'Moes BBC'!G63+'Grille Works BBC &amp; Shipping'!G63+'Subway BBC'!G63+'Market Pavillion'!G63+'Chic Fil A BBC'!G63+Panera!G63+'Heritage Market'!G63</f>
        <v>249046.1500429872</v>
      </c>
      <c r="H63" s="80">
        <f t="shared" si="22"/>
        <v>1.2067442197256941E-2</v>
      </c>
      <c r="I63" s="134">
        <f>'POD Breezeway'!I63+'Express GL'!I63+'Starbucks GL-SBX Truck'!I63+'Miro''s'!I63+'Faculty Club'!I63+'Almazar &amp; Brand X'!I63+'Burger King'!I63+Bustelo!I63+Chilis!I63+Einstein!I63+Jamba!I63+'Pollo Tropical'!I63+'Subway GC'!I63+'Sushi Maki'!I63+Panda!I63+'Starbucks Mango'!I63+'Taco Bell'!I63+'Chick-fil-A'!I63+Dunkin!I63+Chipotle!I63+Sergios!I63+'Moes PG5'!I63+'Papa Johns'!I63+Salad!I63+'Half Moon &amp; Trop Smoothie'!I63+'Athletic Concessions -Kitchen'!I63+'Starbucks BBC'!I63+'Moes BBC'!I63+'Grille Works BBC &amp; Shipping'!I63+'Subway BBC'!I63+'Market Pavillion'!I63+'Chic Fil A BBC'!I63+Panera!I63+'Heritage Market'!I63</f>
        <v>259186.57762194495</v>
      </c>
      <c r="J63" s="80">
        <f t="shared" si="23"/>
        <v>1.2100964190488277E-2</v>
      </c>
      <c r="K63" s="134">
        <f>'POD Breezeway'!K63+'Express GL'!K63+'Starbucks GL-SBX Truck'!K63+'Miro''s'!K63+'Faculty Club'!K63+'Almazar &amp; Brand X'!K63+'Burger King'!K63+Bustelo!K63+Chilis!K63+Einstein!K63+Jamba!K63+'Pollo Tropical'!K63+'Subway GC'!K63+'Sushi Maki'!K63+Panda!K63+'Starbucks Mango'!K63+'Taco Bell'!K63+'Chick-fil-A'!K63+Dunkin!K63+Chipotle!K63+Sergios!K63+'Moes PG5'!K63+'Papa Johns'!K63+Salad!K63+'Half Moon &amp; Trop Smoothie'!K63+'Athletic Concessions -Kitchen'!K63+'Starbucks BBC'!K63+'Moes BBC'!K63+'Grille Works BBC &amp; Shipping'!K63+'Subway BBC'!K63+'Market Pavillion'!K63+'Chic Fil A BBC'!K63+Panera!K63+'Heritage Market'!K63</f>
        <v>266235.47693404055</v>
      </c>
      <c r="L63" s="80">
        <f t="shared" si="24"/>
        <v>1.2065107648798276E-2</v>
      </c>
      <c r="M63" s="134">
        <f>'POD Breezeway'!M63+'Express GL'!M63+'Starbucks GL-SBX Truck'!M63+'Miro''s'!M63+'Faculty Club'!M63+'Almazar &amp; Brand X'!M63+'Burger King'!M63+Bustelo!M63+Chilis!M63+Einstein!M63+Jamba!M63+'Pollo Tropical'!M63+'Subway GC'!M63+'Sushi Maki'!M63+Panda!M63+'Starbucks Mango'!M63+'Taco Bell'!M63+'Chick-fil-A'!M63+Dunkin!M63+Chipotle!M63+Sergios!M63+'Moes PG5'!M63+'Papa Johns'!M63+Salad!M63+'Half Moon &amp; Trop Smoothie'!M63+'Athletic Concessions -Kitchen'!M63+'Starbucks BBC'!M63+'Moes BBC'!M63+'Grille Works BBC &amp; Shipping'!M63+'Subway BBC'!M63+'Market Pavillion'!M63+'Chic Fil A BBC'!M63+Panera!M63+'Heritage Market'!M63</f>
        <v>274886.70722043887</v>
      </c>
      <c r="N63" s="80">
        <f t="shared" si="25"/>
        <v>1.2086927084635397E-2</v>
      </c>
      <c r="O63" s="134">
        <f>'POD Breezeway'!O63+'Express GL'!O63+'Starbucks GL-SBX Truck'!O63+'Miro''s'!O63+'Faculty Club'!O63+'Almazar &amp; Brand X'!O63+'Burger King'!O63+Bustelo!O63+Chilis!O63+Einstein!O63+Jamba!O63+'Pollo Tropical'!O63+'Subway GC'!O63+'Sushi Maki'!O63+Panda!O63+'Starbucks Mango'!O63+'Taco Bell'!O63+'Chick-fil-A'!O63+Dunkin!O63+Chipotle!O63+Sergios!O63+'Moes PG5'!O63+'Papa Johns'!O63+Salad!O63+'Half Moon &amp; Trop Smoothie'!O63+'Athletic Concessions -Kitchen'!O63+'Starbucks BBC'!O63+'Moes BBC'!O63+'Grille Works BBC &amp; Shipping'!O63+'Subway BBC'!O63+'Market Pavillion'!O63+'Chic Fil A BBC'!O63+Panera!O63+'Heritage Market'!O63</f>
        <v>284147.03479532205</v>
      </c>
      <c r="P63" s="80">
        <f t="shared" si="26"/>
        <v>1.2113420842857865E-2</v>
      </c>
      <c r="Q63" s="134">
        <f>'POD Breezeway'!Q63+'Express GL'!Q63+'Starbucks GL-SBX Truck'!Q63+'Miro''s'!Q63+'Faculty Club'!Q63+'Almazar &amp; Brand X'!Q63+'Burger King'!Q63+Bustelo!Q63+Chilis!Q63+Einstein!Q63+Jamba!Q63+'Pollo Tropical'!Q63+'Subway GC'!Q63+'Sushi Maki'!Q63+Panda!Q63+'Starbucks Mango'!Q63+'Taco Bell'!Q63+'Chick-fil-A'!Q63+Dunkin!Q63+Chipotle!Q63+Sergios!Q63+'Moes PG5'!Q63+'Papa Johns'!Q63+Salad!Q63+'Half Moon &amp; Trop Smoothie'!Q63+'Athletic Concessions -Kitchen'!Q63+'Starbucks BBC'!Q63+'Moes BBC'!Q63+'Grille Works BBC &amp; Shipping'!Q63+'Subway BBC'!Q63+'Market Pavillion'!Q63+'Chic Fil A BBC'!Q63+Panera!Q63+'Heritage Market'!Q63</f>
        <v>294122.79012615117</v>
      </c>
      <c r="R63" s="80">
        <f t="shared" si="27"/>
        <v>1.2150627284457616E-2</v>
      </c>
      <c r="S63" s="134">
        <f>'POD Breezeway'!S63+'Express GL'!S63+'Starbucks GL-SBX Truck'!S63+'Miro''s'!S63+'Faculty Club'!S63+'Almazar &amp; Brand X'!S63+'Burger King'!S63+Bustelo!S63+Chilis!S63+Einstein!S63+Jamba!S63+'Pollo Tropical'!S63+'Subway GC'!S63+'Sushi Maki'!S63+Panda!S63+'Starbucks Mango'!S63+'Taco Bell'!S63+'Chick-fil-A'!S63+Dunkin!S63+Chipotle!S63+Sergios!S63+'Moes PG5'!S63+'Papa Johns'!S63+Salad!S63+'Half Moon &amp; Trop Smoothie'!S63+'Athletic Concessions -Kitchen'!S63+'Starbucks BBC'!S63+'Moes BBC'!S63+'Grille Works BBC &amp; Shipping'!S63+'Subway BBC'!S63+'Market Pavillion'!S63+'Chic Fil A BBC'!S63+Panera!S63+'Heritage Market'!S63</f>
        <v>304501.50606427109</v>
      </c>
      <c r="T63" s="80">
        <f t="shared" si="28"/>
        <v>1.2186990063460213E-2</v>
      </c>
      <c r="U63" s="134">
        <f>'POD Breezeway'!U63+'Express GL'!U63+'Starbucks GL-SBX Truck'!U63+'Miro''s'!U63+'Faculty Club'!U63+'Almazar &amp; Brand X'!U63+'Burger King'!U63+Bustelo!U63+Chilis!U63+Einstein!U63+Jamba!U63+'Pollo Tropical'!U63+'Subway GC'!U63+'Sushi Maki'!U63+Panda!U63+'Starbucks Mango'!U63+'Taco Bell'!U63+'Chick-fil-A'!U63+Dunkin!U63+Chipotle!U63+Sergios!U63+'Moes PG5'!U63+'Papa Johns'!U63+Salad!U63+'Half Moon &amp; Trop Smoothie'!U63+'Athletic Concessions -Kitchen'!U63+'Starbucks BBC'!U63+'Moes BBC'!U63+'Grille Works BBC &amp; Shipping'!U63+'Subway BBC'!U63+'Market Pavillion'!U63+'Chic Fil A BBC'!U63+Panera!U63+'Heritage Market'!U63</f>
        <v>315372.23015341972</v>
      </c>
      <c r="V63" s="80">
        <f t="shared" si="29"/>
        <v>1.222575288469481E-2</v>
      </c>
    </row>
    <row r="64" spans="1:22" ht="12.75" customHeight="1">
      <c r="A64" s="214" t="s">
        <v>408</v>
      </c>
      <c r="B64" s="215"/>
      <c r="C64" s="134">
        <f>'POD Breezeway'!C64+'Express GL'!C64+'Starbucks GL-SBX Truck'!C64+'Miro''s'!C64+'Faculty Club'!C64+'Almazar &amp; Brand X'!C64+'Burger King'!C64+Bustelo!C64+Chilis!C64+Einstein!C64+Jamba!C64+'Pollo Tropical'!C64+'Subway GC'!C64+'Sushi Maki'!C64+Panda!C64+'Starbucks Mango'!C64+'Taco Bell'!C64+'Chick-fil-A'!C64+Dunkin!C64+Chipotle!C64+Sergios!C64+'Moes PG5'!C64+'Papa Johns'!C64+Salad!C64+'Half Moon &amp; Trop Smoothie'!C64+'Athletic Concessions -Kitchen'!C64+'Starbucks BBC'!C64+'Moes BBC'!C64+'Grille Works BBC &amp; Shipping'!C64+'Subway BBC'!C64+'Market Pavillion'!C64+'Chic Fil A BBC'!C64+Panera!C64+'Heritage Market'!C64</f>
        <v>74761.43702399997</v>
      </c>
      <c r="D64" s="80">
        <f t="shared" si="20"/>
        <v>4.7163339945574612E-3</v>
      </c>
      <c r="E64" s="134">
        <f>'POD Breezeway'!E64+'Express GL'!E64+'Starbucks GL-SBX Truck'!E64+'Miro''s'!E64+'Faculty Club'!E64+'Almazar &amp; Brand X'!E64+'Burger King'!E64+Bustelo!E64+Chilis!E64+Einstein!E64+Jamba!E64+'Pollo Tropical'!E64+'Subway GC'!E64+'Sushi Maki'!E64+Panda!E64+'Starbucks Mango'!E64+'Taco Bell'!E64+'Chick-fil-A'!E64+Dunkin!E64+Chipotle!E64+Sergios!E64+'Moes PG5'!E64+'Papa Johns'!E64+Salad!E64+'Half Moon &amp; Trop Smoothie'!E64+'Athletic Concessions -Kitchen'!E64+'Starbucks BBC'!E64+'Moes BBC'!E64+'Grille Works BBC &amp; Shipping'!E64+'Subway BBC'!E64+'Market Pavillion'!E64+'Chic Fil A BBC'!E64+Panera!E64+'Heritage Market'!E64</f>
        <v>88913.4</v>
      </c>
      <c r="F64" s="80">
        <f t="shared" si="21"/>
        <v>4.726909033898951E-3</v>
      </c>
      <c r="G64" s="134">
        <f>'POD Breezeway'!G64+'Express GL'!G64+'Starbucks GL-SBX Truck'!G64+'Miro''s'!G64+'Faculty Club'!G64+'Almazar &amp; Brand X'!G64+'Burger King'!G64+Bustelo!G64+Chilis!G64+Einstein!G64+Jamba!G64+'Pollo Tropical'!G64+'Subway GC'!G64+'Sushi Maki'!G64+Panda!G64+'Starbucks Mango'!G64+'Taco Bell'!G64+'Chick-fil-A'!G64+Dunkin!G64+Chipotle!G64+Sergios!G64+'Moes PG5'!G64+'Papa Johns'!G64+Salad!G64+'Half Moon &amp; Trop Smoothie'!G64+'Athletic Concessions -Kitchen'!G64+'Starbucks BBC'!G64+'Moes BBC'!G64+'Grille Works BBC &amp; Shipping'!G64+'Subway BBC'!G64+'Market Pavillion'!G64+'Chic Fil A BBC'!G64+Panera!G64+'Heritage Market'!G64</f>
        <v>97868.119199999986</v>
      </c>
      <c r="H64" s="80">
        <f t="shared" si="22"/>
        <v>4.7421647401351104E-3</v>
      </c>
      <c r="I64" s="134">
        <f>'POD Breezeway'!I64+'Express GL'!I64+'Starbucks GL-SBX Truck'!I64+'Miro''s'!I64+'Faculty Club'!I64+'Almazar &amp; Brand X'!I64+'Burger King'!I64+Bustelo!I64+Chilis!I64+Einstein!I64+Jamba!I64+'Pollo Tropical'!I64+'Subway GC'!I64+'Sushi Maki'!I64+Panda!I64+'Starbucks Mango'!I64+'Taco Bell'!I64+'Chick-fil-A'!I64+Dunkin!I64+Chipotle!I64+Sergios!I64+'Moes PG5'!I64+'Papa Johns'!I64+Salad!I64+'Half Moon &amp; Trop Smoothie'!I64+'Athletic Concessions -Kitchen'!I64+'Starbucks BBC'!I64+'Moes BBC'!I64+'Grille Works BBC &amp; Shipping'!I64+'Subway BBC'!I64+'Market Pavillion'!I64+'Chic Fil A BBC'!I64+Panera!I64+'Heritage Market'!I64</f>
        <v>101592.15575759998</v>
      </c>
      <c r="J64" s="80">
        <f t="shared" si="23"/>
        <v>4.7431585776420869E-3</v>
      </c>
      <c r="K64" s="134">
        <f>'POD Breezeway'!K64+'Express GL'!K64+'Starbucks GL-SBX Truck'!K64+'Miro''s'!K64+'Faculty Club'!K64+'Almazar &amp; Brand X'!K64+'Burger King'!K64+Bustelo!K64+Chilis!K64+Einstein!K64+Jamba!K64+'Pollo Tropical'!K64+'Subway GC'!K64+'Sushi Maki'!K64+Panda!K64+'Starbucks Mango'!K64+'Taco Bell'!K64+'Chick-fil-A'!K64+Dunkin!K64+Chipotle!K64+Sergios!K64+'Moes PG5'!K64+'Papa Johns'!K64+Salad!K64+'Half Moon &amp; Trop Smoothie'!K64+'Athletic Concessions -Kitchen'!K64+'Starbucks BBC'!K64+'Moes BBC'!K64+'Grille Works BBC &amp; Shipping'!K64+'Subway BBC'!K64+'Market Pavillion'!K64+'Chic Fil A BBC'!K64+Panera!K64+'Heritage Market'!K64</f>
        <v>104677.692807288</v>
      </c>
      <c r="L64" s="80">
        <f t="shared" si="24"/>
        <v>4.7437240396803323E-3</v>
      </c>
      <c r="M64" s="134">
        <f>'POD Breezeway'!M64+'Express GL'!M64+'Starbucks GL-SBX Truck'!M64+'Miro''s'!M64+'Faculty Club'!M64+'Almazar &amp; Brand X'!M64+'Burger King'!M64+Bustelo!M64+Chilis!M64+Einstein!M64+Jamba!M64+'Pollo Tropical'!M64+'Subway GC'!M64+'Sushi Maki'!M64+Panda!M64+'Starbucks Mango'!M64+'Taco Bell'!M64+'Chick-fil-A'!M64+Dunkin!M64+Chipotle!M64+Sergios!M64+'Moes PG5'!M64+'Papa Johns'!M64+Salad!M64+'Half Moon &amp; Trop Smoothie'!M64+'Athletic Concessions -Kitchen'!M64+'Starbucks BBC'!M64+'Moes BBC'!M64+'Grille Works BBC &amp; Shipping'!M64+'Subway BBC'!M64+'Market Pavillion'!M64+'Chic Fil A BBC'!M64+Panera!M64+'Heritage Market'!M64</f>
        <v>107897.2544124796</v>
      </c>
      <c r="N64" s="80">
        <f t="shared" si="25"/>
        <v>4.7443045169520207E-3</v>
      </c>
      <c r="O64" s="134">
        <f>'POD Breezeway'!O64+'Express GL'!O64+'Starbucks GL-SBX Truck'!O64+'Miro''s'!O64+'Faculty Club'!O64+'Almazar &amp; Brand X'!O64+'Burger King'!O64+Bustelo!O64+Chilis!O64+Einstein!O64+Jamba!O64+'Pollo Tropical'!O64+'Subway GC'!O64+'Sushi Maki'!O64+Panda!O64+'Starbucks Mango'!O64+'Taco Bell'!O64+'Chick-fil-A'!O64+Dunkin!O64+Chipotle!O64+Sergios!O64+'Moes PG5'!O64+'Papa Johns'!O64+Salad!O64+'Half Moon &amp; Trop Smoothie'!O64+'Athletic Concessions -Kitchen'!O64+'Starbucks BBC'!O64+'Moes BBC'!O64+'Grille Works BBC &amp; Shipping'!O64+'Subway BBC'!O64+'Market Pavillion'!O64+'Chic Fil A BBC'!O64+Panera!O64+'Heritage Market'!O64</f>
        <v>111302.61286455316</v>
      </c>
      <c r="P64" s="80">
        <f t="shared" si="26"/>
        <v>4.7449215562259828E-3</v>
      </c>
      <c r="Q64" s="134">
        <f>'POD Breezeway'!Q64+'Express GL'!Q64+'Starbucks GL-SBX Truck'!Q64+'Miro''s'!Q64+'Faculty Club'!Q64+'Almazar &amp; Brand X'!Q64+'Burger King'!Q64+Bustelo!Q64+Chilis!Q64+Einstein!Q64+Jamba!Q64+'Pollo Tropical'!Q64+'Subway GC'!Q64+'Sushi Maki'!Q64+Panda!Q64+'Starbucks Mango'!Q64+'Taco Bell'!Q64+'Chick-fil-A'!Q64+Dunkin!Q64+Chipotle!Q64+Sergios!Q64+'Moes PG5'!Q64+'Papa Johns'!Q64+Salad!Q64+'Half Moon &amp; Trop Smoothie'!Q64+'Athletic Concessions -Kitchen'!Q64+'Starbucks BBC'!Q64+'Moes BBC'!Q64+'Grille Works BBC &amp; Shipping'!Q64+'Subway BBC'!Q64+'Market Pavillion'!Q64+'Chic Fil A BBC'!Q64+Panera!Q64+'Heritage Market'!Q64</f>
        <v>114872.83284182847</v>
      </c>
      <c r="R64" s="80">
        <f t="shared" si="27"/>
        <v>4.7455587388253798E-3</v>
      </c>
      <c r="S64" s="134">
        <f>'POD Breezeway'!S64+'Express GL'!S64+'Starbucks GL-SBX Truck'!S64+'Miro''s'!S64+'Faculty Club'!S64+'Almazar &amp; Brand X'!S64+'Burger King'!S64+Bustelo!S64+Chilis!S64+Einstein!S64+Jamba!S64+'Pollo Tropical'!S64+'Subway GC'!S64+'Sushi Maki'!S64+Panda!S64+'Starbucks Mango'!S64+'Taco Bell'!S64+'Chick-fil-A'!S64+Dunkin!S64+Chipotle!S64+Sergios!S64+'Moes PG5'!S64+'Papa Johns'!S64+Salad!S64+'Half Moon &amp; Trop Smoothie'!S64+'Athletic Concessions -Kitchen'!S64+'Starbucks BBC'!S64+'Moes BBC'!S64+'Grille Works BBC &amp; Shipping'!S64+'Subway BBC'!S64+'Market Pavillion'!S64+'Chic Fil A BBC'!S64+Panera!S64+'Heritage Market'!S64</f>
        <v>118587.58228358476</v>
      </c>
      <c r="T64" s="80">
        <f t="shared" si="28"/>
        <v>4.7462020980440544E-3</v>
      </c>
      <c r="U64" s="134">
        <f>'POD Breezeway'!U64+'Express GL'!U64+'Starbucks GL-SBX Truck'!U64+'Miro''s'!U64+'Faculty Club'!U64+'Almazar &amp; Brand X'!U64+'Burger King'!U64+Bustelo!U64+Chilis!U64+Einstein!U64+Jamba!U64+'Pollo Tropical'!U64+'Subway GC'!U64+'Sushi Maki'!U64+Panda!U64+'Starbucks Mango'!U64+'Taco Bell'!U64+'Chick-fil-A'!U64+Dunkin!U64+Chipotle!U64+Sergios!U64+'Moes PG5'!U64+'Papa Johns'!U64+Salad!U64+'Half Moon &amp; Trop Smoothie'!U64+'Athletic Concessions -Kitchen'!U64+'Starbucks BBC'!U64+'Moes BBC'!U64+'Grille Works BBC &amp; Shipping'!U64+'Subway BBC'!U64+'Market Pavillion'!U64+'Chic Fil A BBC'!U64+Panera!U64+'Heritage Market'!U64</f>
        <v>122448.44137127603</v>
      </c>
      <c r="V64" s="80">
        <f t="shared" si="29"/>
        <v>4.7468490950931252E-3</v>
      </c>
    </row>
    <row r="65" spans="1:22" ht="12.75" customHeight="1">
      <c r="A65" s="214" t="s">
        <v>409</v>
      </c>
      <c r="B65" s="215"/>
      <c r="C65" s="134">
        <f>'POD Breezeway'!C65+'Express GL'!C65+'Starbucks GL-SBX Truck'!C65+'Miro''s'!C65+'Faculty Club'!C65+'Almazar &amp; Brand X'!C65+'Burger King'!C65+Bustelo!C65+Chilis!C65+Einstein!C65+Jamba!C65+'Pollo Tropical'!C65+'Subway GC'!C65+'Sushi Maki'!C65+Panda!C65+'Starbucks Mango'!C65+'Taco Bell'!C65+'Chick-fil-A'!C65+Dunkin!C65+Chipotle!C65+Sergios!C65+'Moes PG5'!C65+'Papa Johns'!C65+Salad!C65+'Half Moon &amp; Trop Smoothie'!C65+'Athletic Concessions -Kitchen'!C65+'Starbucks BBC'!C65+'Moes BBC'!C65+'Grille Works BBC &amp; Shipping'!C65+'Subway BBC'!C65+'Market Pavillion'!C65+'Chic Fil A BBC'!C65+Panera!C65+'Heritage Market'!C65</f>
        <v>7787.6496899999993</v>
      </c>
      <c r="D65" s="80">
        <f t="shared" si="20"/>
        <v>4.9128479109973567E-4</v>
      </c>
      <c r="E65" s="134">
        <f>'POD Breezeway'!E65+'Express GL'!E65+'Starbucks GL-SBX Truck'!E65+'Miro''s'!E65+'Faculty Club'!E65+'Almazar &amp; Brand X'!E65+'Burger King'!E65+Bustelo!E65+Chilis!E65+Einstein!E65+Jamba!E65+'Pollo Tropical'!E65+'Subway GC'!E65+'Sushi Maki'!E65+Panda!E65+'Starbucks Mango'!E65+'Taco Bell'!E65+'Chick-fil-A'!E65+Dunkin!E65+Chipotle!E65+Sergios!E65+'Moes PG5'!E65+'Papa Johns'!E65+Salad!E65+'Half Moon &amp; Trop Smoothie'!E65+'Athletic Concessions -Kitchen'!E65+'Starbucks BBC'!E65+'Moes BBC'!E65+'Grille Works BBC &amp; Shipping'!E65+'Subway BBC'!E65+'Market Pavillion'!E65+'Chic Fil A BBC'!E65+Panera!E65+'Heritage Market'!E65</f>
        <v>9261.8125</v>
      </c>
      <c r="F65" s="80">
        <f t="shared" si="21"/>
        <v>4.9238635769780739E-4</v>
      </c>
      <c r="G65" s="134">
        <f>'POD Breezeway'!G65+'Express GL'!G65+'Starbucks GL-SBX Truck'!G65+'Miro''s'!G65+'Faculty Club'!G65+'Almazar &amp; Brand X'!G65+'Burger King'!G65+Bustelo!G65+Chilis!G65+Einstein!G65+Jamba!G65+'Pollo Tropical'!G65+'Subway GC'!G65+'Sushi Maki'!G65+Panda!G65+'Starbucks Mango'!G65+'Taco Bell'!G65+'Chick-fil-A'!G65+Dunkin!G65+Chipotle!G65+Sergios!G65+'Moes PG5'!G65+'Papa Johns'!G65+Salad!G65+'Half Moon &amp; Trop Smoothie'!G65+'Athletic Concessions -Kitchen'!G65+'Starbucks BBC'!G65+'Moes BBC'!G65+'Grille Works BBC &amp; Shipping'!G65+'Subway BBC'!G65+'Market Pavillion'!G65+'Chic Fil A BBC'!G65+Panera!G65+'Heritage Market'!G65</f>
        <v>10194.59575</v>
      </c>
      <c r="H65" s="80">
        <f t="shared" si="22"/>
        <v>4.9397549376407402E-4</v>
      </c>
      <c r="I65" s="134">
        <f>'POD Breezeway'!I65+'Express GL'!I65+'Starbucks GL-SBX Truck'!I65+'Miro''s'!I65+'Faculty Club'!I65+'Almazar &amp; Brand X'!I65+'Burger King'!I65+Bustelo!I65+Chilis!I65+Einstein!I65+Jamba!I65+'Pollo Tropical'!I65+'Subway GC'!I65+'Sushi Maki'!I65+Panda!I65+'Starbucks Mango'!I65+'Taco Bell'!I65+'Chick-fil-A'!I65+Dunkin!I65+Chipotle!I65+Sergios!I65+'Moes PG5'!I65+'Papa Johns'!I65+Salad!I65+'Half Moon &amp; Trop Smoothie'!I65+'Athletic Concessions -Kitchen'!I65+'Starbucks BBC'!I65+'Moes BBC'!I65+'Grille Works BBC &amp; Shipping'!I65+'Subway BBC'!I65+'Market Pavillion'!I65+'Chic Fil A BBC'!I65+Panera!I65+'Heritage Market'!I65</f>
        <v>10582.516224750001</v>
      </c>
      <c r="J65" s="80">
        <f t="shared" si="23"/>
        <v>4.9407901850438414E-4</v>
      </c>
      <c r="K65" s="134">
        <f>'POD Breezeway'!K65+'Express GL'!K65+'Starbucks GL-SBX Truck'!K65+'Miro''s'!K65+'Faculty Club'!K65+'Almazar &amp; Brand X'!K65+'Burger King'!K65+Bustelo!K65+Chilis!K65+Einstein!K65+Jamba!K65+'Pollo Tropical'!K65+'Subway GC'!K65+'Sushi Maki'!K65+Panda!K65+'Starbucks Mango'!K65+'Taco Bell'!K65+'Chick-fil-A'!K65+Dunkin!K65+Chipotle!K65+Sergios!K65+'Moes PG5'!K65+'Papa Johns'!K65+Salad!K65+'Half Moon &amp; Trop Smoothie'!K65+'Athletic Concessions -Kitchen'!K65+'Starbucks BBC'!K65+'Moes BBC'!K65+'Grille Works BBC &amp; Shipping'!K65+'Subway BBC'!K65+'Market Pavillion'!K65+'Chic Fil A BBC'!K65+Panera!K65+'Heritage Market'!K65</f>
        <v>10903.926334092499</v>
      </c>
      <c r="L65" s="80">
        <f t="shared" si="24"/>
        <v>4.941379208000346E-4</v>
      </c>
      <c r="M65" s="134">
        <f>'POD Breezeway'!M65+'Express GL'!M65+'Starbucks GL-SBX Truck'!M65+'Miro''s'!M65+'Faculty Club'!M65+'Almazar &amp; Brand X'!M65+'Burger King'!M65+Bustelo!M65+Chilis!M65+Einstein!M65+Jamba!M65+'Pollo Tropical'!M65+'Subway GC'!M65+'Sushi Maki'!M65+Panda!M65+'Starbucks Mango'!M65+'Taco Bell'!M65+'Chick-fil-A'!M65+Dunkin!M65+Chipotle!M65+Sergios!M65+'Moes PG5'!M65+'Papa Johns'!M65+Salad!M65+'Half Moon &amp; Trop Smoothie'!M65+'Athletic Concessions -Kitchen'!M65+'Starbucks BBC'!M65+'Moes BBC'!M65+'Grille Works BBC &amp; Shipping'!M65+'Subway BBC'!M65+'Market Pavillion'!M65+'Chic Fil A BBC'!M65+Panera!M65+'Heritage Market'!M65</f>
        <v>11239.297334633289</v>
      </c>
      <c r="N65" s="80">
        <f t="shared" si="25"/>
        <v>4.9419838718250204E-4</v>
      </c>
      <c r="O65" s="134">
        <f>'POD Breezeway'!O65+'Express GL'!O65+'Starbucks GL-SBX Truck'!O65+'Miro''s'!O65+'Faculty Club'!O65+'Almazar &amp; Brand X'!O65+'Burger King'!O65+Bustelo!O65+Chilis!O65+Einstein!O65+Jamba!O65+'Pollo Tropical'!O65+'Subway GC'!O65+'Sushi Maki'!O65+Panda!O65+'Starbucks Mango'!O65+'Taco Bell'!O65+'Chick-fil-A'!O65+Dunkin!O65+Chipotle!O65+Sergios!O65+'Moes PG5'!O65+'Papa Johns'!O65+Salad!O65+'Half Moon &amp; Trop Smoothie'!O65+'Athletic Concessions -Kitchen'!O65+'Starbucks BBC'!O65+'Moes BBC'!O65+'Grille Works BBC &amp; Shipping'!O65+'Subway BBC'!O65+'Market Pavillion'!O65+'Chic Fil A BBC'!O65+Panera!O65+'Heritage Market'!O65</f>
        <v>11594.022173390953</v>
      </c>
      <c r="P65" s="80">
        <f t="shared" si="26"/>
        <v>4.9426266210687321E-4</v>
      </c>
      <c r="Q65" s="134">
        <f>'POD Breezeway'!Q65+'Express GL'!Q65+'Starbucks GL-SBX Truck'!Q65+'Miro''s'!Q65+'Faculty Club'!Q65+'Almazar &amp; Brand X'!Q65+'Burger King'!Q65+Bustelo!Q65+Chilis!Q65+Einstein!Q65+Jamba!Q65+'Pollo Tropical'!Q65+'Subway GC'!Q65+'Sushi Maki'!Q65+Panda!Q65+'Starbucks Mango'!Q65+'Taco Bell'!Q65+'Chick-fil-A'!Q65+Dunkin!Q65+Chipotle!Q65+Sergios!Q65+'Moes PG5'!Q65+'Papa Johns'!Q65+Salad!Q65+'Half Moon &amp; Trop Smoothie'!Q65+'Athletic Concessions -Kitchen'!Q65+'Starbucks BBC'!Q65+'Moes BBC'!Q65+'Grille Works BBC &amp; Shipping'!Q65+'Subway BBC'!Q65+'Market Pavillion'!Q65+'Chic Fil A BBC'!Q65+Panera!Q65+'Heritage Market'!Q65</f>
        <v>11965.920087690469</v>
      </c>
      <c r="R65" s="80">
        <f t="shared" si="27"/>
        <v>4.943290352943105E-4</v>
      </c>
      <c r="S65" s="134">
        <f>'POD Breezeway'!S65+'Express GL'!S65+'Starbucks GL-SBX Truck'!S65+'Miro''s'!S65+'Faculty Club'!S65+'Almazar &amp; Brand X'!S65+'Burger King'!S65+Bustelo!S65+Chilis!S65+Einstein!S65+Jamba!S65+'Pollo Tropical'!S65+'Subway GC'!S65+'Sushi Maki'!S65+Panda!S65+'Starbucks Mango'!S65+'Taco Bell'!S65+'Chick-fil-A'!S65+Dunkin!S65+Chipotle!S65+Sergios!S65+'Moes PG5'!S65+'Papa Johns'!S65+Salad!S65+'Half Moon &amp; Trop Smoothie'!S65+'Athletic Concessions -Kitchen'!S65+'Starbucks BBC'!S65+'Moes BBC'!S65+'Grille Works BBC &amp; Shipping'!S65+'Subway BBC'!S65+'Market Pavillion'!S65+'Chic Fil A BBC'!S65+Panera!S65+'Heritage Market'!S65</f>
        <v>12352.873154540073</v>
      </c>
      <c r="T65" s="80">
        <f t="shared" si="28"/>
        <v>4.9439605187958876E-4</v>
      </c>
      <c r="U65" s="134">
        <f>'POD Breezeway'!U65+'Express GL'!U65+'Starbucks GL-SBX Truck'!U65+'Miro''s'!U65+'Faculty Club'!U65+'Almazar &amp; Brand X'!U65+'Burger King'!U65+Bustelo!U65+Chilis!U65+Einstein!U65+Jamba!U65+'Pollo Tropical'!U65+'Subway GC'!U65+'Sushi Maki'!U65+Panda!U65+'Starbucks Mango'!U65+'Taco Bell'!U65+'Chick-fil-A'!U65+Dunkin!U65+Chipotle!U65+Sergios!U65+'Moes PG5'!U65+'Papa Johns'!U65+Salad!U65+'Half Moon &amp; Trop Smoothie'!U65+'Athletic Concessions -Kitchen'!U65+'Starbucks BBC'!U65+'Moes BBC'!U65+'Grille Works BBC &amp; Shipping'!U65+'Subway BBC'!U65+'Market Pavillion'!U65+'Chic Fil A BBC'!U65+Panera!U65+'Heritage Market'!U65</f>
        <v>12755.045976174584</v>
      </c>
      <c r="V65" s="80">
        <f t="shared" si="29"/>
        <v>4.9446344740553374E-4</v>
      </c>
    </row>
    <row r="66" spans="1:22" ht="12.75" customHeight="1">
      <c r="A66" s="214" t="s">
        <v>410</v>
      </c>
      <c r="B66" s="215"/>
      <c r="C66" s="134">
        <f>'POD Breezeway'!C66+'Express GL'!C66+'Starbucks GL-SBX Truck'!C66+'Miro''s'!C66+'Faculty Club'!C66+'Almazar &amp; Brand X'!C66+'Burger King'!C66+Bustelo!C66+Chilis!C66+Einstein!C66+Jamba!C66+'Pollo Tropical'!C66+'Subway GC'!C66+'Sushi Maki'!C66+Panda!C66+'Starbucks Mango'!C66+'Taco Bell'!C66+'Chick-fil-A'!C66+Dunkin!C66+Chipotle!C66+Sergios!C66+'Moes PG5'!C66+'Papa Johns'!C66+Salad!C66+'Half Moon &amp; Trop Smoothie'!C66+'Athletic Concessions -Kitchen'!C66+'Starbucks BBC'!C66+'Moes BBC'!C66+'Grille Works BBC &amp; Shipping'!C66+'Subway BBC'!C66+'Market Pavillion'!C66+'Chic Fil A BBC'!C66+Panera!C66+'Heritage Market'!C66</f>
        <v>43610.838264000005</v>
      </c>
      <c r="D66" s="80">
        <f t="shared" si="20"/>
        <v>2.7511948301585203E-3</v>
      </c>
      <c r="E66" s="134">
        <f>'POD Breezeway'!E66+'Express GL'!E66+'Starbucks GL-SBX Truck'!E66+'Miro''s'!E66+'Faculty Club'!E66+'Almazar &amp; Brand X'!E66+'Burger King'!E66+Bustelo!E66+Chilis!E66+Einstein!E66+Jamba!E66+'Pollo Tropical'!E66+'Subway GC'!E66+'Sushi Maki'!E66+Panda!E66+'Starbucks Mango'!E66+'Taco Bell'!E66+'Chick-fil-A'!E66+Dunkin!E66+Chipotle!E66+Sergios!E66+'Moes PG5'!E66+'Papa Johns'!E66+Salad!E66+'Half Moon &amp; Trop Smoothie'!E66+'Athletic Concessions -Kitchen'!E66+'Starbucks BBC'!E66+'Moes BBC'!E66+'Grille Works BBC &amp; Shipping'!E66+'Subway BBC'!E66+'Market Pavillion'!E66+'Chic Fil A BBC'!E66+Panera!E66+'Heritage Market'!E66</f>
        <v>51866.15</v>
      </c>
      <c r="F66" s="80">
        <f t="shared" si="21"/>
        <v>2.7573636031077214E-3</v>
      </c>
      <c r="G66" s="134">
        <f>'POD Breezeway'!G66+'Express GL'!G66+'Starbucks GL-SBX Truck'!G66+'Miro''s'!G66+'Faculty Club'!G66+'Almazar &amp; Brand X'!G66+'Burger King'!G66+Bustelo!G66+Chilis!G66+Einstein!G66+Jamba!G66+'Pollo Tropical'!G66+'Subway GC'!G66+'Sushi Maki'!G66+Panda!G66+'Starbucks Mango'!G66+'Taco Bell'!G66+'Chick-fil-A'!G66+Dunkin!G66+Chipotle!G66+Sergios!G66+'Moes PG5'!G66+'Papa Johns'!G66+Salad!G66+'Half Moon &amp; Trop Smoothie'!G66+'Athletic Concessions -Kitchen'!G66+'Starbucks BBC'!G66+'Moes BBC'!G66+'Grille Works BBC &amp; Shipping'!G66+'Subway BBC'!G66+'Market Pavillion'!G66+'Chic Fil A BBC'!G66+Panera!G66+'Heritage Market'!G66</f>
        <v>57089.736200000007</v>
      </c>
      <c r="H66" s="80">
        <f t="shared" si="22"/>
        <v>2.7662627650788148E-3</v>
      </c>
      <c r="I66" s="134">
        <f>'POD Breezeway'!I66+'Express GL'!I66+'Starbucks GL-SBX Truck'!I66+'Miro''s'!I66+'Faculty Club'!I66+'Almazar &amp; Brand X'!I66+'Burger King'!I66+Bustelo!I66+Chilis!I66+Einstein!I66+Jamba!I66+'Pollo Tropical'!I66+'Subway GC'!I66+'Sushi Maki'!I66+Panda!I66+'Starbucks Mango'!I66+'Taco Bell'!I66+'Chick-fil-A'!I66+Dunkin!I66+Chipotle!I66+Sergios!I66+'Moes PG5'!I66+'Papa Johns'!I66+Salad!I66+'Half Moon &amp; Trop Smoothie'!I66+'Athletic Concessions -Kitchen'!I66+'Starbucks BBC'!I66+'Moes BBC'!I66+'Grille Works BBC &amp; Shipping'!I66+'Subway BBC'!I66+'Market Pavillion'!I66+'Chic Fil A BBC'!I66+Panera!I66+'Heritage Market'!I66</f>
        <v>59262.090858600015</v>
      </c>
      <c r="J66" s="80">
        <f t="shared" si="23"/>
        <v>2.7668425036245516E-3</v>
      </c>
      <c r="K66" s="134">
        <f>'POD Breezeway'!K66+'Express GL'!K66+'Starbucks GL-SBX Truck'!K66+'Miro''s'!K66+'Faculty Club'!K66+'Almazar &amp; Brand X'!K66+'Burger King'!K66+Bustelo!K66+Chilis!K66+Einstein!K66+Jamba!K66+'Pollo Tropical'!K66+'Subway GC'!K66+'Sushi Maki'!K66+Panda!K66+'Starbucks Mango'!K66+'Taco Bell'!K66+'Chick-fil-A'!K66+Dunkin!K66+Chipotle!K66+Sergios!K66+'Moes PG5'!K66+'Papa Johns'!K66+Salad!K66+'Half Moon &amp; Trop Smoothie'!K66+'Athletic Concessions -Kitchen'!K66+'Starbucks BBC'!K66+'Moes BBC'!K66+'Grille Works BBC &amp; Shipping'!K66+'Subway BBC'!K66+'Market Pavillion'!K66+'Chic Fil A BBC'!K66+Panera!K66+'Heritage Market'!K66</f>
        <v>61061.987470918015</v>
      </c>
      <c r="L66" s="80">
        <f t="shared" si="24"/>
        <v>2.7671723564801948E-3</v>
      </c>
      <c r="M66" s="134">
        <f>'POD Breezeway'!M66+'Express GL'!M66+'Starbucks GL-SBX Truck'!M66+'Miro''s'!M66+'Faculty Club'!M66+'Almazar &amp; Brand X'!M66+'Burger King'!M66+Bustelo!M66+Chilis!M66+Einstein!M66+Jamba!M66+'Pollo Tropical'!M66+'Subway GC'!M66+'Sushi Maki'!M66+Panda!M66+'Starbucks Mango'!M66+'Taco Bell'!M66+'Chick-fil-A'!M66+Dunkin!M66+Chipotle!M66+Sergios!M66+'Moes PG5'!M66+'Papa Johns'!M66+Salad!M66+'Half Moon &amp; Trop Smoothie'!M66+'Athletic Concessions -Kitchen'!M66+'Starbucks BBC'!M66+'Moes BBC'!M66+'Grille Works BBC &amp; Shipping'!M66+'Subway BBC'!M66+'Market Pavillion'!M66+'Chic Fil A BBC'!M66+Panera!M66+'Heritage Market'!M66</f>
        <v>62940.065073946418</v>
      </c>
      <c r="N66" s="80">
        <f t="shared" si="25"/>
        <v>2.7675109682220112E-3</v>
      </c>
      <c r="O66" s="134">
        <f>'POD Breezeway'!O66+'Express GL'!O66+'Starbucks GL-SBX Truck'!O66+'Miro''s'!O66+'Faculty Club'!O66+'Almazar &amp; Brand X'!O66+'Burger King'!O66+Bustelo!O66+Chilis!O66+Einstein!O66+Jamba!O66+'Pollo Tropical'!O66+'Subway GC'!O66+'Sushi Maki'!O66+Panda!O66+'Starbucks Mango'!O66+'Taco Bell'!O66+'Chick-fil-A'!O66+Dunkin!O66+Chipotle!O66+Sergios!O66+'Moes PG5'!O66+'Papa Johns'!O66+Salad!O66+'Half Moon &amp; Trop Smoothie'!O66+'Athletic Concessions -Kitchen'!O66+'Starbucks BBC'!O66+'Moes BBC'!O66+'Grille Works BBC &amp; Shipping'!O66+'Subway BBC'!O66+'Market Pavillion'!O66+'Chic Fil A BBC'!O66+Panera!O66+'Heritage Market'!O66</f>
        <v>64926.524170989331</v>
      </c>
      <c r="P66" s="80">
        <f t="shared" si="26"/>
        <v>2.7678709077984896E-3</v>
      </c>
      <c r="Q66" s="134">
        <f>'POD Breezeway'!Q66+'Express GL'!Q66+'Starbucks GL-SBX Truck'!Q66+'Miro''s'!Q66+'Faculty Club'!Q66+'Almazar &amp; Brand X'!Q66+'Burger King'!Q66+Bustelo!Q66+Chilis!Q66+Einstein!Q66+Jamba!Q66+'Pollo Tropical'!Q66+'Subway GC'!Q66+'Sushi Maki'!Q66+Panda!Q66+'Starbucks Mango'!Q66+'Taco Bell'!Q66+'Chick-fil-A'!Q66+Dunkin!Q66+Chipotle!Q66+Sergios!Q66+'Moes PG5'!Q66+'Papa Johns'!Q66+Salad!Q66+'Half Moon &amp; Trop Smoothie'!Q66+'Athletic Concessions -Kitchen'!Q66+'Starbucks BBC'!Q66+'Moes BBC'!Q66+'Grille Works BBC &amp; Shipping'!Q66+'Subway BBC'!Q66+'Market Pavillion'!Q66+'Chic Fil A BBC'!Q66+Panera!Q66+'Heritage Market'!Q66</f>
        <v>67009.152491066605</v>
      </c>
      <c r="R66" s="80">
        <f t="shared" si="27"/>
        <v>2.7682425976481382E-3</v>
      </c>
      <c r="S66" s="134">
        <f>'POD Breezeway'!S66+'Express GL'!S66+'Starbucks GL-SBX Truck'!S66+'Miro''s'!S66+'Faculty Club'!S66+'Almazar &amp; Brand X'!S66+'Burger King'!S66+Bustelo!S66+Chilis!S66+Einstein!S66+Jamba!S66+'Pollo Tropical'!S66+'Subway GC'!S66+'Sushi Maki'!S66+Panda!S66+'Starbucks Mango'!S66+'Taco Bell'!S66+'Chick-fil-A'!S66+Dunkin!S66+Chipotle!S66+Sergios!S66+'Moes PG5'!S66+'Papa Johns'!S66+Salad!S66+'Half Moon &amp; Trop Smoothie'!S66+'Athletic Concessions -Kitchen'!S66+'Starbucks BBC'!S66+'Moes BBC'!S66+'Grille Works BBC &amp; Shipping'!S66+'Subway BBC'!S66+'Market Pavillion'!S66+'Chic Fil A BBC'!S66+Panera!S66+'Heritage Market'!S66</f>
        <v>69176.089665424443</v>
      </c>
      <c r="T66" s="80">
        <f t="shared" si="28"/>
        <v>2.7686178905256984E-3</v>
      </c>
      <c r="U66" s="134">
        <f>'POD Breezeway'!U66+'Express GL'!U66+'Starbucks GL-SBX Truck'!U66+'Miro''s'!U66+'Faculty Club'!U66+'Almazar &amp; Brand X'!U66+'Burger King'!U66+Bustelo!U66+Chilis!U66+Einstein!U66+Jamba!U66+'Pollo Tropical'!U66+'Subway GC'!U66+'Sushi Maki'!U66+Panda!U66+'Starbucks Mango'!U66+'Taco Bell'!U66+'Chick-fil-A'!U66+Dunkin!U66+Chipotle!U66+Sergios!U66+'Moes PG5'!U66+'Papa Johns'!U66+Salad!U66+'Half Moon &amp; Trop Smoothie'!U66+'Athletic Concessions -Kitchen'!U66+'Starbucks BBC'!U66+'Moes BBC'!U66+'Grille Works BBC &amp; Shipping'!U66+'Subway BBC'!U66+'Market Pavillion'!U66+'Chic Fil A BBC'!U66+Panera!U66+'Heritage Market'!U66</f>
        <v>71428.257466577677</v>
      </c>
      <c r="V66" s="80">
        <f t="shared" si="29"/>
        <v>2.7689953054709894E-3</v>
      </c>
    </row>
    <row r="67" spans="1:22" ht="12.75" customHeight="1">
      <c r="A67" s="214" t="s">
        <v>411</v>
      </c>
      <c r="B67" s="215"/>
      <c r="C67" s="134">
        <f>'POD Breezeway'!C67+'Express GL'!C67+'Starbucks GL-SBX Truck'!C67+'Miro''s'!C67+'Faculty Club'!C67+'Almazar &amp; Brand X'!C67+'Burger King'!C67+Bustelo!C67+Chilis!C67+Einstein!C67+Jamba!C67+'Pollo Tropical'!C67+'Subway GC'!C67+'Sushi Maki'!C67+Panda!C67+'Starbucks Mango'!C67+'Taco Bell'!C67+'Chick-fil-A'!C67+Dunkin!C67+Chipotle!C67+Sergios!C67+'Moes PG5'!C67+'Papa Johns'!C67+Salad!C67+'Half Moon &amp; Trop Smoothie'!C67+'Athletic Concessions -Kitchen'!C67+'Starbucks BBC'!C67+'Moes BBC'!C67+'Grille Works BBC &amp; Shipping'!C67+'Subway BBC'!C67+'Market Pavillion'!C67+'Chic Fil A BBC'!C67+Panera!C67+'Heritage Market'!C67</f>
        <v>233629.49069999999</v>
      </c>
      <c r="D67" s="80">
        <f t="shared" si="20"/>
        <v>1.4738543732992071E-2</v>
      </c>
      <c r="E67" s="134">
        <f>'POD Breezeway'!E67+'Express GL'!E67+'Starbucks GL-SBX Truck'!E67+'Miro''s'!E67+'Faculty Club'!E67+'Almazar &amp; Brand X'!E67+'Burger King'!E67+Bustelo!E67+Chilis!E67+Einstein!E67+Jamba!E67+'Pollo Tropical'!E67+'Subway GC'!E67+'Sushi Maki'!E67+Panda!E67+'Starbucks Mango'!E67+'Taco Bell'!E67+'Chick-fil-A'!E67+Dunkin!E67+Chipotle!E67+Sergios!E67+'Moes PG5'!E67+'Papa Johns'!E67+Salad!E67+'Half Moon &amp; Trop Smoothie'!E67+'Athletic Concessions -Kitchen'!E67+'Starbucks BBC'!E67+'Moes BBC'!E67+'Grille Works BBC &amp; Shipping'!E67+'Subway BBC'!E67+'Market Pavillion'!E67+'Chic Fil A BBC'!E67+Panera!E67+'Heritage Market'!E67</f>
        <v>277854.375</v>
      </c>
      <c r="F67" s="80">
        <f t="shared" si="21"/>
        <v>1.4771590730934222E-2</v>
      </c>
      <c r="G67" s="134">
        <f>'POD Breezeway'!G67+'Express GL'!G67+'Starbucks GL-SBX Truck'!G67+'Miro''s'!G67+'Faculty Club'!G67+'Almazar &amp; Brand X'!G67+'Burger King'!G67+Bustelo!G67+Chilis!G67+Einstein!G67+Jamba!G67+'Pollo Tropical'!G67+'Subway GC'!G67+'Sushi Maki'!G67+Panda!G67+'Starbucks Mango'!G67+'Taco Bell'!G67+'Chick-fil-A'!G67+Dunkin!G67+Chipotle!G67+Sergios!G67+'Moes PG5'!G67+'Papa Johns'!G67+Salad!G67+'Half Moon &amp; Trop Smoothie'!G67+'Athletic Concessions -Kitchen'!G67+'Starbucks BBC'!G67+'Moes BBC'!G67+'Grille Works BBC &amp; Shipping'!G67+'Subway BBC'!G67+'Market Pavillion'!G67+'Chic Fil A BBC'!G67+Panera!G67+'Heritage Market'!G67</f>
        <v>305837.87250000006</v>
      </c>
      <c r="H67" s="80">
        <f t="shared" si="22"/>
        <v>1.4819264812922223E-2</v>
      </c>
      <c r="I67" s="134">
        <f>'POD Breezeway'!I67+'Express GL'!I67+'Starbucks GL-SBX Truck'!I67+'Miro''s'!I67+'Faculty Club'!I67+'Almazar &amp; Brand X'!I67+'Burger King'!I67+Bustelo!I67+Chilis!I67+Einstein!I67+Jamba!I67+'Pollo Tropical'!I67+'Subway GC'!I67+'Sushi Maki'!I67+Panda!I67+'Starbucks Mango'!I67+'Taco Bell'!I67+'Chick-fil-A'!I67+Dunkin!I67+Chipotle!I67+Sergios!I67+'Moes PG5'!I67+'Papa Johns'!I67+Salad!I67+'Half Moon &amp; Trop Smoothie'!I67+'Athletic Concessions -Kitchen'!I67+'Starbucks BBC'!I67+'Moes BBC'!I67+'Grille Works BBC &amp; Shipping'!I67+'Subway BBC'!I67+'Market Pavillion'!I67+'Chic Fil A BBC'!I67+Panera!I67+'Heritage Market'!I67</f>
        <v>317475.48674249998</v>
      </c>
      <c r="J67" s="80">
        <f t="shared" si="23"/>
        <v>1.4822370555131524E-2</v>
      </c>
      <c r="K67" s="134">
        <f>'POD Breezeway'!K67+'Express GL'!K67+'Starbucks GL-SBX Truck'!K67+'Miro''s'!K67+'Faculty Club'!K67+'Almazar &amp; Brand X'!K67+'Burger King'!K67+Bustelo!K67+Chilis!K67+Einstein!K67+Jamba!K67+'Pollo Tropical'!K67+'Subway GC'!K67+'Sushi Maki'!K67+Panda!K67+'Starbucks Mango'!K67+'Taco Bell'!K67+'Chick-fil-A'!K67+Dunkin!K67+Chipotle!K67+Sergios!K67+'Moes PG5'!K67+'Papa Johns'!K67+Salad!K67+'Half Moon &amp; Trop Smoothie'!K67+'Athletic Concessions -Kitchen'!K67+'Starbucks BBC'!K67+'Moes BBC'!K67+'Grille Works BBC &amp; Shipping'!K67+'Subway BBC'!K67+'Market Pavillion'!K67+'Chic Fil A BBC'!K67+Panera!K67+'Heritage Market'!K67</f>
        <v>327117.79002277489</v>
      </c>
      <c r="L67" s="80">
        <f t="shared" si="24"/>
        <v>1.4824137624001034E-2</v>
      </c>
      <c r="M67" s="134">
        <f>'POD Breezeway'!M67+'Express GL'!M67+'Starbucks GL-SBX Truck'!M67+'Miro''s'!M67+'Faculty Club'!M67+'Almazar &amp; Brand X'!M67+'Burger King'!M67+Bustelo!M67+Chilis!M67+Einstein!M67+Jamba!M67+'Pollo Tropical'!M67+'Subway GC'!M67+'Sushi Maki'!M67+Panda!M67+'Starbucks Mango'!M67+'Taco Bell'!M67+'Chick-fil-A'!M67+Dunkin!M67+Chipotle!M67+Sergios!M67+'Moes PG5'!M67+'Papa Johns'!M67+Salad!M67+'Half Moon &amp; Trop Smoothie'!M67+'Athletic Concessions -Kitchen'!M67+'Starbucks BBC'!M67+'Moes BBC'!M67+'Grille Works BBC &amp; Shipping'!M67+'Subway BBC'!M67+'Market Pavillion'!M67+'Chic Fil A BBC'!M67+Panera!M67+'Heritage Market'!M67</f>
        <v>337178.92003899865</v>
      </c>
      <c r="N67" s="80">
        <f t="shared" si="25"/>
        <v>1.482595161547506E-2</v>
      </c>
      <c r="O67" s="134">
        <f>'POD Breezeway'!O67+'Express GL'!O67+'Starbucks GL-SBX Truck'!O67+'Miro''s'!O67+'Faculty Club'!O67+'Almazar &amp; Brand X'!O67+'Burger King'!O67+Bustelo!O67+Chilis!O67+Einstein!O67+Jamba!O67+'Pollo Tropical'!O67+'Subway GC'!O67+'Sushi Maki'!O67+Panda!O67+'Starbucks Mango'!O67+'Taco Bell'!O67+'Chick-fil-A'!O67+Dunkin!O67+Chipotle!O67+Sergios!O67+'Moes PG5'!O67+'Papa Johns'!O67+Salad!O67+'Half Moon &amp; Trop Smoothie'!O67+'Athletic Concessions -Kitchen'!O67+'Starbucks BBC'!O67+'Moes BBC'!O67+'Grille Works BBC &amp; Shipping'!O67+'Subway BBC'!O67+'Market Pavillion'!O67+'Chic Fil A BBC'!O67+Panera!O67+'Heritage Market'!O67</f>
        <v>347820.66520172858</v>
      </c>
      <c r="P67" s="80">
        <f t="shared" si="26"/>
        <v>1.4827879863206196E-2</v>
      </c>
      <c r="Q67" s="134">
        <f>'POD Breezeway'!Q67+'Express GL'!Q67+'Starbucks GL-SBX Truck'!Q67+'Miro''s'!Q67+'Faculty Club'!Q67+'Almazar &amp; Brand X'!Q67+'Burger King'!Q67+Bustelo!Q67+Chilis!Q67+Einstein!Q67+Jamba!Q67+'Pollo Tropical'!Q67+'Subway GC'!Q67+'Sushi Maki'!Q67+Panda!Q67+'Starbucks Mango'!Q67+'Taco Bell'!Q67+'Chick-fil-A'!Q67+Dunkin!Q67+Chipotle!Q67+Sergios!Q67+'Moes PG5'!Q67+'Papa Johns'!Q67+Salad!Q67+'Half Moon &amp; Trop Smoothie'!Q67+'Athletic Concessions -Kitchen'!Q67+'Starbucks BBC'!Q67+'Moes BBC'!Q67+'Grille Works BBC &amp; Shipping'!Q67+'Subway BBC'!Q67+'Market Pavillion'!Q67+'Chic Fil A BBC'!Q67+Panera!Q67+'Heritage Market'!Q67</f>
        <v>358977.60263071395</v>
      </c>
      <c r="R67" s="80">
        <f t="shared" si="27"/>
        <v>1.4829871058829311E-2</v>
      </c>
      <c r="S67" s="134">
        <f>'POD Breezeway'!S67+'Express GL'!S67+'Starbucks GL-SBX Truck'!S67+'Miro''s'!S67+'Faculty Club'!S67+'Almazar &amp; Brand X'!S67+'Burger King'!S67+Bustelo!S67+Chilis!S67+Einstein!S67+Jamba!S67+'Pollo Tropical'!S67+'Subway GC'!S67+'Sushi Maki'!S67+Panda!S67+'Starbucks Mango'!S67+'Taco Bell'!S67+'Chick-fil-A'!S67+Dunkin!S67+Chipotle!S67+Sergios!S67+'Moes PG5'!S67+'Papa Johns'!S67+Salad!S67+'Half Moon &amp; Trop Smoothie'!S67+'Athletic Concessions -Kitchen'!S67+'Starbucks BBC'!S67+'Moes BBC'!S67+'Grille Works BBC &amp; Shipping'!S67+'Subway BBC'!S67+'Market Pavillion'!S67+'Chic Fil A BBC'!S67+Panera!S67+'Heritage Market'!S67</f>
        <v>370586.1946362023</v>
      </c>
      <c r="T67" s="80">
        <f t="shared" si="28"/>
        <v>1.4831881556387667E-2</v>
      </c>
      <c r="U67" s="134">
        <f>'POD Breezeway'!U67+'Express GL'!U67+'Starbucks GL-SBX Truck'!U67+'Miro''s'!U67+'Faculty Club'!U67+'Almazar &amp; Brand X'!U67+'Burger King'!U67+Bustelo!U67+Chilis!U67+Einstein!U67+Jamba!U67+'Pollo Tropical'!U67+'Subway GC'!U67+'Sushi Maki'!U67+Panda!U67+'Starbucks Mango'!U67+'Taco Bell'!U67+'Chick-fil-A'!U67+Dunkin!U67+Chipotle!U67+Sergios!U67+'Moes PG5'!U67+'Papa Johns'!U67+Salad!U67+'Half Moon &amp; Trop Smoothie'!U67+'Athletic Concessions -Kitchen'!U67+'Starbucks BBC'!U67+'Moes BBC'!U67+'Grille Works BBC &amp; Shipping'!U67+'Subway BBC'!U67+'Market Pavillion'!U67+'Chic Fil A BBC'!U67+Panera!U67+'Heritage Market'!U67</f>
        <v>382651.37928523764</v>
      </c>
      <c r="V67" s="80">
        <f t="shared" si="29"/>
        <v>1.4833903422166018E-2</v>
      </c>
    </row>
    <row r="68" spans="1:22" ht="12.75" customHeight="1">
      <c r="A68" s="214" t="s">
        <v>412</v>
      </c>
      <c r="B68" s="215"/>
      <c r="C68" s="134">
        <f>'POD Breezeway'!C68+'Express GL'!C68+'Starbucks GL-SBX Truck'!C68+'Miro''s'!C68+'Faculty Club'!C68+'Almazar &amp; Brand X'!C68+'Burger King'!C68+Bustelo!C68+Chilis!C68+Einstein!C68+Jamba!C68+'Pollo Tropical'!C68+'Subway GC'!C68+'Sushi Maki'!C68+Panda!C68+'Starbucks Mango'!C68+'Taco Bell'!C68+'Chick-fil-A'!C68+Dunkin!C68+Chipotle!C68+Sergios!C68+'Moes PG5'!C68+'Papa Johns'!C68+Salad!C68+'Half Moon &amp; Trop Smoothie'!C68+'Athletic Concessions -Kitchen'!C68+'Starbucks BBC'!C68+'Moes BBC'!C68+'Grille Works BBC &amp; Shipping'!C68+'Subway BBC'!C68+'Market Pavillion'!C68+'Chic Fil A BBC'!C68+Panera!C68+'Heritage Market'!C68</f>
        <v>26478.008945999994</v>
      </c>
      <c r="D68" s="80">
        <f t="shared" si="20"/>
        <v>1.6703682897391012E-3</v>
      </c>
      <c r="E68" s="134">
        <f>'POD Breezeway'!E68+'Express GL'!E68+'Starbucks GL-SBX Truck'!E68+'Miro''s'!E68+'Faculty Club'!E68+'Almazar &amp; Brand X'!E68+'Burger King'!E68+Bustelo!E68+Chilis!E68+Einstein!E68+Jamba!E68+'Pollo Tropical'!E68+'Subway GC'!E68+'Sushi Maki'!E68+Panda!E68+'Starbucks Mango'!E68+'Taco Bell'!E68+'Chick-fil-A'!E68+Dunkin!E68+Chipotle!E68+Sergios!E68+'Moes PG5'!E68+'Papa Johns'!E68+Salad!E68+'Half Moon &amp; Trop Smoothie'!E68+'Athletic Concessions -Kitchen'!E68+'Starbucks BBC'!E68+'Moes BBC'!E68+'Grille Works BBC &amp; Shipping'!E68+'Subway BBC'!E68+'Market Pavillion'!E68+'Chic Fil A BBC'!E68+Panera!E68+'Heritage Market'!E68</f>
        <v>31490.162499999999</v>
      </c>
      <c r="F68" s="80">
        <f t="shared" si="21"/>
        <v>1.6741136161725451E-3</v>
      </c>
      <c r="G68" s="134">
        <f>'POD Breezeway'!G68+'Express GL'!G68+'Starbucks GL-SBX Truck'!G68+'Miro''s'!G68+'Faculty Club'!G68+'Almazar &amp; Brand X'!G68+'Burger King'!G68+Bustelo!G68+Chilis!G68+Einstein!G68+Jamba!G68+'Pollo Tropical'!G68+'Subway GC'!G68+'Sushi Maki'!G68+Panda!G68+'Starbucks Mango'!G68+'Taco Bell'!G68+'Chick-fil-A'!G68+Dunkin!G68+Chipotle!G68+Sergios!G68+'Moes PG5'!G68+'Papa Johns'!G68+Salad!G68+'Half Moon &amp; Trop Smoothie'!G68+'Athletic Concessions -Kitchen'!G68+'Starbucks BBC'!G68+'Moes BBC'!G68+'Grille Works BBC &amp; Shipping'!G68+'Subway BBC'!G68+'Market Pavillion'!G68+'Chic Fil A BBC'!G68+Panera!G68+'Heritage Market'!G68</f>
        <v>34661.625550000004</v>
      </c>
      <c r="H68" s="80">
        <f t="shared" si="22"/>
        <v>1.679516678797852E-3</v>
      </c>
      <c r="I68" s="134">
        <f>'POD Breezeway'!I68+'Express GL'!I68+'Starbucks GL-SBX Truck'!I68+'Miro''s'!I68+'Faculty Club'!I68+'Almazar &amp; Brand X'!I68+'Burger King'!I68+Bustelo!I68+Chilis!I68+Einstein!I68+Jamba!I68+'Pollo Tropical'!I68+'Subway GC'!I68+'Sushi Maki'!I68+Panda!I68+'Starbucks Mango'!I68+'Taco Bell'!I68+'Chick-fil-A'!I68+Dunkin!I68+Chipotle!I68+Sergios!I68+'Moes PG5'!I68+'Papa Johns'!I68+Salad!I68+'Half Moon &amp; Trop Smoothie'!I68+'Athletic Concessions -Kitchen'!I68+'Starbucks BBC'!I68+'Moes BBC'!I68+'Grille Works BBC &amp; Shipping'!I68+'Subway BBC'!I68+'Market Pavillion'!I68+'Chic Fil A BBC'!I68+Panera!I68+'Heritage Market'!I68</f>
        <v>35980.555164149999</v>
      </c>
      <c r="J68" s="80">
        <f t="shared" si="23"/>
        <v>1.6798686629149061E-3</v>
      </c>
      <c r="K68" s="134">
        <f>'POD Breezeway'!K68+'Express GL'!K68+'Starbucks GL-SBX Truck'!K68+'Miro''s'!K68+'Faculty Club'!K68+'Almazar &amp; Brand X'!K68+'Burger King'!K68+Bustelo!K68+Chilis!K68+Einstein!K68+Jamba!K68+'Pollo Tropical'!K68+'Subway GC'!K68+'Sushi Maki'!K68+Panda!K68+'Starbucks Mango'!K68+'Taco Bell'!K68+'Chick-fil-A'!K68+Dunkin!K68+Chipotle!K68+Sergios!K68+'Moes PG5'!K68+'Papa Johns'!K68+Salad!K68+'Half Moon &amp; Trop Smoothie'!K68+'Athletic Concessions -Kitchen'!K68+'Starbucks BBC'!K68+'Moes BBC'!K68+'Grille Works BBC &amp; Shipping'!K68+'Subway BBC'!K68+'Market Pavillion'!K68+'Chic Fil A BBC'!K68+Panera!K68+'Heritage Market'!K68</f>
        <v>37073.349535914494</v>
      </c>
      <c r="L68" s="80">
        <f t="shared" si="24"/>
        <v>1.6800689307201176E-3</v>
      </c>
      <c r="M68" s="134">
        <f>'POD Breezeway'!M68+'Express GL'!M68+'Starbucks GL-SBX Truck'!M68+'Miro''s'!M68+'Faculty Club'!M68+'Almazar &amp; Brand X'!M68+'Burger King'!M68+Bustelo!M68+Chilis!M68+Einstein!M68+Jamba!M68+'Pollo Tropical'!M68+'Subway GC'!M68+'Sushi Maki'!M68+Panda!M68+'Starbucks Mango'!M68+'Taco Bell'!M68+'Chick-fil-A'!M68+Dunkin!M68+Chipotle!M68+Sergios!M68+'Moes PG5'!M68+'Papa Johns'!M68+Salad!M68+'Half Moon &amp; Trop Smoothie'!M68+'Athletic Concessions -Kitchen'!M68+'Starbucks BBC'!M68+'Moes BBC'!M68+'Grille Works BBC &amp; Shipping'!M68+'Subway BBC'!M68+'Market Pavillion'!M68+'Chic Fil A BBC'!M68+Panera!M68+'Heritage Market'!M68</f>
        <v>38213.610937753183</v>
      </c>
      <c r="N68" s="80">
        <f t="shared" si="25"/>
        <v>1.6802745164205069E-3</v>
      </c>
      <c r="O68" s="134">
        <f>'POD Breezeway'!O68+'Express GL'!O68+'Starbucks GL-SBX Truck'!O68+'Miro''s'!O68+'Faculty Club'!O68+'Almazar &amp; Brand X'!O68+'Burger King'!O68+Bustelo!O68+Chilis!O68+Einstein!O68+Jamba!O68+'Pollo Tropical'!O68+'Subway GC'!O68+'Sushi Maki'!O68+Panda!O68+'Starbucks Mango'!O68+'Taco Bell'!O68+'Chick-fil-A'!O68+Dunkin!O68+Chipotle!O68+Sergios!O68+'Moes PG5'!O68+'Papa Johns'!O68+Salad!O68+'Half Moon &amp; Trop Smoothie'!O68+'Athletic Concessions -Kitchen'!O68+'Starbucks BBC'!O68+'Moes BBC'!O68+'Grille Works BBC &amp; Shipping'!O68+'Subway BBC'!O68+'Market Pavillion'!O68+'Chic Fil A BBC'!O68+Panera!O68+'Heritage Market'!O68</f>
        <v>39419.675389529235</v>
      </c>
      <c r="P68" s="80">
        <f t="shared" si="26"/>
        <v>1.6804930511633686E-3</v>
      </c>
      <c r="Q68" s="134">
        <f>'POD Breezeway'!Q68+'Express GL'!Q68+'Starbucks GL-SBX Truck'!Q68+'Miro''s'!Q68+'Faculty Club'!Q68+'Almazar &amp; Brand X'!Q68+'Burger King'!Q68+Bustelo!Q68+Chilis!Q68+Einstein!Q68+Jamba!Q68+'Pollo Tropical'!Q68+'Subway GC'!Q68+'Sushi Maki'!Q68+Panda!Q68+'Starbucks Mango'!Q68+'Taco Bell'!Q68+'Chick-fil-A'!Q68+Dunkin!Q68+Chipotle!Q68+Sergios!Q68+'Moes PG5'!Q68+'Papa Johns'!Q68+Salad!Q68+'Half Moon &amp; Trop Smoothie'!Q68+'Athletic Concessions -Kitchen'!Q68+'Starbucks BBC'!Q68+'Moes BBC'!Q68+'Grille Works BBC &amp; Shipping'!Q68+'Subway BBC'!Q68+'Market Pavillion'!Q68+'Chic Fil A BBC'!Q68+Panera!Q68+'Heritage Market'!Q68</f>
        <v>40684.128298147589</v>
      </c>
      <c r="R68" s="80">
        <f t="shared" si="27"/>
        <v>1.6807187200006555E-3</v>
      </c>
      <c r="S68" s="134">
        <f>'POD Breezeway'!S68+'Express GL'!S68+'Starbucks GL-SBX Truck'!S68+'Miro''s'!S68+'Faculty Club'!S68+'Almazar &amp; Brand X'!S68+'Burger King'!S68+Bustelo!S68+Chilis!S68+Einstein!S68+Jamba!S68+'Pollo Tropical'!S68+'Subway GC'!S68+'Sushi Maki'!S68+Panda!S68+'Starbucks Mango'!S68+'Taco Bell'!S68+'Chick-fil-A'!S68+Dunkin!S68+Chipotle!S68+Sergios!S68+'Moes PG5'!S68+'Papa Johns'!S68+Salad!S68+'Half Moon &amp; Trop Smoothie'!S68+'Athletic Concessions -Kitchen'!S68+'Starbucks BBC'!S68+'Moes BBC'!S68+'Grille Works BBC &amp; Shipping'!S68+'Subway BBC'!S68+'Market Pavillion'!S68+'Chic Fil A BBC'!S68+Panera!S68+'Heritage Market'!S68</f>
        <v>41999.768725436261</v>
      </c>
      <c r="T68" s="80">
        <f t="shared" si="28"/>
        <v>1.6809465763906024E-3</v>
      </c>
      <c r="U68" s="134">
        <f>'POD Breezeway'!U68+'Express GL'!U68+'Starbucks GL-SBX Truck'!U68+'Miro''s'!U68+'Faculty Club'!U68+'Almazar &amp; Brand X'!U68+'Burger King'!U68+Bustelo!U68+Chilis!U68+Einstein!U68+Jamba!U68+'Pollo Tropical'!U68+'Subway GC'!U68+'Sushi Maki'!U68+Panda!U68+'Starbucks Mango'!U68+'Taco Bell'!U68+'Chick-fil-A'!U68+Dunkin!U68+Chipotle!U68+Sergios!U68+'Moes PG5'!U68+'Papa Johns'!U68+Salad!U68+'Half Moon &amp; Trop Smoothie'!U68+'Athletic Concessions -Kitchen'!U68+'Starbucks BBC'!U68+'Moes BBC'!U68+'Grille Works BBC &amp; Shipping'!U68+'Subway BBC'!U68+'Market Pavillion'!U68+'Chic Fil A BBC'!U68+Panera!U68+'Heritage Market'!U68</f>
        <v>43367.156318993577</v>
      </c>
      <c r="V68" s="80">
        <f t="shared" si="29"/>
        <v>1.6811757211788144E-3</v>
      </c>
    </row>
    <row r="69" spans="1:22" ht="12.75" customHeight="1">
      <c r="A69" s="2" t="s">
        <v>413</v>
      </c>
      <c r="B69" s="35"/>
      <c r="C69" s="134">
        <f>'POD Breezeway'!C69+'Express GL'!C69+'Starbucks GL-SBX Truck'!C69+'Miro''s'!C69+'Faculty Club'!C69+'Almazar &amp; Brand X'!C69+'Burger King'!C69+Bustelo!C69+Chilis!C69+Einstein!C69+Jamba!C69+'Pollo Tropical'!C69+'Subway GC'!C69+'Sushi Maki'!C69+Panda!C69+'Starbucks Mango'!C69+'Taco Bell'!C69+'Chick-fil-A'!C69+Dunkin!C69+Chipotle!C69+Sergios!C69+'Moes PG5'!C69+'Papa Johns'!C69+Salad!C69+'Half Moon &amp; Trop Smoothie'!C69+'Athletic Concessions -Kitchen'!C69+'Starbucks BBC'!C69+'Moes BBC'!C69+'Grille Works BBC &amp; Shipping'!C69+'Subway BBC'!C69+'Market Pavillion'!C69+'Chic Fil A BBC'!C69+Panera!C69+'Heritage Market'!C69</f>
        <v>0</v>
      </c>
      <c r="D69" s="80">
        <f t="shared" si="20"/>
        <v>0</v>
      </c>
      <c r="E69" s="134">
        <f>'POD Breezeway'!E69+'Express GL'!E69+'Starbucks GL-SBX Truck'!E69+'Miro''s'!E69+'Faculty Club'!E69+'Almazar &amp; Brand X'!E69+'Burger King'!E69+Bustelo!E69+Chilis!E69+Einstein!E69+Jamba!E69+'Pollo Tropical'!E69+'Subway GC'!E69+'Sushi Maki'!E69+Panda!E69+'Starbucks Mango'!E69+'Taco Bell'!E69+'Chick-fil-A'!E69+Dunkin!E69+Chipotle!E69+Sergios!E69+'Moes PG5'!E69+'Papa Johns'!E69+Salad!E69+'Half Moon &amp; Trop Smoothie'!E69+'Athletic Concessions -Kitchen'!E69+'Starbucks BBC'!E69+'Moes BBC'!E69+'Grille Works BBC &amp; Shipping'!E69+'Subway BBC'!E69+'Market Pavillion'!E69+'Chic Fil A BBC'!E69+Panera!E69+'Heritage Market'!E69</f>
        <v>0</v>
      </c>
      <c r="F69" s="80">
        <f t="shared" si="21"/>
        <v>0</v>
      </c>
      <c r="G69" s="134">
        <f>'POD Breezeway'!G69+'Express GL'!G69+'Starbucks GL-SBX Truck'!G69+'Miro''s'!G69+'Faculty Club'!G69+'Almazar &amp; Brand X'!G69+'Burger King'!G69+Bustelo!G69+Chilis!G69+Einstein!G69+Jamba!G69+'Pollo Tropical'!G69+'Subway GC'!G69+'Sushi Maki'!G69+Panda!G69+'Starbucks Mango'!G69+'Taco Bell'!G69+'Chick-fil-A'!G69+Dunkin!G69+Chipotle!G69+Sergios!G69+'Moes PG5'!G69+'Papa Johns'!G69+Salad!G69+'Half Moon &amp; Trop Smoothie'!G69+'Athletic Concessions -Kitchen'!G69+'Starbucks BBC'!G69+'Moes BBC'!G69+'Grille Works BBC &amp; Shipping'!G69+'Subway BBC'!G69+'Market Pavillion'!G69+'Chic Fil A BBC'!G69+Panera!G69+'Heritage Market'!G69</f>
        <v>0</v>
      </c>
      <c r="H69" s="80">
        <f t="shared" si="22"/>
        <v>0</v>
      </c>
      <c r="I69" s="134">
        <f>'POD Breezeway'!I69+'Express GL'!I69+'Starbucks GL-SBX Truck'!I69+'Miro''s'!I69+'Faculty Club'!I69+'Almazar &amp; Brand X'!I69+'Burger King'!I69+Bustelo!I69+Chilis!I69+Einstein!I69+Jamba!I69+'Pollo Tropical'!I69+'Subway GC'!I69+'Sushi Maki'!I69+Panda!I69+'Starbucks Mango'!I69+'Taco Bell'!I69+'Chick-fil-A'!I69+Dunkin!I69+Chipotle!I69+Sergios!I69+'Moes PG5'!I69+'Papa Johns'!I69+Salad!I69+'Half Moon &amp; Trop Smoothie'!I69+'Athletic Concessions -Kitchen'!I69+'Starbucks BBC'!I69+'Moes BBC'!I69+'Grille Works BBC &amp; Shipping'!I69+'Subway BBC'!I69+'Market Pavillion'!I69+'Chic Fil A BBC'!I69+Panera!I69+'Heritage Market'!I69</f>
        <v>0</v>
      </c>
      <c r="J69" s="80">
        <f t="shared" si="23"/>
        <v>0</v>
      </c>
      <c r="K69" s="134">
        <f>'POD Breezeway'!K69+'Express GL'!K69+'Starbucks GL-SBX Truck'!K69+'Miro''s'!K69+'Faculty Club'!K69+'Almazar &amp; Brand X'!K69+'Burger King'!K69+Bustelo!K69+Chilis!K69+Einstein!K69+Jamba!K69+'Pollo Tropical'!K69+'Subway GC'!K69+'Sushi Maki'!K69+Panda!K69+'Starbucks Mango'!K69+'Taco Bell'!K69+'Chick-fil-A'!K69+Dunkin!K69+Chipotle!K69+Sergios!K69+'Moes PG5'!K69+'Papa Johns'!K69+Salad!K69+'Half Moon &amp; Trop Smoothie'!K69+'Athletic Concessions -Kitchen'!K69+'Starbucks BBC'!K69+'Moes BBC'!K69+'Grille Works BBC &amp; Shipping'!K69+'Subway BBC'!K69+'Market Pavillion'!K69+'Chic Fil A BBC'!K69+Panera!K69+'Heritage Market'!K69</f>
        <v>0</v>
      </c>
      <c r="L69" s="80">
        <f t="shared" si="24"/>
        <v>0</v>
      </c>
      <c r="M69" s="134">
        <f>'POD Breezeway'!M69+'Express GL'!M69+'Starbucks GL-SBX Truck'!M69+'Miro''s'!M69+'Faculty Club'!M69+'Almazar &amp; Brand X'!M69+'Burger King'!M69+Bustelo!M69+Chilis!M69+Einstein!M69+Jamba!M69+'Pollo Tropical'!M69+'Subway GC'!M69+'Sushi Maki'!M69+Panda!M69+'Starbucks Mango'!M69+'Taco Bell'!M69+'Chick-fil-A'!M69+Dunkin!M69+Chipotle!M69+Sergios!M69+'Moes PG5'!M69+'Papa Johns'!M69+Salad!M69+'Half Moon &amp; Trop Smoothie'!M69+'Athletic Concessions -Kitchen'!M69+'Starbucks BBC'!M69+'Moes BBC'!M69+'Grille Works BBC &amp; Shipping'!M69+'Subway BBC'!M69+'Market Pavillion'!M69+'Chic Fil A BBC'!M69+Panera!M69+'Heritage Market'!M69</f>
        <v>0</v>
      </c>
      <c r="N69" s="80">
        <f t="shared" si="25"/>
        <v>0</v>
      </c>
      <c r="O69" s="134">
        <f>'POD Breezeway'!O69+'Express GL'!O69+'Starbucks GL-SBX Truck'!O69+'Miro''s'!O69+'Faculty Club'!O69+'Almazar &amp; Brand X'!O69+'Burger King'!O69+Bustelo!O69+Chilis!O69+Einstein!O69+Jamba!O69+'Pollo Tropical'!O69+'Subway GC'!O69+'Sushi Maki'!O69+Panda!O69+'Starbucks Mango'!O69+'Taco Bell'!O69+'Chick-fil-A'!O69+Dunkin!O69+Chipotle!O69+Sergios!O69+'Moes PG5'!O69+'Papa Johns'!O69+Salad!O69+'Half Moon &amp; Trop Smoothie'!O69+'Athletic Concessions -Kitchen'!O69+'Starbucks BBC'!O69+'Moes BBC'!O69+'Grille Works BBC &amp; Shipping'!O69+'Subway BBC'!O69+'Market Pavillion'!O69+'Chic Fil A BBC'!O69+Panera!O69+'Heritage Market'!O69</f>
        <v>0</v>
      </c>
      <c r="P69" s="80">
        <f t="shared" si="26"/>
        <v>0</v>
      </c>
      <c r="Q69" s="134">
        <f>'POD Breezeway'!Q69+'Express GL'!Q69+'Starbucks GL-SBX Truck'!Q69+'Miro''s'!Q69+'Faculty Club'!Q69+'Almazar &amp; Brand X'!Q69+'Burger King'!Q69+Bustelo!Q69+Chilis!Q69+Einstein!Q69+Jamba!Q69+'Pollo Tropical'!Q69+'Subway GC'!Q69+'Sushi Maki'!Q69+Panda!Q69+'Starbucks Mango'!Q69+'Taco Bell'!Q69+'Chick-fil-A'!Q69+Dunkin!Q69+Chipotle!Q69+Sergios!Q69+'Moes PG5'!Q69+'Papa Johns'!Q69+Salad!Q69+'Half Moon &amp; Trop Smoothie'!Q69+'Athletic Concessions -Kitchen'!Q69+'Starbucks BBC'!Q69+'Moes BBC'!Q69+'Grille Works BBC &amp; Shipping'!Q69+'Subway BBC'!Q69+'Market Pavillion'!Q69+'Chic Fil A BBC'!Q69+Panera!Q69+'Heritage Market'!Q69</f>
        <v>0</v>
      </c>
      <c r="R69" s="80">
        <f t="shared" si="27"/>
        <v>0</v>
      </c>
      <c r="S69" s="134">
        <f>'POD Breezeway'!S69+'Express GL'!S69+'Starbucks GL-SBX Truck'!S69+'Miro''s'!S69+'Faculty Club'!S69+'Almazar &amp; Brand X'!S69+'Burger King'!S69+Bustelo!S69+Chilis!S69+Einstein!S69+Jamba!S69+'Pollo Tropical'!S69+'Subway GC'!S69+'Sushi Maki'!S69+Panda!S69+'Starbucks Mango'!S69+'Taco Bell'!S69+'Chick-fil-A'!S69+Dunkin!S69+Chipotle!S69+Sergios!S69+'Moes PG5'!S69+'Papa Johns'!S69+Salad!S69+'Half Moon &amp; Trop Smoothie'!S69+'Athletic Concessions -Kitchen'!S69+'Starbucks BBC'!S69+'Moes BBC'!S69+'Grille Works BBC &amp; Shipping'!S69+'Subway BBC'!S69+'Market Pavillion'!S69+'Chic Fil A BBC'!S69+Panera!S69+'Heritage Market'!S69</f>
        <v>0</v>
      </c>
      <c r="T69" s="80">
        <f t="shared" si="28"/>
        <v>0</v>
      </c>
      <c r="U69" s="134">
        <f>'POD Breezeway'!U69+'Express GL'!U69+'Starbucks GL-SBX Truck'!U69+'Miro''s'!U69+'Faculty Club'!U69+'Almazar &amp; Brand X'!U69+'Burger King'!U69+Bustelo!U69+Chilis!U69+Einstein!U69+Jamba!U69+'Pollo Tropical'!U69+'Subway GC'!U69+'Sushi Maki'!U69+Panda!U69+'Starbucks Mango'!U69+'Taco Bell'!U69+'Chick-fil-A'!U69+Dunkin!U69+Chipotle!U69+Sergios!U69+'Moes PG5'!U69+'Papa Johns'!U69+Salad!U69+'Half Moon &amp; Trop Smoothie'!U69+'Athletic Concessions -Kitchen'!U69+'Starbucks BBC'!U69+'Moes BBC'!U69+'Grille Works BBC &amp; Shipping'!U69+'Subway BBC'!U69+'Market Pavillion'!U69+'Chic Fil A BBC'!U69+Panera!U69+'Heritage Market'!U69</f>
        <v>0</v>
      </c>
      <c r="V69" s="80">
        <f t="shared" si="29"/>
        <v>0</v>
      </c>
    </row>
    <row r="70" spans="1:22" ht="12.75" customHeight="1">
      <c r="A70" s="214" t="s">
        <v>414</v>
      </c>
      <c r="B70" s="215"/>
      <c r="C70" s="134">
        <f>'POD Breezeway'!C70+'Express GL'!C70+'Starbucks GL-SBX Truck'!C70+'Miro''s'!C70+'Faculty Club'!C70+'Almazar &amp; Brand X'!C70+'Burger King'!C70+Bustelo!C70+Chilis!C70+Einstein!C70+Jamba!C70+'Pollo Tropical'!C70+'Subway GC'!C70+'Sushi Maki'!C70+Panda!C70+'Starbucks Mango'!C70+'Taco Bell'!C70+'Chick-fil-A'!C70+Dunkin!C70+Chipotle!C70+Sergios!C70+'Moes PG5'!C70+'Papa Johns'!C70+Salad!C70+'Half Moon &amp; Trop Smoothie'!C70+'Athletic Concessions -Kitchen'!C70+'Starbucks BBC'!C70+'Moes BBC'!C70+'Grille Works BBC &amp; Shipping'!C70+'Subway BBC'!C70+'Market Pavillion'!C70+'Chic Fil A BBC'!C70+Panera!C70+'Heritage Market'!C70</f>
        <v>1557.5299379999997</v>
      </c>
      <c r="D70" s="80">
        <f t="shared" si="20"/>
        <v>9.8256958219947131E-5</v>
      </c>
      <c r="E70" s="134">
        <f>'POD Breezeway'!E70+'Express GL'!E70+'Starbucks GL-SBX Truck'!E70+'Miro''s'!E70+'Faculty Club'!E70+'Almazar &amp; Brand X'!E70+'Burger King'!E70+Bustelo!E70+Chilis!E70+Einstein!E70+Jamba!E70+'Pollo Tropical'!E70+'Subway GC'!E70+'Sushi Maki'!E70+Panda!E70+'Starbucks Mango'!E70+'Taco Bell'!E70+'Chick-fil-A'!E70+Dunkin!E70+Chipotle!E70+Sergios!E70+'Moes PG5'!E70+'Papa Johns'!E70+Salad!E70+'Half Moon &amp; Trop Smoothie'!E70+'Athletic Concessions -Kitchen'!E70+'Starbucks BBC'!E70+'Moes BBC'!E70+'Grille Works BBC &amp; Shipping'!E70+'Subway BBC'!E70+'Market Pavillion'!E70+'Chic Fil A BBC'!E70+Panera!E70+'Heritage Market'!E70</f>
        <v>1852.3625000000002</v>
      </c>
      <c r="F70" s="80">
        <f t="shared" si="21"/>
        <v>9.8477271539561492E-5</v>
      </c>
      <c r="G70" s="134">
        <f>'POD Breezeway'!G70+'Express GL'!G70+'Starbucks GL-SBX Truck'!G70+'Miro''s'!G70+'Faculty Club'!G70+'Almazar &amp; Brand X'!G70+'Burger King'!G70+Bustelo!G70+Chilis!G70+Einstein!G70+Jamba!G70+'Pollo Tropical'!G70+'Subway GC'!G70+'Sushi Maki'!G70+Panda!G70+'Starbucks Mango'!G70+'Taco Bell'!G70+'Chick-fil-A'!G70+Dunkin!G70+Chipotle!G70+Sergios!G70+'Moes PG5'!G70+'Papa Johns'!G70+Salad!G70+'Half Moon &amp; Trop Smoothie'!G70+'Athletic Concessions -Kitchen'!G70+'Starbucks BBC'!G70+'Moes BBC'!G70+'Grille Works BBC &amp; Shipping'!G70+'Subway BBC'!G70+'Market Pavillion'!G70+'Chic Fil A BBC'!G70+Panera!G70+'Heritage Market'!G70</f>
        <v>2038.9191500000004</v>
      </c>
      <c r="H70" s="80">
        <f t="shared" si="22"/>
        <v>9.8795098752814823E-5</v>
      </c>
      <c r="I70" s="134">
        <f>'POD Breezeway'!I70+'Express GL'!I70+'Starbucks GL-SBX Truck'!I70+'Miro''s'!I70+'Faculty Club'!I70+'Almazar &amp; Brand X'!I70+'Burger King'!I70+Bustelo!I70+Chilis!I70+Einstein!I70+Jamba!I70+'Pollo Tropical'!I70+'Subway GC'!I70+'Sushi Maki'!I70+Panda!I70+'Starbucks Mango'!I70+'Taco Bell'!I70+'Chick-fil-A'!I70+Dunkin!I70+Chipotle!I70+Sergios!I70+'Moes PG5'!I70+'Papa Johns'!I70+Salad!I70+'Half Moon &amp; Trop Smoothie'!I70+'Athletic Concessions -Kitchen'!I70+'Starbucks BBC'!I70+'Moes BBC'!I70+'Grille Works BBC &amp; Shipping'!I70+'Subway BBC'!I70+'Market Pavillion'!I70+'Chic Fil A BBC'!I70+Panera!I70+'Heritage Market'!I70</f>
        <v>2116.50324495</v>
      </c>
      <c r="J70" s="80">
        <f t="shared" si="23"/>
        <v>9.8815803700876828E-5</v>
      </c>
      <c r="K70" s="134">
        <f>'POD Breezeway'!K70+'Express GL'!K70+'Starbucks GL-SBX Truck'!K70+'Miro''s'!K70+'Faculty Club'!K70+'Almazar &amp; Brand X'!K70+'Burger King'!K70+Bustelo!K70+Chilis!K70+Einstein!K70+Jamba!K70+'Pollo Tropical'!K70+'Subway GC'!K70+'Sushi Maki'!K70+Panda!K70+'Starbucks Mango'!K70+'Taco Bell'!K70+'Chick-fil-A'!K70+Dunkin!K70+Chipotle!K70+Sergios!K70+'Moes PG5'!K70+'Papa Johns'!K70+Salad!K70+'Half Moon &amp; Trop Smoothie'!K70+'Athletic Concessions -Kitchen'!K70+'Starbucks BBC'!K70+'Moes BBC'!K70+'Grille Works BBC &amp; Shipping'!K70+'Subway BBC'!K70+'Market Pavillion'!K70+'Chic Fil A BBC'!K70+Panera!K70+'Heritage Market'!K70</f>
        <v>2180.7852668185001</v>
      </c>
      <c r="L70" s="80">
        <f t="shared" si="24"/>
        <v>9.8827584160006928E-5</v>
      </c>
      <c r="M70" s="134">
        <f>'POD Breezeway'!M70+'Express GL'!M70+'Starbucks GL-SBX Truck'!M70+'Miro''s'!M70+'Faculty Club'!M70+'Almazar &amp; Brand X'!M70+'Burger King'!M70+Bustelo!M70+Chilis!M70+Einstein!M70+Jamba!M70+'Pollo Tropical'!M70+'Subway GC'!M70+'Sushi Maki'!M70+Panda!M70+'Starbucks Mango'!M70+'Taco Bell'!M70+'Chick-fil-A'!M70+Dunkin!M70+Chipotle!M70+Sergios!M70+'Moes PG5'!M70+'Papa Johns'!M70+Salad!M70+'Half Moon &amp; Trop Smoothie'!M70+'Athletic Concessions -Kitchen'!M70+'Starbucks BBC'!M70+'Moes BBC'!M70+'Grille Works BBC &amp; Shipping'!M70+'Subway BBC'!M70+'Market Pavillion'!M70+'Chic Fil A BBC'!M70+Panera!M70+'Heritage Market'!M70</f>
        <v>2247.8594669266581</v>
      </c>
      <c r="N70" s="80">
        <f t="shared" si="25"/>
        <v>9.8839677436500417E-5</v>
      </c>
      <c r="O70" s="134">
        <f>'POD Breezeway'!O70+'Express GL'!O70+'Starbucks GL-SBX Truck'!O70+'Miro''s'!O70+'Faculty Club'!O70+'Almazar &amp; Brand X'!O70+'Burger King'!O70+Bustelo!O70+Chilis!O70+Einstein!O70+Jamba!O70+'Pollo Tropical'!O70+'Subway GC'!O70+'Sushi Maki'!O70+Panda!O70+'Starbucks Mango'!O70+'Taco Bell'!O70+'Chick-fil-A'!O70+Dunkin!O70+Chipotle!O70+Sergios!O70+'Moes PG5'!O70+'Papa Johns'!O70+Salad!O70+'Half Moon &amp; Trop Smoothie'!O70+'Athletic Concessions -Kitchen'!O70+'Starbucks BBC'!O70+'Moes BBC'!O70+'Grille Works BBC &amp; Shipping'!O70+'Subway BBC'!O70+'Market Pavillion'!O70+'Chic Fil A BBC'!O70+Panera!O70+'Heritage Market'!O70</f>
        <v>2318.8044346781903</v>
      </c>
      <c r="P70" s="80">
        <f t="shared" si="26"/>
        <v>9.8852532421374629E-5</v>
      </c>
      <c r="Q70" s="134">
        <f>'POD Breezeway'!Q70+'Express GL'!Q70+'Starbucks GL-SBX Truck'!Q70+'Miro''s'!Q70+'Faculty Club'!Q70+'Almazar &amp; Brand X'!Q70+'Burger King'!Q70+Bustelo!Q70+Chilis!Q70+Einstein!Q70+Jamba!Q70+'Pollo Tropical'!Q70+'Subway GC'!Q70+'Sushi Maki'!Q70+Panda!Q70+'Starbucks Mango'!Q70+'Taco Bell'!Q70+'Chick-fil-A'!Q70+Dunkin!Q70+Chipotle!Q70+Sergios!Q70+'Moes PG5'!Q70+'Papa Johns'!Q70+Salad!Q70+'Half Moon &amp; Trop Smoothie'!Q70+'Athletic Concessions -Kitchen'!Q70+'Starbucks BBC'!Q70+'Moes BBC'!Q70+'Grille Works BBC &amp; Shipping'!Q70+'Subway BBC'!Q70+'Market Pavillion'!Q70+'Chic Fil A BBC'!Q70+Panera!Q70+'Heritage Market'!Q70</f>
        <v>2393.1840175380935</v>
      </c>
      <c r="R70" s="80">
        <f t="shared" si="27"/>
        <v>9.8865807058862092E-5</v>
      </c>
      <c r="S70" s="134">
        <f>'POD Breezeway'!S70+'Express GL'!S70+'Starbucks GL-SBX Truck'!S70+'Miro''s'!S70+'Faculty Club'!S70+'Almazar &amp; Brand X'!S70+'Burger King'!S70+Bustelo!S70+Chilis!S70+Einstein!S70+Jamba!S70+'Pollo Tropical'!S70+'Subway GC'!S70+'Sushi Maki'!S70+Panda!S70+'Starbucks Mango'!S70+'Taco Bell'!S70+'Chick-fil-A'!S70+Dunkin!S70+Chipotle!S70+Sergios!S70+'Moes PG5'!S70+'Papa Johns'!S70+Salad!S70+'Half Moon &amp; Trop Smoothie'!S70+'Athletic Concessions -Kitchen'!S70+'Starbucks BBC'!S70+'Moes BBC'!S70+'Grille Works BBC &amp; Shipping'!S70+'Subway BBC'!S70+'Market Pavillion'!S70+'Chic Fil A BBC'!S70+Panera!S70+'Heritage Market'!S70</f>
        <v>2470.574630908015</v>
      </c>
      <c r="T70" s="80">
        <f t="shared" si="28"/>
        <v>9.8879210375917763E-5</v>
      </c>
      <c r="U70" s="134">
        <f>'POD Breezeway'!U70+'Express GL'!U70+'Starbucks GL-SBX Truck'!U70+'Miro''s'!U70+'Faculty Club'!U70+'Almazar &amp; Brand X'!U70+'Burger King'!U70+Bustelo!U70+Chilis!U70+Einstein!U70+Jamba!U70+'Pollo Tropical'!U70+'Subway GC'!U70+'Sushi Maki'!U70+Panda!U70+'Starbucks Mango'!U70+'Taco Bell'!U70+'Chick-fil-A'!U70+Dunkin!U70+Chipotle!U70+Sergios!U70+'Moes PG5'!U70+'Papa Johns'!U70+Salad!U70+'Half Moon &amp; Trop Smoothie'!U70+'Athletic Concessions -Kitchen'!U70+'Starbucks BBC'!U70+'Moes BBC'!U70+'Grille Works BBC &amp; Shipping'!U70+'Subway BBC'!U70+'Market Pavillion'!U70+'Chic Fil A BBC'!U70+Panera!U70+'Heritage Market'!U70</f>
        <v>2551.0091952349176</v>
      </c>
      <c r="V70" s="80">
        <f t="shared" si="29"/>
        <v>9.8892689481106785E-5</v>
      </c>
    </row>
    <row r="71" spans="1:22" ht="12.75" customHeight="1">
      <c r="A71" s="2" t="s">
        <v>415</v>
      </c>
      <c r="B71" s="35"/>
      <c r="C71" s="134">
        <f>'POD Breezeway'!C71+'Express GL'!C71+'Starbucks GL-SBX Truck'!C71+'Miro''s'!C71+'Faculty Club'!C71+'Almazar &amp; Brand X'!C71+'Burger King'!C71+Bustelo!C71+Chilis!C71+Einstein!C71+Jamba!C71+'Pollo Tropical'!C71+'Subway GC'!C71+'Sushi Maki'!C71+Panda!C71+'Starbucks Mango'!C71+'Taco Bell'!C71+'Chick-fil-A'!C71+Dunkin!C71+Chipotle!C71+Sergios!C71+'Moes PG5'!C71+'Papa Johns'!C71+Salad!C71+'Half Moon &amp; Trop Smoothie'!C71+'Athletic Concessions -Kitchen'!C71+'Starbucks BBC'!C71+'Moes BBC'!C71+'Grille Works BBC &amp; Shipping'!C71+'Subway BBC'!C71+'Market Pavillion'!C71+'Chic Fil A BBC'!C71+Panera!C71+'Heritage Market'!C71</f>
        <v>0</v>
      </c>
      <c r="D71" s="80">
        <f t="shared" si="20"/>
        <v>0</v>
      </c>
      <c r="E71" s="134">
        <f>'POD Breezeway'!E71+'Express GL'!E71+'Starbucks GL-SBX Truck'!E71+'Miro''s'!E71+'Faculty Club'!E71+'Almazar &amp; Brand X'!E71+'Burger King'!E71+Bustelo!E71+Chilis!E71+Einstein!E71+Jamba!E71+'Pollo Tropical'!E71+'Subway GC'!E71+'Sushi Maki'!E71+Panda!E71+'Starbucks Mango'!E71+'Taco Bell'!E71+'Chick-fil-A'!E71+Dunkin!E71+Chipotle!E71+Sergios!E71+'Moes PG5'!E71+'Papa Johns'!E71+Salad!E71+'Half Moon &amp; Trop Smoothie'!E71+'Athletic Concessions -Kitchen'!E71+'Starbucks BBC'!E71+'Moes BBC'!E71+'Grille Works BBC &amp; Shipping'!E71+'Subway BBC'!E71+'Market Pavillion'!E71+'Chic Fil A BBC'!E71+Panera!E71+'Heritage Market'!E71</f>
        <v>0</v>
      </c>
      <c r="F71" s="80">
        <f t="shared" si="21"/>
        <v>0</v>
      </c>
      <c r="G71" s="134">
        <f>'POD Breezeway'!G71+'Express GL'!G71+'Starbucks GL-SBX Truck'!G71+'Miro''s'!G71+'Faculty Club'!G71+'Almazar &amp; Brand X'!G71+'Burger King'!G71+Bustelo!G71+Chilis!G71+Einstein!G71+Jamba!G71+'Pollo Tropical'!G71+'Subway GC'!G71+'Sushi Maki'!G71+Panda!G71+'Starbucks Mango'!G71+'Taco Bell'!G71+'Chick-fil-A'!G71+Dunkin!G71+Chipotle!G71+Sergios!G71+'Moes PG5'!G71+'Papa Johns'!G71+Salad!G71+'Half Moon &amp; Trop Smoothie'!G71+'Athletic Concessions -Kitchen'!G71+'Starbucks BBC'!G71+'Moes BBC'!G71+'Grille Works BBC &amp; Shipping'!G71+'Subway BBC'!G71+'Market Pavillion'!G71+'Chic Fil A BBC'!G71+Panera!G71+'Heritage Market'!G71</f>
        <v>0</v>
      </c>
      <c r="H71" s="80">
        <f t="shared" si="22"/>
        <v>0</v>
      </c>
      <c r="I71" s="134">
        <f>'POD Breezeway'!I71+'Express GL'!I71+'Starbucks GL-SBX Truck'!I71+'Miro''s'!I71+'Faculty Club'!I71+'Almazar &amp; Brand X'!I71+'Burger King'!I71+Bustelo!I71+Chilis!I71+Einstein!I71+Jamba!I71+'Pollo Tropical'!I71+'Subway GC'!I71+'Sushi Maki'!I71+Panda!I71+'Starbucks Mango'!I71+'Taco Bell'!I71+'Chick-fil-A'!I71+Dunkin!I71+Chipotle!I71+Sergios!I71+'Moes PG5'!I71+'Papa Johns'!I71+Salad!I71+'Half Moon &amp; Trop Smoothie'!I71+'Athletic Concessions -Kitchen'!I71+'Starbucks BBC'!I71+'Moes BBC'!I71+'Grille Works BBC &amp; Shipping'!I71+'Subway BBC'!I71+'Market Pavillion'!I71+'Chic Fil A BBC'!I71+Panera!I71+'Heritage Market'!I71</f>
        <v>0</v>
      </c>
      <c r="J71" s="80">
        <f t="shared" si="23"/>
        <v>0</v>
      </c>
      <c r="K71" s="134">
        <f>'POD Breezeway'!K71+'Express GL'!K71+'Starbucks GL-SBX Truck'!K71+'Miro''s'!K71+'Faculty Club'!K71+'Almazar &amp; Brand X'!K71+'Burger King'!K71+Bustelo!K71+Chilis!K71+Einstein!K71+Jamba!K71+'Pollo Tropical'!K71+'Subway GC'!K71+'Sushi Maki'!K71+Panda!K71+'Starbucks Mango'!K71+'Taco Bell'!K71+'Chick-fil-A'!K71+Dunkin!K71+Chipotle!K71+Sergios!K71+'Moes PG5'!K71+'Papa Johns'!K71+Salad!K71+'Half Moon &amp; Trop Smoothie'!K71+'Athletic Concessions -Kitchen'!K71+'Starbucks BBC'!K71+'Moes BBC'!K71+'Grille Works BBC &amp; Shipping'!K71+'Subway BBC'!K71+'Market Pavillion'!K71+'Chic Fil A BBC'!K71+Panera!K71+'Heritage Market'!K71</f>
        <v>0</v>
      </c>
      <c r="L71" s="80">
        <f t="shared" si="24"/>
        <v>0</v>
      </c>
      <c r="M71" s="134">
        <f>'POD Breezeway'!M71+'Express GL'!M71+'Starbucks GL-SBX Truck'!M71+'Miro''s'!M71+'Faculty Club'!M71+'Almazar &amp; Brand X'!M71+'Burger King'!M71+Bustelo!M71+Chilis!M71+Einstein!M71+Jamba!M71+'Pollo Tropical'!M71+'Subway GC'!M71+'Sushi Maki'!M71+Panda!M71+'Starbucks Mango'!M71+'Taco Bell'!M71+'Chick-fil-A'!M71+Dunkin!M71+Chipotle!M71+Sergios!M71+'Moes PG5'!M71+'Papa Johns'!M71+Salad!M71+'Half Moon &amp; Trop Smoothie'!M71+'Athletic Concessions -Kitchen'!M71+'Starbucks BBC'!M71+'Moes BBC'!M71+'Grille Works BBC &amp; Shipping'!M71+'Subway BBC'!M71+'Market Pavillion'!M71+'Chic Fil A BBC'!M71+Panera!M71+'Heritage Market'!M71</f>
        <v>0</v>
      </c>
      <c r="N71" s="80">
        <f t="shared" si="25"/>
        <v>0</v>
      </c>
      <c r="O71" s="134">
        <f>'POD Breezeway'!O71+'Express GL'!O71+'Starbucks GL-SBX Truck'!O71+'Miro''s'!O71+'Faculty Club'!O71+'Almazar &amp; Brand X'!O71+'Burger King'!O71+Bustelo!O71+Chilis!O71+Einstein!O71+Jamba!O71+'Pollo Tropical'!O71+'Subway GC'!O71+'Sushi Maki'!O71+Panda!O71+'Starbucks Mango'!O71+'Taco Bell'!O71+'Chick-fil-A'!O71+Dunkin!O71+Chipotle!O71+Sergios!O71+'Moes PG5'!O71+'Papa Johns'!O71+Salad!O71+'Half Moon &amp; Trop Smoothie'!O71+'Athletic Concessions -Kitchen'!O71+'Starbucks BBC'!O71+'Moes BBC'!O71+'Grille Works BBC &amp; Shipping'!O71+'Subway BBC'!O71+'Market Pavillion'!O71+'Chic Fil A BBC'!O71+Panera!O71+'Heritage Market'!O71</f>
        <v>0</v>
      </c>
      <c r="P71" s="80">
        <f t="shared" si="26"/>
        <v>0</v>
      </c>
      <c r="Q71" s="134">
        <f>'POD Breezeway'!Q71+'Express GL'!Q71+'Starbucks GL-SBX Truck'!Q71+'Miro''s'!Q71+'Faculty Club'!Q71+'Almazar &amp; Brand X'!Q71+'Burger King'!Q71+Bustelo!Q71+Chilis!Q71+Einstein!Q71+Jamba!Q71+'Pollo Tropical'!Q71+'Subway GC'!Q71+'Sushi Maki'!Q71+Panda!Q71+'Starbucks Mango'!Q71+'Taco Bell'!Q71+'Chick-fil-A'!Q71+Dunkin!Q71+Chipotle!Q71+Sergios!Q71+'Moes PG5'!Q71+'Papa Johns'!Q71+Salad!Q71+'Half Moon &amp; Trop Smoothie'!Q71+'Athletic Concessions -Kitchen'!Q71+'Starbucks BBC'!Q71+'Moes BBC'!Q71+'Grille Works BBC &amp; Shipping'!Q71+'Subway BBC'!Q71+'Market Pavillion'!Q71+'Chic Fil A BBC'!Q71+Panera!Q71+'Heritage Market'!Q71</f>
        <v>0</v>
      </c>
      <c r="R71" s="80">
        <f t="shared" si="27"/>
        <v>0</v>
      </c>
      <c r="S71" s="134">
        <f>'POD Breezeway'!S71+'Express GL'!S71+'Starbucks GL-SBX Truck'!S71+'Miro''s'!S71+'Faculty Club'!S71+'Almazar &amp; Brand X'!S71+'Burger King'!S71+Bustelo!S71+Chilis!S71+Einstein!S71+Jamba!S71+'Pollo Tropical'!S71+'Subway GC'!S71+'Sushi Maki'!S71+Panda!S71+'Starbucks Mango'!S71+'Taco Bell'!S71+'Chick-fil-A'!S71+Dunkin!S71+Chipotle!S71+Sergios!S71+'Moes PG5'!S71+'Papa Johns'!S71+Salad!S71+'Half Moon &amp; Trop Smoothie'!S71+'Athletic Concessions -Kitchen'!S71+'Starbucks BBC'!S71+'Moes BBC'!S71+'Grille Works BBC &amp; Shipping'!S71+'Subway BBC'!S71+'Market Pavillion'!S71+'Chic Fil A BBC'!S71+Panera!S71+'Heritage Market'!S71</f>
        <v>0</v>
      </c>
      <c r="T71" s="80">
        <f t="shared" si="28"/>
        <v>0</v>
      </c>
      <c r="U71" s="134">
        <f>'POD Breezeway'!U71+'Express GL'!U71+'Starbucks GL-SBX Truck'!U71+'Miro''s'!U71+'Faculty Club'!U71+'Almazar &amp; Brand X'!U71+'Burger King'!U71+Bustelo!U71+Chilis!U71+Einstein!U71+Jamba!U71+'Pollo Tropical'!U71+'Subway GC'!U71+'Sushi Maki'!U71+Panda!U71+'Starbucks Mango'!U71+'Taco Bell'!U71+'Chick-fil-A'!U71+Dunkin!U71+Chipotle!U71+Sergios!U71+'Moes PG5'!U71+'Papa Johns'!U71+Salad!U71+'Half Moon &amp; Trop Smoothie'!U71+'Athletic Concessions -Kitchen'!U71+'Starbucks BBC'!U71+'Moes BBC'!U71+'Grille Works BBC &amp; Shipping'!U71+'Subway BBC'!U71+'Market Pavillion'!U71+'Chic Fil A BBC'!U71+Panera!U71+'Heritage Market'!U71</f>
        <v>0</v>
      </c>
      <c r="V71" s="80">
        <f t="shared" si="29"/>
        <v>0</v>
      </c>
    </row>
    <row r="72" spans="1:22" ht="12.75" customHeight="1">
      <c r="A72" s="2" t="s">
        <v>416</v>
      </c>
      <c r="B72" s="35"/>
      <c r="C72" s="134">
        <f>'POD Breezeway'!C72+'Express GL'!C72+'Starbucks GL-SBX Truck'!C72+'Miro''s'!C72+'Faculty Club'!C72+'Almazar &amp; Brand X'!C72+'Burger King'!C72+Bustelo!C72+Chilis!C72+Einstein!C72+Jamba!C72+'Pollo Tropical'!C72+'Subway GC'!C72+'Sushi Maki'!C72+Panda!C72+'Starbucks Mango'!C72+'Taco Bell'!C72+'Chick-fil-A'!C72+Dunkin!C72+Chipotle!C72+Sergios!C72+'Moes PG5'!C72+'Papa Johns'!C72+Salad!C72+'Half Moon &amp; Trop Smoothie'!C72+'Athletic Concessions -Kitchen'!C72+'Starbucks BBC'!C72+'Moes BBC'!C72+'Grille Works BBC &amp; Shipping'!C72+'Subway BBC'!C72+'Market Pavillion'!C72+'Chic Fil A BBC'!C72+Panera!C72+'Heritage Market'!C72</f>
        <v>0</v>
      </c>
      <c r="D72" s="80">
        <f t="shared" si="20"/>
        <v>0</v>
      </c>
      <c r="E72" s="134">
        <f>'POD Breezeway'!E72+'Express GL'!E72+'Starbucks GL-SBX Truck'!E72+'Miro''s'!E72+'Faculty Club'!E72+'Almazar &amp; Brand X'!E72+'Burger King'!E72+Bustelo!E72+Chilis!E72+Einstein!E72+Jamba!E72+'Pollo Tropical'!E72+'Subway GC'!E72+'Sushi Maki'!E72+Panda!E72+'Starbucks Mango'!E72+'Taco Bell'!E72+'Chick-fil-A'!E72+Dunkin!E72+Chipotle!E72+Sergios!E72+'Moes PG5'!E72+'Papa Johns'!E72+Salad!E72+'Half Moon &amp; Trop Smoothie'!E72+'Athletic Concessions -Kitchen'!E72+'Starbucks BBC'!E72+'Moes BBC'!E72+'Grille Works BBC &amp; Shipping'!E72+'Subway BBC'!E72+'Market Pavillion'!E72+'Chic Fil A BBC'!E72+Panera!E72+'Heritage Market'!E72</f>
        <v>0</v>
      </c>
      <c r="F72" s="80">
        <f t="shared" si="21"/>
        <v>0</v>
      </c>
      <c r="G72" s="134">
        <f>'POD Breezeway'!G72+'Express GL'!G72+'Starbucks GL-SBX Truck'!G72+'Miro''s'!G72+'Faculty Club'!G72+'Almazar &amp; Brand X'!G72+'Burger King'!G72+Bustelo!G72+Chilis!G72+Einstein!G72+Jamba!G72+'Pollo Tropical'!G72+'Subway GC'!G72+'Sushi Maki'!G72+Panda!G72+'Starbucks Mango'!G72+'Taco Bell'!G72+'Chick-fil-A'!G72+Dunkin!G72+Chipotle!G72+Sergios!G72+'Moes PG5'!G72+'Papa Johns'!G72+Salad!G72+'Half Moon &amp; Trop Smoothie'!G72+'Athletic Concessions -Kitchen'!G72+'Starbucks BBC'!G72+'Moes BBC'!G72+'Grille Works BBC &amp; Shipping'!G72+'Subway BBC'!G72+'Market Pavillion'!G72+'Chic Fil A BBC'!G72+Panera!G72+'Heritage Market'!G72</f>
        <v>0</v>
      </c>
      <c r="H72" s="80">
        <f t="shared" si="22"/>
        <v>0</v>
      </c>
      <c r="I72" s="134">
        <f>'POD Breezeway'!I72+'Express GL'!I72+'Starbucks GL-SBX Truck'!I72+'Miro''s'!I72+'Faculty Club'!I72+'Almazar &amp; Brand X'!I72+'Burger King'!I72+Bustelo!I72+Chilis!I72+Einstein!I72+Jamba!I72+'Pollo Tropical'!I72+'Subway GC'!I72+'Sushi Maki'!I72+Panda!I72+'Starbucks Mango'!I72+'Taco Bell'!I72+'Chick-fil-A'!I72+Dunkin!I72+Chipotle!I72+Sergios!I72+'Moes PG5'!I72+'Papa Johns'!I72+Salad!I72+'Half Moon &amp; Trop Smoothie'!I72+'Athletic Concessions -Kitchen'!I72+'Starbucks BBC'!I72+'Moes BBC'!I72+'Grille Works BBC &amp; Shipping'!I72+'Subway BBC'!I72+'Market Pavillion'!I72+'Chic Fil A BBC'!I72+Panera!I72+'Heritage Market'!I72</f>
        <v>0</v>
      </c>
      <c r="J72" s="80">
        <f t="shared" si="23"/>
        <v>0</v>
      </c>
      <c r="K72" s="134">
        <f>'POD Breezeway'!K72+'Express GL'!K72+'Starbucks GL-SBX Truck'!K72+'Miro''s'!K72+'Faculty Club'!K72+'Almazar &amp; Brand X'!K72+'Burger King'!K72+Bustelo!K72+Chilis!K72+Einstein!K72+Jamba!K72+'Pollo Tropical'!K72+'Subway GC'!K72+'Sushi Maki'!K72+Panda!K72+'Starbucks Mango'!K72+'Taco Bell'!K72+'Chick-fil-A'!K72+Dunkin!K72+Chipotle!K72+Sergios!K72+'Moes PG5'!K72+'Papa Johns'!K72+Salad!K72+'Half Moon &amp; Trop Smoothie'!K72+'Athletic Concessions -Kitchen'!K72+'Starbucks BBC'!K72+'Moes BBC'!K72+'Grille Works BBC &amp; Shipping'!K72+'Subway BBC'!K72+'Market Pavillion'!K72+'Chic Fil A BBC'!K72+Panera!K72+'Heritage Market'!K72</f>
        <v>0</v>
      </c>
      <c r="L72" s="80">
        <f t="shared" si="24"/>
        <v>0</v>
      </c>
      <c r="M72" s="134">
        <f>'POD Breezeway'!M72+'Express GL'!M72+'Starbucks GL-SBX Truck'!M72+'Miro''s'!M72+'Faculty Club'!M72+'Almazar &amp; Brand X'!M72+'Burger King'!M72+Bustelo!M72+Chilis!M72+Einstein!M72+Jamba!M72+'Pollo Tropical'!M72+'Subway GC'!M72+'Sushi Maki'!M72+Panda!M72+'Starbucks Mango'!M72+'Taco Bell'!M72+'Chick-fil-A'!M72+Dunkin!M72+Chipotle!M72+Sergios!M72+'Moes PG5'!M72+'Papa Johns'!M72+Salad!M72+'Half Moon &amp; Trop Smoothie'!M72+'Athletic Concessions -Kitchen'!M72+'Starbucks BBC'!M72+'Moes BBC'!M72+'Grille Works BBC &amp; Shipping'!M72+'Subway BBC'!M72+'Market Pavillion'!M72+'Chic Fil A BBC'!M72+Panera!M72+'Heritage Market'!M72</f>
        <v>0</v>
      </c>
      <c r="N72" s="80">
        <f t="shared" si="25"/>
        <v>0</v>
      </c>
      <c r="O72" s="134">
        <f>'POD Breezeway'!O72+'Express GL'!O72+'Starbucks GL-SBX Truck'!O72+'Miro''s'!O72+'Faculty Club'!O72+'Almazar &amp; Brand X'!O72+'Burger King'!O72+Bustelo!O72+Chilis!O72+Einstein!O72+Jamba!O72+'Pollo Tropical'!O72+'Subway GC'!O72+'Sushi Maki'!O72+Panda!O72+'Starbucks Mango'!O72+'Taco Bell'!O72+'Chick-fil-A'!O72+Dunkin!O72+Chipotle!O72+Sergios!O72+'Moes PG5'!O72+'Papa Johns'!O72+Salad!O72+'Half Moon &amp; Trop Smoothie'!O72+'Athletic Concessions -Kitchen'!O72+'Starbucks BBC'!O72+'Moes BBC'!O72+'Grille Works BBC &amp; Shipping'!O72+'Subway BBC'!O72+'Market Pavillion'!O72+'Chic Fil A BBC'!O72+Panera!O72+'Heritage Market'!O72</f>
        <v>0</v>
      </c>
      <c r="P72" s="80">
        <f t="shared" si="26"/>
        <v>0</v>
      </c>
      <c r="Q72" s="134">
        <f>'POD Breezeway'!Q72+'Express GL'!Q72+'Starbucks GL-SBX Truck'!Q72+'Miro''s'!Q72+'Faculty Club'!Q72+'Almazar &amp; Brand X'!Q72+'Burger King'!Q72+Bustelo!Q72+Chilis!Q72+Einstein!Q72+Jamba!Q72+'Pollo Tropical'!Q72+'Subway GC'!Q72+'Sushi Maki'!Q72+Panda!Q72+'Starbucks Mango'!Q72+'Taco Bell'!Q72+'Chick-fil-A'!Q72+Dunkin!Q72+Chipotle!Q72+Sergios!Q72+'Moes PG5'!Q72+'Papa Johns'!Q72+Salad!Q72+'Half Moon &amp; Trop Smoothie'!Q72+'Athletic Concessions -Kitchen'!Q72+'Starbucks BBC'!Q72+'Moes BBC'!Q72+'Grille Works BBC &amp; Shipping'!Q72+'Subway BBC'!Q72+'Market Pavillion'!Q72+'Chic Fil A BBC'!Q72+Panera!Q72+'Heritage Market'!Q72</f>
        <v>0</v>
      </c>
      <c r="R72" s="80">
        <f t="shared" si="27"/>
        <v>0</v>
      </c>
      <c r="S72" s="134">
        <f>'POD Breezeway'!S72+'Express GL'!S72+'Starbucks GL-SBX Truck'!S72+'Miro''s'!S72+'Faculty Club'!S72+'Almazar &amp; Brand X'!S72+'Burger King'!S72+Bustelo!S72+Chilis!S72+Einstein!S72+Jamba!S72+'Pollo Tropical'!S72+'Subway GC'!S72+'Sushi Maki'!S72+Panda!S72+'Starbucks Mango'!S72+'Taco Bell'!S72+'Chick-fil-A'!S72+Dunkin!S72+Chipotle!S72+Sergios!S72+'Moes PG5'!S72+'Papa Johns'!S72+Salad!S72+'Half Moon &amp; Trop Smoothie'!S72+'Athletic Concessions -Kitchen'!S72+'Starbucks BBC'!S72+'Moes BBC'!S72+'Grille Works BBC &amp; Shipping'!S72+'Subway BBC'!S72+'Market Pavillion'!S72+'Chic Fil A BBC'!S72+Panera!S72+'Heritage Market'!S72</f>
        <v>0</v>
      </c>
      <c r="T72" s="80">
        <f t="shared" si="28"/>
        <v>0</v>
      </c>
      <c r="U72" s="134">
        <f>'POD Breezeway'!U72+'Express GL'!U72+'Starbucks GL-SBX Truck'!U72+'Miro''s'!U72+'Faculty Club'!U72+'Almazar &amp; Brand X'!U72+'Burger King'!U72+Bustelo!U72+Chilis!U72+Einstein!U72+Jamba!U72+'Pollo Tropical'!U72+'Subway GC'!U72+'Sushi Maki'!U72+Panda!U72+'Starbucks Mango'!U72+'Taco Bell'!U72+'Chick-fil-A'!U72+Dunkin!U72+Chipotle!U72+Sergios!U72+'Moes PG5'!U72+'Papa Johns'!U72+Salad!U72+'Half Moon &amp; Trop Smoothie'!U72+'Athletic Concessions -Kitchen'!U72+'Starbucks BBC'!U72+'Moes BBC'!U72+'Grille Works BBC &amp; Shipping'!U72+'Subway BBC'!U72+'Market Pavillion'!U72+'Chic Fil A BBC'!U72+Panera!U72+'Heritage Market'!U72</f>
        <v>0</v>
      </c>
      <c r="V72" s="80">
        <f t="shared" si="29"/>
        <v>0</v>
      </c>
    </row>
    <row r="73" spans="1:22" ht="12.75" customHeight="1">
      <c r="A73" s="2" t="s">
        <v>417</v>
      </c>
      <c r="B73" s="35"/>
      <c r="C73" s="134">
        <f>'POD Breezeway'!C73+'Express GL'!C73+'Starbucks GL-SBX Truck'!C73+'Miro''s'!C73+'Faculty Club'!C73+'Almazar &amp; Brand X'!C73+'Burger King'!C73+Bustelo!C73+Chilis!C73+Einstein!C73+Jamba!C73+'Pollo Tropical'!C73+'Subway GC'!C73+'Sushi Maki'!C73+Panda!C73+'Starbucks Mango'!C73+'Taco Bell'!C73+'Chick-fil-A'!C73+Dunkin!C73+Chipotle!C73+Sergios!C73+'Moes PG5'!C73+'Papa Johns'!C73+Salad!C73+'Half Moon &amp; Trop Smoothie'!C73+'Athletic Concessions -Kitchen'!C73+'Starbucks BBC'!C73+'Moes BBC'!C73+'Grille Works BBC &amp; Shipping'!C73+'Subway BBC'!C73+'Market Pavillion'!C73+'Chic Fil A BBC'!C73+Panera!C73+'Heritage Market'!C73</f>
        <v>0</v>
      </c>
      <c r="D73" s="80">
        <f t="shared" si="20"/>
        <v>0</v>
      </c>
      <c r="E73" s="134">
        <f>'POD Breezeway'!E73+'Express GL'!E73+'Starbucks GL-SBX Truck'!E73+'Miro''s'!E73+'Faculty Club'!E73+'Almazar &amp; Brand X'!E73+'Burger King'!E73+Bustelo!E73+Chilis!E73+Einstein!E73+Jamba!E73+'Pollo Tropical'!E73+'Subway GC'!E73+'Sushi Maki'!E73+Panda!E73+'Starbucks Mango'!E73+'Taco Bell'!E73+'Chick-fil-A'!E73+Dunkin!E73+Chipotle!E73+Sergios!E73+'Moes PG5'!E73+'Papa Johns'!E73+Salad!E73+'Half Moon &amp; Trop Smoothie'!E73+'Athletic Concessions -Kitchen'!E73+'Starbucks BBC'!E73+'Moes BBC'!E73+'Grille Works BBC &amp; Shipping'!E73+'Subway BBC'!E73+'Market Pavillion'!E73+'Chic Fil A BBC'!E73+Panera!E73+'Heritage Market'!E73</f>
        <v>0</v>
      </c>
      <c r="F73" s="80">
        <f t="shared" si="21"/>
        <v>0</v>
      </c>
      <c r="G73" s="134">
        <f>'POD Breezeway'!G73+'Express GL'!G73+'Starbucks GL-SBX Truck'!G73+'Miro''s'!G73+'Faculty Club'!G73+'Almazar &amp; Brand X'!G73+'Burger King'!G73+Bustelo!G73+Chilis!G73+Einstein!G73+Jamba!G73+'Pollo Tropical'!G73+'Subway GC'!G73+'Sushi Maki'!G73+Panda!G73+'Starbucks Mango'!G73+'Taco Bell'!G73+'Chick-fil-A'!G73+Dunkin!G73+Chipotle!G73+Sergios!G73+'Moes PG5'!G73+'Papa Johns'!G73+Salad!G73+'Half Moon &amp; Trop Smoothie'!G73+'Athletic Concessions -Kitchen'!G73+'Starbucks BBC'!G73+'Moes BBC'!G73+'Grille Works BBC &amp; Shipping'!G73+'Subway BBC'!G73+'Market Pavillion'!G73+'Chic Fil A BBC'!G73+Panera!G73+'Heritage Market'!G73</f>
        <v>0</v>
      </c>
      <c r="H73" s="80">
        <f t="shared" si="22"/>
        <v>0</v>
      </c>
      <c r="I73" s="134">
        <f>'POD Breezeway'!I73+'Express GL'!I73+'Starbucks GL-SBX Truck'!I73+'Miro''s'!I73+'Faculty Club'!I73+'Almazar &amp; Brand X'!I73+'Burger King'!I73+Bustelo!I73+Chilis!I73+Einstein!I73+Jamba!I73+'Pollo Tropical'!I73+'Subway GC'!I73+'Sushi Maki'!I73+Panda!I73+'Starbucks Mango'!I73+'Taco Bell'!I73+'Chick-fil-A'!I73+Dunkin!I73+Chipotle!I73+Sergios!I73+'Moes PG5'!I73+'Papa Johns'!I73+Salad!I73+'Half Moon &amp; Trop Smoothie'!I73+'Athletic Concessions -Kitchen'!I73+'Starbucks BBC'!I73+'Moes BBC'!I73+'Grille Works BBC &amp; Shipping'!I73+'Subway BBC'!I73+'Market Pavillion'!I73+'Chic Fil A BBC'!I73+Panera!I73+'Heritage Market'!I73</f>
        <v>0</v>
      </c>
      <c r="J73" s="80">
        <f t="shared" si="23"/>
        <v>0</v>
      </c>
      <c r="K73" s="134">
        <f>'POD Breezeway'!K73+'Express GL'!K73+'Starbucks GL-SBX Truck'!K73+'Miro''s'!K73+'Faculty Club'!K73+'Almazar &amp; Brand X'!K73+'Burger King'!K73+Bustelo!K73+Chilis!K73+Einstein!K73+Jamba!K73+'Pollo Tropical'!K73+'Subway GC'!K73+'Sushi Maki'!K73+Panda!K73+'Starbucks Mango'!K73+'Taco Bell'!K73+'Chick-fil-A'!K73+Dunkin!K73+Chipotle!K73+Sergios!K73+'Moes PG5'!K73+'Papa Johns'!K73+Salad!K73+'Half Moon &amp; Trop Smoothie'!K73+'Athletic Concessions -Kitchen'!K73+'Starbucks BBC'!K73+'Moes BBC'!K73+'Grille Works BBC &amp; Shipping'!K73+'Subway BBC'!K73+'Market Pavillion'!K73+'Chic Fil A BBC'!K73+Panera!K73+'Heritage Market'!K73</f>
        <v>0</v>
      </c>
      <c r="L73" s="80">
        <f t="shared" si="24"/>
        <v>0</v>
      </c>
      <c r="M73" s="134">
        <f>'POD Breezeway'!M73+'Express GL'!M73+'Starbucks GL-SBX Truck'!M73+'Miro''s'!M73+'Faculty Club'!M73+'Almazar &amp; Brand X'!M73+'Burger King'!M73+Bustelo!M73+Chilis!M73+Einstein!M73+Jamba!M73+'Pollo Tropical'!M73+'Subway GC'!M73+'Sushi Maki'!M73+Panda!M73+'Starbucks Mango'!M73+'Taco Bell'!M73+'Chick-fil-A'!M73+Dunkin!M73+Chipotle!M73+Sergios!M73+'Moes PG5'!M73+'Papa Johns'!M73+Salad!M73+'Half Moon &amp; Trop Smoothie'!M73+'Athletic Concessions -Kitchen'!M73+'Starbucks BBC'!M73+'Moes BBC'!M73+'Grille Works BBC &amp; Shipping'!M73+'Subway BBC'!M73+'Market Pavillion'!M73+'Chic Fil A BBC'!M73+Panera!M73+'Heritage Market'!M73</f>
        <v>0</v>
      </c>
      <c r="N73" s="80">
        <f t="shared" si="25"/>
        <v>0</v>
      </c>
      <c r="O73" s="134">
        <f>'POD Breezeway'!O73+'Express GL'!O73+'Starbucks GL-SBX Truck'!O73+'Miro''s'!O73+'Faculty Club'!O73+'Almazar &amp; Brand X'!O73+'Burger King'!O73+Bustelo!O73+Chilis!O73+Einstein!O73+Jamba!O73+'Pollo Tropical'!O73+'Subway GC'!O73+'Sushi Maki'!O73+Panda!O73+'Starbucks Mango'!O73+'Taco Bell'!O73+'Chick-fil-A'!O73+Dunkin!O73+Chipotle!O73+Sergios!O73+'Moes PG5'!O73+'Papa Johns'!O73+Salad!O73+'Half Moon &amp; Trop Smoothie'!O73+'Athletic Concessions -Kitchen'!O73+'Starbucks BBC'!O73+'Moes BBC'!O73+'Grille Works BBC &amp; Shipping'!O73+'Subway BBC'!O73+'Market Pavillion'!O73+'Chic Fil A BBC'!O73+Panera!O73+'Heritage Market'!O73</f>
        <v>0</v>
      </c>
      <c r="P73" s="80">
        <f t="shared" si="26"/>
        <v>0</v>
      </c>
      <c r="Q73" s="134">
        <f>'POD Breezeway'!Q73+'Express GL'!Q73+'Starbucks GL-SBX Truck'!Q73+'Miro''s'!Q73+'Faculty Club'!Q73+'Almazar &amp; Brand X'!Q73+'Burger King'!Q73+Bustelo!Q73+Chilis!Q73+Einstein!Q73+Jamba!Q73+'Pollo Tropical'!Q73+'Subway GC'!Q73+'Sushi Maki'!Q73+Panda!Q73+'Starbucks Mango'!Q73+'Taco Bell'!Q73+'Chick-fil-A'!Q73+Dunkin!Q73+Chipotle!Q73+Sergios!Q73+'Moes PG5'!Q73+'Papa Johns'!Q73+Salad!Q73+'Half Moon &amp; Trop Smoothie'!Q73+'Athletic Concessions -Kitchen'!Q73+'Starbucks BBC'!Q73+'Moes BBC'!Q73+'Grille Works BBC &amp; Shipping'!Q73+'Subway BBC'!Q73+'Market Pavillion'!Q73+'Chic Fil A BBC'!Q73+Panera!Q73+'Heritage Market'!Q73</f>
        <v>0</v>
      </c>
      <c r="R73" s="80">
        <f t="shared" si="27"/>
        <v>0</v>
      </c>
      <c r="S73" s="134">
        <f>'POD Breezeway'!S73+'Express GL'!S73+'Starbucks GL-SBX Truck'!S73+'Miro''s'!S73+'Faculty Club'!S73+'Almazar &amp; Brand X'!S73+'Burger King'!S73+Bustelo!S73+Chilis!S73+Einstein!S73+Jamba!S73+'Pollo Tropical'!S73+'Subway GC'!S73+'Sushi Maki'!S73+Panda!S73+'Starbucks Mango'!S73+'Taco Bell'!S73+'Chick-fil-A'!S73+Dunkin!S73+Chipotle!S73+Sergios!S73+'Moes PG5'!S73+'Papa Johns'!S73+Salad!S73+'Half Moon &amp; Trop Smoothie'!S73+'Athletic Concessions -Kitchen'!S73+'Starbucks BBC'!S73+'Moes BBC'!S73+'Grille Works BBC &amp; Shipping'!S73+'Subway BBC'!S73+'Market Pavillion'!S73+'Chic Fil A BBC'!S73+Panera!S73+'Heritage Market'!S73</f>
        <v>0</v>
      </c>
      <c r="T73" s="80">
        <f t="shared" si="28"/>
        <v>0</v>
      </c>
      <c r="U73" s="134">
        <f>'POD Breezeway'!U73+'Express GL'!U73+'Starbucks GL-SBX Truck'!U73+'Miro''s'!U73+'Faculty Club'!U73+'Almazar &amp; Brand X'!U73+'Burger King'!U73+Bustelo!U73+Chilis!U73+Einstein!U73+Jamba!U73+'Pollo Tropical'!U73+'Subway GC'!U73+'Sushi Maki'!U73+Panda!U73+'Starbucks Mango'!U73+'Taco Bell'!U73+'Chick-fil-A'!U73+Dunkin!U73+Chipotle!U73+Sergios!U73+'Moes PG5'!U73+'Papa Johns'!U73+Salad!U73+'Half Moon &amp; Trop Smoothie'!U73+'Athletic Concessions -Kitchen'!U73+'Starbucks BBC'!U73+'Moes BBC'!U73+'Grille Works BBC &amp; Shipping'!U73+'Subway BBC'!U73+'Market Pavillion'!U73+'Chic Fil A BBC'!U73+Panera!U73+'Heritage Market'!U73</f>
        <v>0</v>
      </c>
      <c r="V73" s="80">
        <f t="shared" si="29"/>
        <v>0</v>
      </c>
    </row>
    <row r="74" spans="1:22" ht="12.75" customHeight="1">
      <c r="A74" s="2" t="s">
        <v>418</v>
      </c>
      <c r="B74" s="35"/>
      <c r="C74" s="134">
        <f>'POD Breezeway'!C74+'Express GL'!C74+'Starbucks GL-SBX Truck'!C74+'Miro''s'!C74+'Faculty Club'!C74+'Almazar &amp; Brand X'!C74+'Burger King'!C74+Bustelo!C74+Chilis!C74+Einstein!C74+Jamba!C74+'Pollo Tropical'!C74+'Subway GC'!C74+'Sushi Maki'!C74+Panda!C74+'Starbucks Mango'!C74+'Taco Bell'!C74+'Chick-fil-A'!C74+Dunkin!C74+Chipotle!C74+Sergios!C74+'Moes PG5'!C74+'Papa Johns'!C74+Salad!C74+'Half Moon &amp; Trop Smoothie'!C74+'Athletic Concessions -Kitchen'!C74+'Starbucks BBC'!C74+'Moes BBC'!C74+'Grille Works BBC &amp; Shipping'!C74+'Subway BBC'!C74+'Market Pavillion'!C74+'Chic Fil A BBC'!C74+Panera!C74+'Heritage Market'!C74</f>
        <v>0</v>
      </c>
      <c r="D74" s="80">
        <f t="shared" si="20"/>
        <v>0</v>
      </c>
      <c r="E74" s="134">
        <f>'POD Breezeway'!E74+'Express GL'!E74+'Starbucks GL-SBX Truck'!E74+'Miro''s'!E74+'Faculty Club'!E74+'Almazar &amp; Brand X'!E74+'Burger King'!E74+Bustelo!E74+Chilis!E74+Einstein!E74+Jamba!E74+'Pollo Tropical'!E74+'Subway GC'!E74+'Sushi Maki'!E74+Panda!E74+'Starbucks Mango'!E74+'Taco Bell'!E74+'Chick-fil-A'!E74+Dunkin!E74+Chipotle!E74+Sergios!E74+'Moes PG5'!E74+'Papa Johns'!E74+Salad!E74+'Half Moon &amp; Trop Smoothie'!E74+'Athletic Concessions -Kitchen'!E74+'Starbucks BBC'!E74+'Moes BBC'!E74+'Grille Works BBC &amp; Shipping'!E74+'Subway BBC'!E74+'Market Pavillion'!E74+'Chic Fil A BBC'!E74+Panera!E74+'Heritage Market'!E74</f>
        <v>0</v>
      </c>
      <c r="F74" s="80">
        <f t="shared" si="21"/>
        <v>0</v>
      </c>
      <c r="G74" s="134">
        <f>'POD Breezeway'!G74+'Express GL'!G74+'Starbucks GL-SBX Truck'!G74+'Miro''s'!G74+'Faculty Club'!G74+'Almazar &amp; Brand X'!G74+'Burger King'!G74+Bustelo!G74+Chilis!G74+Einstein!G74+Jamba!G74+'Pollo Tropical'!G74+'Subway GC'!G74+'Sushi Maki'!G74+Panda!G74+'Starbucks Mango'!G74+'Taco Bell'!G74+'Chick-fil-A'!G74+Dunkin!G74+Chipotle!G74+Sergios!G74+'Moes PG5'!G74+'Papa Johns'!G74+Salad!G74+'Half Moon &amp; Trop Smoothie'!G74+'Athletic Concessions -Kitchen'!G74+'Starbucks BBC'!G74+'Moes BBC'!G74+'Grille Works BBC &amp; Shipping'!G74+'Subway BBC'!G74+'Market Pavillion'!G74+'Chic Fil A BBC'!G74+Panera!G74+'Heritage Market'!G74</f>
        <v>0</v>
      </c>
      <c r="H74" s="80">
        <f t="shared" si="22"/>
        <v>0</v>
      </c>
      <c r="I74" s="134">
        <f>'POD Breezeway'!I74+'Express GL'!I74+'Starbucks GL-SBX Truck'!I74+'Miro''s'!I74+'Faculty Club'!I74+'Almazar &amp; Brand X'!I74+'Burger King'!I74+Bustelo!I74+Chilis!I74+Einstein!I74+Jamba!I74+'Pollo Tropical'!I74+'Subway GC'!I74+'Sushi Maki'!I74+Panda!I74+'Starbucks Mango'!I74+'Taco Bell'!I74+'Chick-fil-A'!I74+Dunkin!I74+Chipotle!I74+Sergios!I74+'Moes PG5'!I74+'Papa Johns'!I74+Salad!I74+'Half Moon &amp; Trop Smoothie'!I74+'Athletic Concessions -Kitchen'!I74+'Starbucks BBC'!I74+'Moes BBC'!I74+'Grille Works BBC &amp; Shipping'!I74+'Subway BBC'!I74+'Market Pavillion'!I74+'Chic Fil A BBC'!I74+Panera!I74+'Heritage Market'!I74</f>
        <v>0</v>
      </c>
      <c r="J74" s="80">
        <f t="shared" si="23"/>
        <v>0</v>
      </c>
      <c r="K74" s="134">
        <f>'POD Breezeway'!K74+'Express GL'!K74+'Starbucks GL-SBX Truck'!K74+'Miro''s'!K74+'Faculty Club'!K74+'Almazar &amp; Brand X'!K74+'Burger King'!K74+Bustelo!K74+Chilis!K74+Einstein!K74+Jamba!K74+'Pollo Tropical'!K74+'Subway GC'!K74+'Sushi Maki'!K74+Panda!K74+'Starbucks Mango'!K74+'Taco Bell'!K74+'Chick-fil-A'!K74+Dunkin!K74+Chipotle!K74+Sergios!K74+'Moes PG5'!K74+'Papa Johns'!K74+Salad!K74+'Half Moon &amp; Trop Smoothie'!K74+'Athletic Concessions -Kitchen'!K74+'Starbucks BBC'!K74+'Moes BBC'!K74+'Grille Works BBC &amp; Shipping'!K74+'Subway BBC'!K74+'Market Pavillion'!K74+'Chic Fil A BBC'!K74+Panera!K74+'Heritage Market'!K74</f>
        <v>0</v>
      </c>
      <c r="L74" s="80">
        <f t="shared" si="24"/>
        <v>0</v>
      </c>
      <c r="M74" s="134">
        <f>'POD Breezeway'!M74+'Express GL'!M74+'Starbucks GL-SBX Truck'!M74+'Miro''s'!M74+'Faculty Club'!M74+'Almazar &amp; Brand X'!M74+'Burger King'!M74+Bustelo!M74+Chilis!M74+Einstein!M74+Jamba!M74+'Pollo Tropical'!M74+'Subway GC'!M74+'Sushi Maki'!M74+Panda!M74+'Starbucks Mango'!M74+'Taco Bell'!M74+'Chick-fil-A'!M74+Dunkin!M74+Chipotle!M74+Sergios!M74+'Moes PG5'!M74+'Papa Johns'!M74+Salad!M74+'Half Moon &amp; Trop Smoothie'!M74+'Athletic Concessions -Kitchen'!M74+'Starbucks BBC'!M74+'Moes BBC'!M74+'Grille Works BBC &amp; Shipping'!M74+'Subway BBC'!M74+'Market Pavillion'!M74+'Chic Fil A BBC'!M74+Panera!M74+'Heritage Market'!M74</f>
        <v>0</v>
      </c>
      <c r="N74" s="80">
        <f t="shared" si="25"/>
        <v>0</v>
      </c>
      <c r="O74" s="134">
        <f>'POD Breezeway'!O74+'Express GL'!O74+'Starbucks GL-SBX Truck'!O74+'Miro''s'!O74+'Faculty Club'!O74+'Almazar &amp; Brand X'!O74+'Burger King'!O74+Bustelo!O74+Chilis!O74+Einstein!O74+Jamba!O74+'Pollo Tropical'!O74+'Subway GC'!O74+'Sushi Maki'!O74+Panda!O74+'Starbucks Mango'!O74+'Taco Bell'!O74+'Chick-fil-A'!O74+Dunkin!O74+Chipotle!O74+Sergios!O74+'Moes PG5'!O74+'Papa Johns'!O74+Salad!O74+'Half Moon &amp; Trop Smoothie'!O74+'Athletic Concessions -Kitchen'!O74+'Starbucks BBC'!O74+'Moes BBC'!O74+'Grille Works BBC &amp; Shipping'!O74+'Subway BBC'!O74+'Market Pavillion'!O74+'Chic Fil A BBC'!O74+Panera!O74+'Heritage Market'!O74</f>
        <v>0</v>
      </c>
      <c r="P74" s="80">
        <f t="shared" si="26"/>
        <v>0</v>
      </c>
      <c r="Q74" s="134">
        <f>'POD Breezeway'!Q74+'Express GL'!Q74+'Starbucks GL-SBX Truck'!Q74+'Miro''s'!Q74+'Faculty Club'!Q74+'Almazar &amp; Brand X'!Q74+'Burger King'!Q74+Bustelo!Q74+Chilis!Q74+Einstein!Q74+Jamba!Q74+'Pollo Tropical'!Q74+'Subway GC'!Q74+'Sushi Maki'!Q74+Panda!Q74+'Starbucks Mango'!Q74+'Taco Bell'!Q74+'Chick-fil-A'!Q74+Dunkin!Q74+Chipotle!Q74+Sergios!Q74+'Moes PG5'!Q74+'Papa Johns'!Q74+Salad!Q74+'Half Moon &amp; Trop Smoothie'!Q74+'Athletic Concessions -Kitchen'!Q74+'Starbucks BBC'!Q74+'Moes BBC'!Q74+'Grille Works BBC &amp; Shipping'!Q74+'Subway BBC'!Q74+'Market Pavillion'!Q74+'Chic Fil A BBC'!Q74+Panera!Q74+'Heritage Market'!Q74</f>
        <v>0</v>
      </c>
      <c r="R74" s="80">
        <f t="shared" si="27"/>
        <v>0</v>
      </c>
      <c r="S74" s="134">
        <f>'POD Breezeway'!S74+'Express GL'!S74+'Starbucks GL-SBX Truck'!S74+'Miro''s'!S74+'Faculty Club'!S74+'Almazar &amp; Brand X'!S74+'Burger King'!S74+Bustelo!S74+Chilis!S74+Einstein!S74+Jamba!S74+'Pollo Tropical'!S74+'Subway GC'!S74+'Sushi Maki'!S74+Panda!S74+'Starbucks Mango'!S74+'Taco Bell'!S74+'Chick-fil-A'!S74+Dunkin!S74+Chipotle!S74+Sergios!S74+'Moes PG5'!S74+'Papa Johns'!S74+Salad!S74+'Half Moon &amp; Trop Smoothie'!S74+'Athletic Concessions -Kitchen'!S74+'Starbucks BBC'!S74+'Moes BBC'!S74+'Grille Works BBC &amp; Shipping'!S74+'Subway BBC'!S74+'Market Pavillion'!S74+'Chic Fil A BBC'!S74+Panera!S74+'Heritage Market'!S74</f>
        <v>0</v>
      </c>
      <c r="T74" s="80">
        <f t="shared" si="28"/>
        <v>0</v>
      </c>
      <c r="U74" s="134">
        <f>'POD Breezeway'!U74+'Express GL'!U74+'Starbucks GL-SBX Truck'!U74+'Miro''s'!U74+'Faculty Club'!U74+'Almazar &amp; Brand X'!U74+'Burger King'!U74+Bustelo!U74+Chilis!U74+Einstein!U74+Jamba!U74+'Pollo Tropical'!U74+'Subway GC'!U74+'Sushi Maki'!U74+Panda!U74+'Starbucks Mango'!U74+'Taco Bell'!U74+'Chick-fil-A'!U74+Dunkin!U74+Chipotle!U74+Sergios!U74+'Moes PG5'!U74+'Papa Johns'!U74+Salad!U74+'Half Moon &amp; Trop Smoothie'!U74+'Athletic Concessions -Kitchen'!U74+'Starbucks BBC'!U74+'Moes BBC'!U74+'Grille Works BBC &amp; Shipping'!U74+'Subway BBC'!U74+'Market Pavillion'!U74+'Chic Fil A BBC'!U74+Panera!U74+'Heritage Market'!U74</f>
        <v>0</v>
      </c>
      <c r="V74" s="80">
        <f t="shared" si="29"/>
        <v>0</v>
      </c>
    </row>
    <row r="75" spans="1:22" ht="12.75" customHeight="1">
      <c r="A75" s="214" t="s">
        <v>419</v>
      </c>
      <c r="B75" s="215"/>
      <c r="C75" s="134">
        <f>'POD Breezeway'!C75+'Express GL'!C75+'Starbucks GL-SBX Truck'!C75+'Miro''s'!C75+'Faculty Club'!C75+'Almazar &amp; Brand X'!C75+'Burger King'!C75+Bustelo!C75+Chilis!C75+Einstein!C75+Jamba!C75+'Pollo Tropical'!C75+'Subway GC'!C75+'Sushi Maki'!C75+Panda!C75+'Starbucks Mango'!C75+'Taco Bell'!C75+'Chick-fil-A'!C75+Dunkin!C75+Chipotle!C75+Sergios!C75+'Moes PG5'!C75+'Papa Johns'!C75+Salad!C75+'Half Moon &amp; Trop Smoothie'!C75+'Athletic Concessions -Kitchen'!C75+'Starbucks BBC'!C75+'Moes BBC'!C75+'Grille Works BBC &amp; Shipping'!C75+'Subway BBC'!C75+'Market Pavillion'!C75+'Chic Fil A BBC'!C75+Panera!C75+'Heritage Market'!C75</f>
        <v>70088.847209999993</v>
      </c>
      <c r="D75" s="80">
        <f t="shared" si="20"/>
        <v>4.4215631198976212E-3</v>
      </c>
      <c r="E75" s="134">
        <f>'POD Breezeway'!E75+'Express GL'!E75+'Starbucks GL-SBX Truck'!E75+'Miro''s'!E75+'Faculty Club'!E75+'Almazar &amp; Brand X'!E75+'Burger King'!E75+Bustelo!E75+Chilis!E75+Einstein!E75+Jamba!E75+'Pollo Tropical'!E75+'Subway GC'!E75+'Sushi Maki'!E75+Panda!E75+'Starbucks Mango'!E75+'Taco Bell'!E75+'Chick-fil-A'!E75+Dunkin!E75+Chipotle!E75+Sergios!E75+'Moes PG5'!E75+'Papa Johns'!E75+Salad!E75+'Half Moon &amp; Trop Smoothie'!E75+'Athletic Concessions -Kitchen'!E75+'Starbucks BBC'!E75+'Moes BBC'!E75+'Grille Works BBC &amp; Shipping'!E75+'Subway BBC'!E75+'Market Pavillion'!E75+'Chic Fil A BBC'!E75+Panera!E75+'Heritage Market'!E75</f>
        <v>83356.3125</v>
      </c>
      <c r="F75" s="80">
        <f t="shared" si="21"/>
        <v>4.4314772192802663E-3</v>
      </c>
      <c r="G75" s="134">
        <f>'POD Breezeway'!G75+'Express GL'!G75+'Starbucks GL-SBX Truck'!G75+'Miro''s'!G75+'Faculty Club'!G75+'Almazar &amp; Brand X'!G75+'Burger King'!G75+Bustelo!G75+Chilis!G75+Einstein!G75+Jamba!G75+'Pollo Tropical'!G75+'Subway GC'!G75+'Sushi Maki'!G75+Panda!G75+'Starbucks Mango'!G75+'Taco Bell'!G75+'Chick-fil-A'!G75+Dunkin!G75+Chipotle!G75+Sergios!G75+'Moes PG5'!G75+'Papa Johns'!G75+Salad!G75+'Half Moon &amp; Trop Smoothie'!G75+'Athletic Concessions -Kitchen'!G75+'Starbucks BBC'!G75+'Moes BBC'!G75+'Grille Works BBC &amp; Shipping'!G75+'Subway BBC'!G75+'Market Pavillion'!G75+'Chic Fil A BBC'!G75+Panera!G75+'Heritage Market'!G75</f>
        <v>91751.361749999996</v>
      </c>
      <c r="H75" s="80">
        <f t="shared" si="22"/>
        <v>4.4457794438766659E-3</v>
      </c>
      <c r="I75" s="134">
        <f>'POD Breezeway'!I75+'Express GL'!I75+'Starbucks GL-SBX Truck'!I75+'Miro''s'!I75+'Faculty Club'!I75+'Almazar &amp; Brand X'!I75+'Burger King'!I75+Bustelo!I75+Chilis!I75+Einstein!I75+Jamba!I75+'Pollo Tropical'!I75+'Subway GC'!I75+'Sushi Maki'!I75+Panda!I75+'Starbucks Mango'!I75+'Taco Bell'!I75+'Chick-fil-A'!I75+Dunkin!I75+Chipotle!I75+Sergios!I75+'Moes PG5'!I75+'Papa Johns'!I75+Salad!I75+'Half Moon &amp; Trop Smoothie'!I75+'Athletic Concessions -Kitchen'!I75+'Starbucks BBC'!I75+'Moes BBC'!I75+'Grille Works BBC &amp; Shipping'!I75+'Subway BBC'!I75+'Market Pavillion'!I75+'Chic Fil A BBC'!I75+Panera!I75+'Heritage Market'!I75</f>
        <v>95242.646022749992</v>
      </c>
      <c r="J75" s="80">
        <f t="shared" si="23"/>
        <v>4.4467111665394566E-3</v>
      </c>
      <c r="K75" s="134">
        <f>'POD Breezeway'!K75+'Express GL'!K75+'Starbucks GL-SBX Truck'!K75+'Miro''s'!K75+'Faculty Club'!K75+'Almazar &amp; Brand X'!K75+'Burger King'!K75+Bustelo!K75+Chilis!K75+Einstein!K75+Jamba!K75+'Pollo Tropical'!K75+'Subway GC'!K75+'Sushi Maki'!K75+Panda!K75+'Starbucks Mango'!K75+'Taco Bell'!K75+'Chick-fil-A'!K75+Dunkin!K75+Chipotle!K75+Sergios!K75+'Moes PG5'!K75+'Papa Johns'!K75+Salad!K75+'Half Moon &amp; Trop Smoothie'!K75+'Athletic Concessions -Kitchen'!K75+'Starbucks BBC'!K75+'Moes BBC'!K75+'Grille Works BBC &amp; Shipping'!K75+'Subway BBC'!K75+'Market Pavillion'!K75+'Chic Fil A BBC'!K75+Panera!K75+'Heritage Market'!K75</f>
        <v>98135.337006832473</v>
      </c>
      <c r="L75" s="80">
        <f t="shared" si="24"/>
        <v>4.4472412872003106E-3</v>
      </c>
      <c r="M75" s="134">
        <f>'POD Breezeway'!M75+'Express GL'!M75+'Starbucks GL-SBX Truck'!M75+'Miro''s'!M75+'Faculty Club'!M75+'Almazar &amp; Brand X'!M75+'Burger King'!M75+Bustelo!M75+Chilis!M75+Einstein!M75+Jamba!M75+'Pollo Tropical'!M75+'Subway GC'!M75+'Sushi Maki'!M75+Panda!M75+'Starbucks Mango'!M75+'Taco Bell'!M75+'Chick-fil-A'!M75+Dunkin!M75+Chipotle!M75+Sergios!M75+'Moes PG5'!M75+'Papa Johns'!M75+Salad!M75+'Half Moon &amp; Trop Smoothie'!M75+'Athletic Concessions -Kitchen'!M75+'Starbucks BBC'!M75+'Moes BBC'!M75+'Grille Works BBC &amp; Shipping'!M75+'Subway BBC'!M75+'Market Pavillion'!M75+'Chic Fil A BBC'!M75+Panera!M75+'Heritage Market'!M75</f>
        <v>101153.67601169962</v>
      </c>
      <c r="N75" s="80">
        <f t="shared" si="25"/>
        <v>4.4477854846425189E-3</v>
      </c>
      <c r="O75" s="134">
        <f>'POD Breezeway'!O75+'Express GL'!O75+'Starbucks GL-SBX Truck'!O75+'Miro''s'!O75+'Faculty Club'!O75+'Almazar &amp; Brand X'!O75+'Burger King'!O75+Bustelo!O75+Chilis!O75+Einstein!O75+Jamba!O75+'Pollo Tropical'!O75+'Subway GC'!O75+'Sushi Maki'!O75+Panda!O75+'Starbucks Mango'!O75+'Taco Bell'!O75+'Chick-fil-A'!O75+Dunkin!O75+Chipotle!O75+Sergios!O75+'Moes PG5'!O75+'Papa Johns'!O75+Salad!O75+'Half Moon &amp; Trop Smoothie'!O75+'Athletic Concessions -Kitchen'!O75+'Starbucks BBC'!O75+'Moes BBC'!O75+'Grille Works BBC &amp; Shipping'!O75+'Subway BBC'!O75+'Market Pavillion'!O75+'Chic Fil A BBC'!O75+Panera!O75+'Heritage Market'!O75</f>
        <v>104346.19956051857</v>
      </c>
      <c r="P75" s="80">
        <f t="shared" si="26"/>
        <v>4.4483639589618582E-3</v>
      </c>
      <c r="Q75" s="134">
        <f>'POD Breezeway'!Q75+'Express GL'!Q75+'Starbucks GL-SBX Truck'!Q75+'Miro''s'!Q75+'Faculty Club'!Q75+'Almazar &amp; Brand X'!Q75+'Burger King'!Q75+Bustelo!Q75+Chilis!Q75+Einstein!Q75+Jamba!Q75+'Pollo Tropical'!Q75+'Subway GC'!Q75+'Sushi Maki'!Q75+Panda!Q75+'Starbucks Mango'!Q75+'Taco Bell'!Q75+'Chick-fil-A'!Q75+Dunkin!Q75+Chipotle!Q75+Sergios!Q75+'Moes PG5'!Q75+'Papa Johns'!Q75+Salad!Q75+'Half Moon &amp; Trop Smoothie'!Q75+'Athletic Concessions -Kitchen'!Q75+'Starbucks BBC'!Q75+'Moes BBC'!Q75+'Grille Works BBC &amp; Shipping'!Q75+'Subway BBC'!Q75+'Market Pavillion'!Q75+'Chic Fil A BBC'!Q75+Panera!Q75+'Heritage Market'!Q75</f>
        <v>107693.2807892142</v>
      </c>
      <c r="R75" s="80">
        <f t="shared" si="27"/>
        <v>4.448961317648794E-3</v>
      </c>
      <c r="S75" s="134">
        <f>'POD Breezeway'!S75+'Express GL'!S75+'Starbucks GL-SBX Truck'!S75+'Miro''s'!S75+'Faculty Club'!S75+'Almazar &amp; Brand X'!S75+'Burger King'!S75+Bustelo!S75+Chilis!S75+Einstein!S75+Jamba!S75+'Pollo Tropical'!S75+'Subway GC'!S75+'Sushi Maki'!S75+Panda!S75+'Starbucks Mango'!S75+'Taco Bell'!S75+'Chick-fil-A'!S75+Dunkin!S75+Chipotle!S75+Sergios!S75+'Moes PG5'!S75+'Papa Johns'!S75+Salad!S75+'Half Moon &amp; Trop Smoothie'!S75+'Athletic Concessions -Kitchen'!S75+'Starbucks BBC'!S75+'Moes BBC'!S75+'Grille Works BBC &amp; Shipping'!S75+'Subway BBC'!S75+'Market Pavillion'!S75+'Chic Fil A BBC'!S75+Panera!S75+'Heritage Market'!S75</f>
        <v>111175.85839086068</v>
      </c>
      <c r="T75" s="80">
        <f t="shared" si="28"/>
        <v>4.4495644669162995E-3</v>
      </c>
      <c r="U75" s="134">
        <f>'POD Breezeway'!U75+'Express GL'!U75+'Starbucks GL-SBX Truck'!U75+'Miro''s'!U75+'Faculty Club'!U75+'Almazar &amp; Brand X'!U75+'Burger King'!U75+Bustelo!U75+Chilis!U75+Einstein!U75+Jamba!U75+'Pollo Tropical'!U75+'Subway GC'!U75+'Sushi Maki'!U75+Panda!U75+'Starbucks Mango'!U75+'Taco Bell'!U75+'Chick-fil-A'!U75+Dunkin!U75+Chipotle!U75+Sergios!U75+'Moes PG5'!U75+'Papa Johns'!U75+Salad!U75+'Half Moon &amp; Trop Smoothie'!U75+'Athletic Concessions -Kitchen'!U75+'Starbucks BBC'!U75+'Moes BBC'!U75+'Grille Works BBC &amp; Shipping'!U75+'Subway BBC'!U75+'Market Pavillion'!U75+'Chic Fil A BBC'!U75+Panera!U75+'Heritage Market'!U75</f>
        <v>114795.41378557129</v>
      </c>
      <c r="V75" s="80">
        <f t="shared" si="29"/>
        <v>4.4501710266498049E-3</v>
      </c>
    </row>
    <row r="76" spans="1:22" ht="12.75" customHeight="1">
      <c r="A76" s="214" t="s">
        <v>420</v>
      </c>
      <c r="B76" s="215"/>
      <c r="C76" s="134">
        <f>'POD Breezeway'!C76+'Express GL'!C76+'Starbucks GL-SBX Truck'!C76+'Miro''s'!C76+'Faculty Club'!C76+'Almazar &amp; Brand X'!C76+'Burger King'!C76+Bustelo!C76+Chilis!C76+Einstein!C76+Jamba!C76+'Pollo Tropical'!C76+'Subway GC'!C76+'Sushi Maki'!C76+Panda!C76+'Starbucks Mango'!C76+'Taco Bell'!C76+'Chick-fil-A'!C76+Dunkin!C76+Chipotle!C76+Sergios!C76+'Moes PG5'!C76+'Papa Johns'!C76+Salad!C76+'Half Moon &amp; Trop Smoothie'!C76+'Athletic Concessions -Kitchen'!C76+'Starbucks BBC'!C76+'Moes BBC'!C76+'Grille Works BBC &amp; Shipping'!C76+'Subway BBC'!C76+'Market Pavillion'!C76+'Chic Fil A BBC'!C76+Panera!C76+'Heritage Market'!C76</f>
        <v>6230.1197519999987</v>
      </c>
      <c r="D76" s="80">
        <f t="shared" si="20"/>
        <v>3.9302783287978852E-4</v>
      </c>
      <c r="E76" s="134">
        <f>'POD Breezeway'!E76+'Express GL'!E76+'Starbucks GL-SBX Truck'!E76+'Miro''s'!E76+'Faculty Club'!E76+'Almazar &amp; Brand X'!E76+'Burger King'!E76+Bustelo!E76+Chilis!E76+Einstein!E76+Jamba!E76+'Pollo Tropical'!E76+'Subway GC'!E76+'Sushi Maki'!E76+Panda!E76+'Starbucks Mango'!E76+'Taco Bell'!E76+'Chick-fil-A'!E76+Dunkin!E76+Chipotle!E76+Sergios!E76+'Moes PG5'!E76+'Papa Johns'!E76+Salad!E76+'Half Moon &amp; Trop Smoothie'!E76+'Athletic Concessions -Kitchen'!E76+'Starbucks BBC'!E76+'Moes BBC'!E76+'Grille Works BBC &amp; Shipping'!E76+'Subway BBC'!E76+'Market Pavillion'!E76+'Chic Fil A BBC'!E76+Panera!E76+'Heritage Market'!E76</f>
        <v>7409.4500000000007</v>
      </c>
      <c r="F76" s="80">
        <f t="shared" si="21"/>
        <v>3.9390908615824597E-4</v>
      </c>
      <c r="G76" s="134">
        <f>'POD Breezeway'!G76+'Express GL'!G76+'Starbucks GL-SBX Truck'!G76+'Miro''s'!G76+'Faculty Club'!G76+'Almazar &amp; Brand X'!G76+'Burger King'!G76+Bustelo!G76+Chilis!G76+Einstein!G76+Jamba!G76+'Pollo Tropical'!G76+'Subway GC'!G76+'Sushi Maki'!G76+Panda!G76+'Starbucks Mango'!G76+'Taco Bell'!G76+'Chick-fil-A'!G76+Dunkin!G76+Chipotle!G76+Sergios!G76+'Moes PG5'!G76+'Papa Johns'!G76+Salad!G76+'Half Moon &amp; Trop Smoothie'!G76+'Athletic Concessions -Kitchen'!G76+'Starbucks BBC'!G76+'Moes BBC'!G76+'Grille Works BBC &amp; Shipping'!G76+'Subway BBC'!G76+'Market Pavillion'!G76+'Chic Fil A BBC'!G76+Panera!G76+'Heritage Market'!G76</f>
        <v>8155.6766000000016</v>
      </c>
      <c r="H76" s="80">
        <f t="shared" si="22"/>
        <v>3.9518039501125929E-4</v>
      </c>
      <c r="I76" s="134">
        <f>'POD Breezeway'!I76+'Express GL'!I76+'Starbucks GL-SBX Truck'!I76+'Miro''s'!I76+'Faculty Club'!I76+'Almazar &amp; Brand X'!I76+'Burger King'!I76+Bustelo!I76+Chilis!I76+Einstein!I76+Jamba!I76+'Pollo Tropical'!I76+'Subway GC'!I76+'Sushi Maki'!I76+Panda!I76+'Starbucks Mango'!I76+'Taco Bell'!I76+'Chick-fil-A'!I76+Dunkin!I76+Chipotle!I76+Sergios!I76+'Moes PG5'!I76+'Papa Johns'!I76+Salad!I76+'Half Moon &amp; Trop Smoothie'!I76+'Athletic Concessions -Kitchen'!I76+'Starbucks BBC'!I76+'Moes BBC'!I76+'Grille Works BBC &amp; Shipping'!I76+'Subway BBC'!I76+'Market Pavillion'!I76+'Chic Fil A BBC'!I76+Panera!I76+'Heritage Market'!I76</f>
        <v>8466.0129797999998</v>
      </c>
      <c r="J76" s="80">
        <f t="shared" si="23"/>
        <v>3.9526321480350731E-4</v>
      </c>
      <c r="K76" s="134">
        <f>'POD Breezeway'!K76+'Express GL'!K76+'Starbucks GL-SBX Truck'!K76+'Miro''s'!K76+'Faculty Club'!K76+'Almazar &amp; Brand X'!K76+'Burger King'!K76+Bustelo!K76+Chilis!K76+Einstein!K76+Jamba!K76+'Pollo Tropical'!K76+'Subway GC'!K76+'Sushi Maki'!K76+Panda!K76+'Starbucks Mango'!K76+'Taco Bell'!K76+'Chick-fil-A'!K76+Dunkin!K76+Chipotle!K76+Sergios!K76+'Moes PG5'!K76+'Papa Johns'!K76+Salad!K76+'Half Moon &amp; Trop Smoothie'!K76+'Athletic Concessions -Kitchen'!K76+'Starbucks BBC'!K76+'Moes BBC'!K76+'Grille Works BBC &amp; Shipping'!K76+'Subway BBC'!K76+'Market Pavillion'!K76+'Chic Fil A BBC'!K76+Panera!K76+'Heritage Market'!K76</f>
        <v>8723.1410672740003</v>
      </c>
      <c r="L76" s="80">
        <f t="shared" si="24"/>
        <v>3.9531033664002771E-4</v>
      </c>
      <c r="M76" s="134">
        <f>'POD Breezeway'!M76+'Express GL'!M76+'Starbucks GL-SBX Truck'!M76+'Miro''s'!M76+'Faculty Club'!M76+'Almazar &amp; Brand X'!M76+'Burger King'!M76+Bustelo!M76+Chilis!M76+Einstein!M76+Jamba!M76+'Pollo Tropical'!M76+'Subway GC'!M76+'Sushi Maki'!M76+Panda!M76+'Starbucks Mango'!M76+'Taco Bell'!M76+'Chick-fil-A'!M76+Dunkin!M76+Chipotle!M76+Sergios!M76+'Moes PG5'!M76+'Papa Johns'!M76+Salad!M76+'Half Moon &amp; Trop Smoothie'!M76+'Athletic Concessions -Kitchen'!M76+'Starbucks BBC'!M76+'Moes BBC'!M76+'Grille Works BBC &amp; Shipping'!M76+'Subway BBC'!M76+'Market Pavillion'!M76+'Chic Fil A BBC'!M76+Panera!M76+'Heritage Market'!M76</f>
        <v>8991.4378677066325</v>
      </c>
      <c r="N76" s="80">
        <f t="shared" si="25"/>
        <v>3.9535870974600167E-4</v>
      </c>
      <c r="O76" s="134">
        <f>'POD Breezeway'!O76+'Express GL'!O76+'Starbucks GL-SBX Truck'!O76+'Miro''s'!O76+'Faculty Club'!O76+'Almazar &amp; Brand X'!O76+'Burger King'!O76+Bustelo!O76+Chilis!O76+Einstein!O76+Jamba!O76+'Pollo Tropical'!O76+'Subway GC'!O76+'Sushi Maki'!O76+Panda!O76+'Starbucks Mango'!O76+'Taco Bell'!O76+'Chick-fil-A'!O76+Dunkin!O76+Chipotle!O76+Sergios!O76+'Moes PG5'!O76+'Papa Johns'!O76+Salad!O76+'Half Moon &amp; Trop Smoothie'!O76+'Athletic Concessions -Kitchen'!O76+'Starbucks BBC'!O76+'Moes BBC'!O76+'Grille Works BBC &amp; Shipping'!O76+'Subway BBC'!O76+'Market Pavillion'!O76+'Chic Fil A BBC'!O76+Panera!O76+'Heritage Market'!O76</f>
        <v>9275.2177387127613</v>
      </c>
      <c r="P76" s="80">
        <f t="shared" si="26"/>
        <v>3.9541012968549852E-4</v>
      </c>
      <c r="Q76" s="134">
        <f>'POD Breezeway'!Q76+'Express GL'!Q76+'Starbucks GL-SBX Truck'!Q76+'Miro''s'!Q76+'Faculty Club'!Q76+'Almazar &amp; Brand X'!Q76+'Burger King'!Q76+Bustelo!Q76+Chilis!Q76+Einstein!Q76+Jamba!Q76+'Pollo Tropical'!Q76+'Subway GC'!Q76+'Sushi Maki'!Q76+Panda!Q76+'Starbucks Mango'!Q76+'Taco Bell'!Q76+'Chick-fil-A'!Q76+Dunkin!Q76+Chipotle!Q76+Sergios!Q76+'Moes PG5'!Q76+'Papa Johns'!Q76+Salad!Q76+'Half Moon &amp; Trop Smoothie'!Q76+'Athletic Concessions -Kitchen'!Q76+'Starbucks BBC'!Q76+'Moes BBC'!Q76+'Grille Works BBC &amp; Shipping'!Q76+'Subway BBC'!Q76+'Market Pavillion'!Q76+'Chic Fil A BBC'!Q76+Panera!Q76+'Heritage Market'!Q76</f>
        <v>9572.7360701523739</v>
      </c>
      <c r="R76" s="80">
        <f t="shared" si="27"/>
        <v>3.9546322823544837E-4</v>
      </c>
      <c r="S76" s="134">
        <f>'POD Breezeway'!S76+'Express GL'!S76+'Starbucks GL-SBX Truck'!S76+'Miro''s'!S76+'Faculty Club'!S76+'Almazar &amp; Brand X'!S76+'Burger King'!S76+Bustelo!S76+Chilis!S76+Einstein!S76+Jamba!S76+'Pollo Tropical'!S76+'Subway GC'!S76+'Sushi Maki'!S76+Panda!S76+'Starbucks Mango'!S76+'Taco Bell'!S76+'Chick-fil-A'!S76+Dunkin!S76+Chipotle!S76+Sergios!S76+'Moes PG5'!S76+'Papa Johns'!S76+Salad!S76+'Half Moon &amp; Trop Smoothie'!S76+'Athletic Concessions -Kitchen'!S76+'Starbucks BBC'!S76+'Moes BBC'!S76+'Grille Works BBC &amp; Shipping'!S76+'Subway BBC'!S76+'Market Pavillion'!S76+'Chic Fil A BBC'!S76+Panera!S76+'Heritage Market'!S76</f>
        <v>9882.2985236320601</v>
      </c>
      <c r="T76" s="80">
        <f t="shared" si="28"/>
        <v>3.9551684150367105E-4</v>
      </c>
      <c r="U76" s="134">
        <f>'POD Breezeway'!U76+'Express GL'!U76+'Starbucks GL-SBX Truck'!U76+'Miro''s'!U76+'Faculty Club'!U76+'Almazar &amp; Brand X'!U76+'Burger King'!U76+Bustelo!U76+Chilis!U76+Einstein!U76+Jamba!U76+'Pollo Tropical'!U76+'Subway GC'!U76+'Sushi Maki'!U76+Panda!U76+'Starbucks Mango'!U76+'Taco Bell'!U76+'Chick-fil-A'!U76+Dunkin!U76+Chipotle!U76+Sergios!U76+'Moes PG5'!U76+'Papa Johns'!U76+Salad!U76+'Half Moon &amp; Trop Smoothie'!U76+'Athletic Concessions -Kitchen'!U76+'Starbucks BBC'!U76+'Moes BBC'!U76+'Grille Works BBC &amp; Shipping'!U76+'Subway BBC'!U76+'Market Pavillion'!U76+'Chic Fil A BBC'!U76+Panera!U76+'Heritage Market'!U76</f>
        <v>10204.03678093967</v>
      </c>
      <c r="V76" s="80">
        <f t="shared" si="29"/>
        <v>3.9557075792442714E-4</v>
      </c>
    </row>
    <row r="77" spans="1:22" ht="12.75" customHeight="1">
      <c r="A77" s="214" t="s">
        <v>421</v>
      </c>
      <c r="B77" s="215"/>
      <c r="C77" s="134">
        <f>'POD Breezeway'!C77+'Express GL'!C77+'Starbucks GL-SBX Truck'!C77+'Miro''s'!C77+'Faculty Club'!C77+'Almazar &amp; Brand X'!C77+'Burger King'!C77+Bustelo!C77+Chilis!C77+Einstein!C77+Jamba!C77+'Pollo Tropical'!C77+'Subway GC'!C77+'Sushi Maki'!C77+Panda!C77+'Starbucks Mango'!C77+'Taco Bell'!C77+'Chick-fil-A'!C77+Dunkin!C77+Chipotle!C77+Sergios!C77+'Moes PG5'!C77+'Papa Johns'!C77+Salad!C77+'Half Moon &amp; Trop Smoothie'!C77+'Athletic Concessions -Kitchen'!C77+'Starbucks BBC'!C77+'Moes BBC'!C77+'Grille Works BBC &amp; Shipping'!C77+'Subway BBC'!C77+'Market Pavillion'!C77+'Chic Fil A BBC'!C77+Panera!C77+'Heritage Market'!C77</f>
        <v>20247.889194000007</v>
      </c>
      <c r="D77" s="80">
        <f t="shared" si="20"/>
        <v>1.2773404568593133E-3</v>
      </c>
      <c r="E77" s="134">
        <f>'POD Breezeway'!E77+'Express GL'!E77+'Starbucks GL-SBX Truck'!E77+'Miro''s'!E77+'Faculty Club'!E77+'Almazar &amp; Brand X'!E77+'Burger King'!E77+Bustelo!E77+Chilis!E77+Einstein!E77+Jamba!E77+'Pollo Tropical'!E77+'Subway GC'!E77+'Sushi Maki'!E77+Panda!E77+'Starbucks Mango'!E77+'Taco Bell'!E77+'Chick-fil-A'!E77+Dunkin!E77+Chipotle!E77+Sergios!E77+'Moes PG5'!E77+'Papa Johns'!E77+Salad!E77+'Half Moon &amp; Trop Smoothie'!E77+'Athletic Concessions -Kitchen'!E77+'Starbucks BBC'!E77+'Moes BBC'!E77+'Grille Works BBC &amp; Shipping'!E77+'Subway BBC'!E77+'Market Pavillion'!E77+'Chic Fil A BBC'!E77+Panera!E77+'Heritage Market'!E77</f>
        <v>24080.712500000001</v>
      </c>
      <c r="F77" s="80">
        <f t="shared" si="21"/>
        <v>1.2802045300142994E-3</v>
      </c>
      <c r="G77" s="134">
        <f>'POD Breezeway'!G77+'Express GL'!G77+'Starbucks GL-SBX Truck'!G77+'Miro''s'!G77+'Faculty Club'!G77+'Almazar &amp; Brand X'!G77+'Burger King'!G77+Bustelo!G77+Chilis!G77+Einstein!G77+Jamba!G77+'Pollo Tropical'!G77+'Subway GC'!G77+'Sushi Maki'!G77+Panda!G77+'Starbucks Mango'!G77+'Taco Bell'!G77+'Chick-fil-A'!G77+Dunkin!G77+Chipotle!G77+Sergios!G77+'Moes PG5'!G77+'Papa Johns'!G77+Salad!G77+'Half Moon &amp; Trop Smoothie'!G77+'Athletic Concessions -Kitchen'!G77+'Starbucks BBC'!G77+'Moes BBC'!G77+'Grille Works BBC &amp; Shipping'!G77+'Subway BBC'!G77+'Market Pavillion'!G77+'Chic Fil A BBC'!G77+Panera!G77+'Heritage Market'!G77</f>
        <v>26505.948949999998</v>
      </c>
      <c r="H77" s="80">
        <f t="shared" si="22"/>
        <v>1.2843362837865924E-3</v>
      </c>
      <c r="I77" s="134">
        <f>'POD Breezeway'!I77+'Express GL'!I77+'Starbucks GL-SBX Truck'!I77+'Miro''s'!I77+'Faculty Club'!I77+'Almazar &amp; Brand X'!I77+'Burger King'!I77+Bustelo!I77+Chilis!I77+Einstein!I77+Jamba!I77+'Pollo Tropical'!I77+'Subway GC'!I77+'Sushi Maki'!I77+Panda!I77+'Starbucks Mango'!I77+'Taco Bell'!I77+'Chick-fil-A'!I77+Dunkin!I77+Chipotle!I77+Sergios!I77+'Moes PG5'!I77+'Papa Johns'!I77+Salad!I77+'Half Moon &amp; Trop Smoothie'!I77+'Athletic Concessions -Kitchen'!I77+'Starbucks BBC'!I77+'Moes BBC'!I77+'Grille Works BBC &amp; Shipping'!I77+'Subway BBC'!I77+'Market Pavillion'!I77+'Chic Fil A BBC'!I77+Panera!I77+'Heritage Market'!I77</f>
        <v>27514.542184350001</v>
      </c>
      <c r="J77" s="80">
        <f t="shared" si="23"/>
        <v>1.2846054481113988E-3</v>
      </c>
      <c r="K77" s="134">
        <f>'POD Breezeway'!K77+'Express GL'!K77+'Starbucks GL-SBX Truck'!K77+'Miro''s'!K77+'Faculty Club'!K77+'Almazar &amp; Brand X'!K77+'Burger King'!K77+Bustelo!K77+Chilis!K77+Einstein!K77+Jamba!K77+'Pollo Tropical'!K77+'Subway GC'!K77+'Sushi Maki'!K77+Panda!K77+'Starbucks Mango'!K77+'Taco Bell'!K77+'Chick-fil-A'!K77+Dunkin!K77+Chipotle!K77+Sergios!K77+'Moes PG5'!K77+'Papa Johns'!K77+Salad!K77+'Half Moon &amp; Trop Smoothie'!K77+'Athletic Concessions -Kitchen'!K77+'Starbucks BBC'!K77+'Moes BBC'!K77+'Grille Works BBC &amp; Shipping'!K77+'Subway BBC'!K77+'Market Pavillion'!K77+'Chic Fil A BBC'!K77+Panera!K77+'Heritage Market'!K77</f>
        <v>28350.2084686405</v>
      </c>
      <c r="L77" s="80">
        <f t="shared" si="24"/>
        <v>1.28475859408009E-3</v>
      </c>
      <c r="M77" s="134">
        <f>'POD Breezeway'!M77+'Express GL'!M77+'Starbucks GL-SBX Truck'!M77+'Miro''s'!M77+'Faculty Club'!M77+'Almazar &amp; Brand X'!M77+'Burger King'!M77+Bustelo!M77+Chilis!M77+Einstein!M77+Jamba!M77+'Pollo Tropical'!M77+'Subway GC'!M77+'Sushi Maki'!M77+Panda!M77+'Starbucks Mango'!M77+'Taco Bell'!M77+'Chick-fil-A'!M77+Dunkin!M77+Chipotle!M77+Sergios!M77+'Moes PG5'!M77+'Papa Johns'!M77+Salad!M77+'Half Moon &amp; Trop Smoothie'!M77+'Athletic Concessions -Kitchen'!M77+'Starbucks BBC'!M77+'Moes BBC'!M77+'Grille Works BBC &amp; Shipping'!M77+'Subway BBC'!M77+'Market Pavillion'!M77+'Chic Fil A BBC'!M77+Panera!M77+'Heritage Market'!M77</f>
        <v>29222.173070046556</v>
      </c>
      <c r="N77" s="80">
        <f t="shared" si="25"/>
        <v>1.2849158066745054E-3</v>
      </c>
      <c r="O77" s="134">
        <f>'POD Breezeway'!O77+'Express GL'!O77+'Starbucks GL-SBX Truck'!O77+'Miro''s'!O77+'Faculty Club'!O77+'Almazar &amp; Brand X'!O77+'Burger King'!O77+Bustelo!O77+Chilis!O77+Einstein!O77+Jamba!O77+'Pollo Tropical'!O77+'Subway GC'!O77+'Sushi Maki'!O77+Panda!O77+'Starbucks Mango'!O77+'Taco Bell'!O77+'Chick-fil-A'!O77+Dunkin!O77+Chipotle!O77+Sergios!O77+'Moes PG5'!O77+'Papa Johns'!O77+Salad!O77+'Half Moon &amp; Trop Smoothie'!O77+'Athletic Concessions -Kitchen'!O77+'Starbucks BBC'!O77+'Moes BBC'!O77+'Grille Works BBC &amp; Shipping'!O77+'Subway BBC'!O77+'Market Pavillion'!O77+'Chic Fil A BBC'!O77+Panera!O77+'Heritage Market'!O77</f>
        <v>30144.457650816476</v>
      </c>
      <c r="P77" s="80">
        <f t="shared" si="26"/>
        <v>1.2850829214778702E-3</v>
      </c>
      <c r="Q77" s="134">
        <f>'POD Breezeway'!Q77+'Express GL'!Q77+'Starbucks GL-SBX Truck'!Q77+'Miro''s'!Q77+'Faculty Club'!Q77+'Almazar &amp; Brand X'!Q77+'Burger King'!Q77+Bustelo!Q77+Chilis!Q77+Einstein!Q77+Jamba!Q77+'Pollo Tropical'!Q77+'Subway GC'!Q77+'Sushi Maki'!Q77+Panda!Q77+'Starbucks Mango'!Q77+'Taco Bell'!Q77+'Chick-fil-A'!Q77+Dunkin!Q77+Chipotle!Q77+Sergios!Q77+'Moes PG5'!Q77+'Papa Johns'!Q77+Salad!Q77+'Half Moon &amp; Trop Smoothie'!Q77+'Athletic Concessions -Kitchen'!Q77+'Starbucks BBC'!Q77+'Moes BBC'!Q77+'Grille Works BBC &amp; Shipping'!Q77+'Subway BBC'!Q77+'Market Pavillion'!Q77+'Chic Fil A BBC'!Q77+Panera!Q77+'Heritage Market'!Q77</f>
        <v>31111.392227995206</v>
      </c>
      <c r="R77" s="80">
        <f t="shared" si="27"/>
        <v>1.2852554917652068E-3</v>
      </c>
      <c r="S77" s="134">
        <f>'POD Breezeway'!S77+'Express GL'!S77+'Starbucks GL-SBX Truck'!S77+'Miro''s'!S77+'Faculty Club'!S77+'Almazar &amp; Brand X'!S77+'Burger King'!S77+Bustelo!S77+Chilis!S77+Einstein!S77+Jamba!S77+'Pollo Tropical'!S77+'Subway GC'!S77+'Sushi Maki'!S77+Panda!S77+'Starbucks Mango'!S77+'Taco Bell'!S77+'Chick-fil-A'!S77+Dunkin!S77+Chipotle!S77+Sergios!S77+'Moes PG5'!S77+'Papa Johns'!S77+Salad!S77+'Half Moon &amp; Trop Smoothie'!S77+'Athletic Concessions -Kitchen'!S77+'Starbucks BBC'!S77+'Moes BBC'!S77+'Grille Works BBC &amp; Shipping'!S77+'Subway BBC'!S77+'Market Pavillion'!S77+'Chic Fil A BBC'!S77+Panera!S77+'Heritage Market'!S77</f>
        <v>32117.470201804197</v>
      </c>
      <c r="T77" s="80">
        <f t="shared" si="28"/>
        <v>1.2854297348869311E-3</v>
      </c>
      <c r="U77" s="134">
        <f>'POD Breezeway'!U77+'Express GL'!U77+'Starbucks GL-SBX Truck'!U77+'Miro''s'!U77+'Faculty Club'!U77+'Almazar &amp; Brand X'!U77+'Burger King'!U77+Bustelo!U77+Chilis!U77+Einstein!U77+Jamba!U77+'Pollo Tropical'!U77+'Subway GC'!U77+'Sushi Maki'!U77+Panda!U77+'Starbucks Mango'!U77+'Taco Bell'!U77+'Chick-fil-A'!U77+Dunkin!U77+Chipotle!U77+Sergios!U77+'Moes PG5'!U77+'Papa Johns'!U77+Salad!U77+'Half Moon &amp; Trop Smoothie'!U77+'Athletic Concessions -Kitchen'!U77+'Starbucks BBC'!U77+'Moes BBC'!U77+'Grille Works BBC &amp; Shipping'!U77+'Subway BBC'!U77+'Market Pavillion'!U77+'Chic Fil A BBC'!U77+Panera!U77+'Heritage Market'!U77</f>
        <v>33163.119538053914</v>
      </c>
      <c r="V77" s="80">
        <f t="shared" si="29"/>
        <v>1.2856049632543876E-3</v>
      </c>
    </row>
    <row r="78" spans="1:22" ht="12.75" customHeight="1">
      <c r="A78" s="214" t="s">
        <v>422</v>
      </c>
      <c r="B78" s="215"/>
      <c r="C78" s="134">
        <f>'POD Breezeway'!C78+'Express GL'!C78+'Starbucks GL-SBX Truck'!C78+'Miro''s'!C78+'Faculty Club'!C78+'Almazar &amp; Brand X'!C78+'Burger King'!C78+Bustelo!C78+Chilis!C78+Einstein!C78+Jamba!C78+'Pollo Tropical'!C78+'Subway GC'!C78+'Sushi Maki'!C78+Panda!C78+'Starbucks Mango'!C78+'Taco Bell'!C78+'Chick-fil-A'!C78+Dunkin!C78+Chipotle!C78+Sergios!C78+'Moes PG5'!C78+'Papa Johns'!C78+Salad!C78+'Half Moon &amp; Trop Smoothie'!C78+'Athletic Concessions -Kitchen'!C78+'Starbucks BBC'!C78+'Moes BBC'!C78+'Grille Works BBC &amp; Shipping'!C78+'Subway BBC'!C78+'Market Pavillion'!C78+'Chic Fil A BBC'!C78+Panera!C78+'Heritage Market'!C78</f>
        <v>342656.58636000002</v>
      </c>
      <c r="D78" s="80">
        <f t="shared" si="20"/>
        <v>2.1616530808388372E-2</v>
      </c>
      <c r="E78" s="134">
        <f>'POD Breezeway'!E78+'Express GL'!E78+'Starbucks GL-SBX Truck'!E78+'Miro''s'!E78+'Faculty Club'!E78+'Almazar &amp; Brand X'!E78+'Burger King'!E78+Bustelo!E78+Chilis!E78+Einstein!E78+Jamba!E78+'Pollo Tropical'!E78+'Subway GC'!E78+'Sushi Maki'!E78+Panda!E78+'Starbucks Mango'!E78+'Taco Bell'!E78+'Chick-fil-A'!E78+Dunkin!E78+Chipotle!E78+Sergios!E78+'Moes PG5'!E78+'Papa Johns'!E78+Salad!E78+'Half Moon &amp; Trop Smoothie'!E78+'Athletic Concessions -Kitchen'!E78+'Starbucks BBC'!E78+'Moes BBC'!E78+'Grille Works BBC &amp; Shipping'!E78+'Subway BBC'!E78+'Market Pavillion'!E78+'Chic Fil A BBC'!E78+Panera!E78+'Heritage Market'!E78</f>
        <v>407519.75</v>
      </c>
      <c r="F78" s="80">
        <f t="shared" si="21"/>
        <v>2.1664999738703526E-2</v>
      </c>
      <c r="G78" s="134">
        <f>'POD Breezeway'!G78+'Express GL'!G78+'Starbucks GL-SBX Truck'!G78+'Miro''s'!G78+'Faculty Club'!G78+'Almazar &amp; Brand X'!G78+'Burger King'!G78+Bustelo!G78+Chilis!G78+Einstein!G78+Jamba!G78+'Pollo Tropical'!G78+'Subway GC'!G78+'Sushi Maki'!G78+Panda!G78+'Starbucks Mango'!G78+'Taco Bell'!G78+'Chick-fil-A'!G78+Dunkin!G78+Chipotle!G78+Sergios!G78+'Moes PG5'!G78+'Papa Johns'!G78+Salad!G78+'Half Moon &amp; Trop Smoothie'!G78+'Athletic Concessions -Kitchen'!G78+'Starbucks BBC'!G78+'Moes BBC'!G78+'Grille Works BBC &amp; Shipping'!G78+'Subway BBC'!G78+'Market Pavillion'!G78+'Chic Fil A BBC'!G78+Panera!G78+'Heritage Market'!G78</f>
        <v>448562.21300000005</v>
      </c>
      <c r="H78" s="80">
        <f t="shared" si="22"/>
        <v>2.173492172561926E-2</v>
      </c>
      <c r="I78" s="134">
        <f>'POD Breezeway'!I78+'Express GL'!I78+'Starbucks GL-SBX Truck'!I78+'Miro''s'!I78+'Faculty Club'!I78+'Almazar &amp; Brand X'!I78+'Burger King'!I78+Bustelo!I78+Chilis!I78+Einstein!I78+Jamba!I78+'Pollo Tropical'!I78+'Subway GC'!I78+'Sushi Maki'!I78+Panda!I78+'Starbucks Mango'!I78+'Taco Bell'!I78+'Chick-fil-A'!I78+Dunkin!I78+Chipotle!I78+Sergios!I78+'Moes PG5'!I78+'Papa Johns'!I78+Salad!I78+'Half Moon &amp; Trop Smoothie'!I78+'Athletic Concessions -Kitchen'!I78+'Starbucks BBC'!I78+'Moes BBC'!I78+'Grille Works BBC &amp; Shipping'!I78+'Subway BBC'!I78+'Market Pavillion'!I78+'Chic Fil A BBC'!I78+Panera!I78+'Heritage Market'!I78</f>
        <v>465630.71388899995</v>
      </c>
      <c r="J78" s="80">
        <f t="shared" si="23"/>
        <v>2.1739476814192898E-2</v>
      </c>
      <c r="K78" s="134">
        <f>'POD Breezeway'!K78+'Express GL'!K78+'Starbucks GL-SBX Truck'!K78+'Miro''s'!K78+'Faculty Club'!K78+'Almazar &amp; Brand X'!K78+'Burger King'!K78+Bustelo!K78+Chilis!K78+Einstein!K78+Jamba!K78+'Pollo Tropical'!K78+'Subway GC'!K78+'Sushi Maki'!K78+Panda!K78+'Starbucks Mango'!K78+'Taco Bell'!K78+'Chick-fil-A'!K78+Dunkin!K78+Chipotle!K78+Sergios!K78+'Moes PG5'!K78+'Papa Johns'!K78+Salad!K78+'Half Moon &amp; Trop Smoothie'!K78+'Athletic Concessions -Kitchen'!K78+'Starbucks BBC'!K78+'Moes BBC'!K78+'Grille Works BBC &amp; Shipping'!K78+'Subway BBC'!K78+'Market Pavillion'!K78+'Chic Fil A BBC'!K78+Panera!K78+'Heritage Market'!K78</f>
        <v>479772.75870006997</v>
      </c>
      <c r="L78" s="80">
        <f t="shared" si="24"/>
        <v>2.1742068515201524E-2</v>
      </c>
      <c r="M78" s="134">
        <f>'POD Breezeway'!M78+'Express GL'!M78+'Starbucks GL-SBX Truck'!M78+'Miro''s'!M78+'Faculty Club'!M78+'Almazar &amp; Brand X'!M78+'Burger King'!M78+Bustelo!M78+Chilis!M78+Einstein!M78+Jamba!M78+'Pollo Tropical'!M78+'Subway GC'!M78+'Sushi Maki'!M78+Panda!M78+'Starbucks Mango'!M78+'Taco Bell'!M78+'Chick-fil-A'!M78+Dunkin!M78+Chipotle!M78+Sergios!M78+'Moes PG5'!M78+'Papa Johns'!M78+Salad!M78+'Half Moon &amp; Trop Smoothie'!M78+'Athletic Concessions -Kitchen'!M78+'Starbucks BBC'!M78+'Moes BBC'!M78+'Grille Works BBC &amp; Shipping'!M78+'Subway BBC'!M78+'Market Pavillion'!M78+'Chic Fil A BBC'!M78+Panera!M78+'Heritage Market'!M78</f>
        <v>494529.08272386476</v>
      </c>
      <c r="N78" s="80">
        <f t="shared" si="25"/>
        <v>2.1744729036030089E-2</v>
      </c>
      <c r="O78" s="134">
        <f>'POD Breezeway'!O78+'Express GL'!O78+'Starbucks GL-SBX Truck'!O78+'Miro''s'!O78+'Faculty Club'!O78+'Almazar &amp; Brand X'!O78+'Burger King'!O78+Bustelo!O78+Chilis!O78+Einstein!O78+Jamba!O78+'Pollo Tropical'!O78+'Subway GC'!O78+'Sushi Maki'!O78+Panda!O78+'Starbucks Mango'!O78+'Taco Bell'!O78+'Chick-fil-A'!O78+Dunkin!O78+Chipotle!O78+Sergios!O78+'Moes PG5'!O78+'Papa Johns'!O78+Salad!O78+'Half Moon &amp; Trop Smoothie'!O78+'Athletic Concessions -Kitchen'!O78+'Starbucks BBC'!O78+'Moes BBC'!O78+'Grille Works BBC &amp; Shipping'!O78+'Subway BBC'!O78+'Market Pavillion'!O78+'Chic Fil A BBC'!O78+Panera!O78+'Heritage Market'!O78</f>
        <v>510136.97562920186</v>
      </c>
      <c r="P78" s="80">
        <f t="shared" si="26"/>
        <v>2.1747557132702419E-2</v>
      </c>
      <c r="Q78" s="134">
        <f>'POD Breezeway'!Q78+'Express GL'!Q78+'Starbucks GL-SBX Truck'!Q78+'Miro''s'!Q78+'Faculty Club'!Q78+'Almazar &amp; Brand X'!Q78+'Burger King'!Q78+Bustelo!Q78+Chilis!Q78+Einstein!Q78+Jamba!Q78+'Pollo Tropical'!Q78+'Subway GC'!Q78+'Sushi Maki'!Q78+Panda!Q78+'Starbucks Mango'!Q78+'Taco Bell'!Q78+'Chick-fil-A'!Q78+Dunkin!Q78+Chipotle!Q78+Sergios!Q78+'Moes PG5'!Q78+'Papa Johns'!Q78+Salad!Q78+'Half Moon &amp; Trop Smoothie'!Q78+'Athletic Concessions -Kitchen'!Q78+'Starbucks BBC'!Q78+'Moes BBC'!Q78+'Grille Works BBC &amp; Shipping'!Q78+'Subway BBC'!Q78+'Market Pavillion'!Q78+'Chic Fil A BBC'!Q78+Panera!Q78+'Heritage Market'!Q78</f>
        <v>526500.48385838047</v>
      </c>
      <c r="R78" s="80">
        <f t="shared" si="27"/>
        <v>2.1750477552949656E-2</v>
      </c>
      <c r="S78" s="134">
        <f>'POD Breezeway'!S78+'Express GL'!S78+'Starbucks GL-SBX Truck'!S78+'Miro''s'!S78+'Faculty Club'!S78+'Almazar &amp; Brand X'!S78+'Burger King'!S78+Bustelo!S78+Chilis!S78+Einstein!S78+Jamba!S78+'Pollo Tropical'!S78+'Subway GC'!S78+'Sushi Maki'!S78+Panda!S78+'Starbucks Mango'!S78+'Taco Bell'!S78+'Chick-fil-A'!S78+Dunkin!S78+Chipotle!S78+Sergios!S78+'Moes PG5'!S78+'Papa Johns'!S78+Salad!S78+'Half Moon &amp; Trop Smoothie'!S78+'Athletic Concessions -Kitchen'!S78+'Starbucks BBC'!S78+'Moes BBC'!S78+'Grille Works BBC &amp; Shipping'!S78+'Subway BBC'!S78+'Market Pavillion'!S78+'Chic Fil A BBC'!S78+Panera!S78+'Heritage Market'!S78</f>
        <v>543526.41879976343</v>
      </c>
      <c r="T78" s="80">
        <f t="shared" si="28"/>
        <v>2.1753426282701913E-2</v>
      </c>
      <c r="U78" s="134">
        <f>'POD Breezeway'!U78+'Express GL'!U78+'Starbucks GL-SBX Truck'!U78+'Miro''s'!U78+'Faculty Club'!U78+'Almazar &amp; Brand X'!U78+'Burger King'!U78+Bustelo!U78+Chilis!U78+Einstein!U78+Jamba!U78+'Pollo Tropical'!U78+'Subway GC'!U78+'Sushi Maki'!U78+Panda!U78+'Starbucks Mango'!U78+'Taco Bell'!U78+'Chick-fil-A'!U78+Dunkin!U78+Chipotle!U78+Sergios!U78+'Moes PG5'!U78+'Papa Johns'!U78+Salad!U78+'Half Moon &amp; Trop Smoothie'!U78+'Athletic Concessions -Kitchen'!U78+'Starbucks BBC'!U78+'Moes BBC'!U78+'Grille Works BBC &amp; Shipping'!U78+'Subway BBC'!U78+'Market Pavillion'!U78+'Chic Fil A BBC'!U78+Panera!U78+'Heritage Market'!U78</f>
        <v>561222.02295168175</v>
      </c>
      <c r="V78" s="80">
        <f t="shared" si="29"/>
        <v>2.175639168584349E-2</v>
      </c>
    </row>
    <row r="79" spans="1:22" ht="12.75" customHeight="1">
      <c r="A79" s="2" t="s">
        <v>423</v>
      </c>
      <c r="B79" s="35"/>
      <c r="C79" s="134">
        <f>'POD Breezeway'!C79+'Express GL'!C79+'Starbucks GL-SBX Truck'!C79+'Miro''s'!C79+'Faculty Club'!C79+'Almazar &amp; Brand X'!C79+'Burger King'!C79+Bustelo!C79+Chilis!C79+Einstein!C79+Jamba!C79+'Pollo Tropical'!C79+'Subway GC'!C79+'Sushi Maki'!C79+Panda!C79+'Starbucks Mango'!C79+'Taco Bell'!C79+'Chick-fil-A'!C79+Dunkin!C79+Chipotle!C79+Sergios!C79+'Moes PG5'!C79+'Papa Johns'!C79+Salad!C79+'Half Moon &amp; Trop Smoothie'!C79+'Athletic Concessions -Kitchen'!C79+'Starbucks BBC'!C79+'Moes BBC'!C79+'Grille Works BBC &amp; Shipping'!C79+'Subway BBC'!C79+'Market Pavillion'!C79+'Chic Fil A BBC'!C79+Panera!C79+'Heritage Market'!C79</f>
        <v>0</v>
      </c>
      <c r="D79" s="80">
        <f t="shared" si="20"/>
        <v>0</v>
      </c>
      <c r="E79" s="134">
        <f>'POD Breezeway'!E79+'Express GL'!E79+'Starbucks GL-SBX Truck'!E79+'Miro''s'!E79+'Faculty Club'!E79+'Almazar &amp; Brand X'!E79+'Burger King'!E79+Bustelo!E79+Chilis!E79+Einstein!E79+Jamba!E79+'Pollo Tropical'!E79+'Subway GC'!E79+'Sushi Maki'!E79+Panda!E79+'Starbucks Mango'!E79+'Taco Bell'!E79+'Chick-fil-A'!E79+Dunkin!E79+Chipotle!E79+Sergios!E79+'Moes PG5'!E79+'Papa Johns'!E79+Salad!E79+'Half Moon &amp; Trop Smoothie'!E79+'Athletic Concessions -Kitchen'!E79+'Starbucks BBC'!E79+'Moes BBC'!E79+'Grille Works BBC &amp; Shipping'!E79+'Subway BBC'!E79+'Market Pavillion'!E79+'Chic Fil A BBC'!E79+Panera!E79+'Heritage Market'!E79</f>
        <v>0</v>
      </c>
      <c r="F79" s="80">
        <f t="shared" si="21"/>
        <v>0</v>
      </c>
      <c r="G79" s="134">
        <f>'POD Breezeway'!G79+'Express GL'!G79+'Starbucks GL-SBX Truck'!G79+'Miro''s'!G79+'Faculty Club'!G79+'Almazar &amp; Brand X'!G79+'Burger King'!G79+Bustelo!G79+Chilis!G79+Einstein!G79+Jamba!G79+'Pollo Tropical'!G79+'Subway GC'!G79+'Sushi Maki'!G79+Panda!G79+'Starbucks Mango'!G79+'Taco Bell'!G79+'Chick-fil-A'!G79+Dunkin!G79+Chipotle!G79+Sergios!G79+'Moes PG5'!G79+'Papa Johns'!G79+Salad!G79+'Half Moon &amp; Trop Smoothie'!G79+'Athletic Concessions -Kitchen'!G79+'Starbucks BBC'!G79+'Moes BBC'!G79+'Grille Works BBC &amp; Shipping'!G79+'Subway BBC'!G79+'Market Pavillion'!G79+'Chic Fil A BBC'!G79+Panera!G79+'Heritage Market'!G79</f>
        <v>0</v>
      </c>
      <c r="H79" s="80">
        <f t="shared" si="22"/>
        <v>0</v>
      </c>
      <c r="I79" s="134">
        <f>'POD Breezeway'!I79+'Express GL'!I79+'Starbucks GL-SBX Truck'!I79+'Miro''s'!I79+'Faculty Club'!I79+'Almazar &amp; Brand X'!I79+'Burger King'!I79+Bustelo!I79+Chilis!I79+Einstein!I79+Jamba!I79+'Pollo Tropical'!I79+'Subway GC'!I79+'Sushi Maki'!I79+Panda!I79+'Starbucks Mango'!I79+'Taco Bell'!I79+'Chick-fil-A'!I79+Dunkin!I79+Chipotle!I79+Sergios!I79+'Moes PG5'!I79+'Papa Johns'!I79+Salad!I79+'Half Moon &amp; Trop Smoothie'!I79+'Athletic Concessions -Kitchen'!I79+'Starbucks BBC'!I79+'Moes BBC'!I79+'Grille Works BBC &amp; Shipping'!I79+'Subway BBC'!I79+'Market Pavillion'!I79+'Chic Fil A BBC'!I79+Panera!I79+'Heritage Market'!I79</f>
        <v>0</v>
      </c>
      <c r="J79" s="80">
        <f t="shared" si="23"/>
        <v>0</v>
      </c>
      <c r="K79" s="134">
        <f>'POD Breezeway'!K79+'Express GL'!K79+'Starbucks GL-SBX Truck'!K79+'Miro''s'!K79+'Faculty Club'!K79+'Almazar &amp; Brand X'!K79+'Burger King'!K79+Bustelo!K79+Chilis!K79+Einstein!K79+Jamba!K79+'Pollo Tropical'!K79+'Subway GC'!K79+'Sushi Maki'!K79+Panda!K79+'Starbucks Mango'!K79+'Taco Bell'!K79+'Chick-fil-A'!K79+Dunkin!K79+Chipotle!K79+Sergios!K79+'Moes PG5'!K79+'Papa Johns'!K79+Salad!K79+'Half Moon &amp; Trop Smoothie'!K79+'Athletic Concessions -Kitchen'!K79+'Starbucks BBC'!K79+'Moes BBC'!K79+'Grille Works BBC &amp; Shipping'!K79+'Subway BBC'!K79+'Market Pavillion'!K79+'Chic Fil A BBC'!K79+Panera!K79+'Heritage Market'!K79</f>
        <v>0</v>
      </c>
      <c r="L79" s="80">
        <f t="shared" si="24"/>
        <v>0</v>
      </c>
      <c r="M79" s="134">
        <f>'POD Breezeway'!M79+'Express GL'!M79+'Starbucks GL-SBX Truck'!M79+'Miro''s'!M79+'Faculty Club'!M79+'Almazar &amp; Brand X'!M79+'Burger King'!M79+Bustelo!M79+Chilis!M79+Einstein!M79+Jamba!M79+'Pollo Tropical'!M79+'Subway GC'!M79+'Sushi Maki'!M79+Panda!M79+'Starbucks Mango'!M79+'Taco Bell'!M79+'Chick-fil-A'!M79+Dunkin!M79+Chipotle!M79+Sergios!M79+'Moes PG5'!M79+'Papa Johns'!M79+Salad!M79+'Half Moon &amp; Trop Smoothie'!M79+'Athletic Concessions -Kitchen'!M79+'Starbucks BBC'!M79+'Moes BBC'!M79+'Grille Works BBC &amp; Shipping'!M79+'Subway BBC'!M79+'Market Pavillion'!M79+'Chic Fil A BBC'!M79+Panera!M79+'Heritage Market'!M79</f>
        <v>0</v>
      </c>
      <c r="N79" s="80">
        <f t="shared" si="25"/>
        <v>0</v>
      </c>
      <c r="O79" s="134">
        <f>'POD Breezeway'!O79+'Express GL'!O79+'Starbucks GL-SBX Truck'!O79+'Miro''s'!O79+'Faculty Club'!O79+'Almazar &amp; Brand X'!O79+'Burger King'!O79+Bustelo!O79+Chilis!O79+Einstein!O79+Jamba!O79+'Pollo Tropical'!O79+'Subway GC'!O79+'Sushi Maki'!O79+Panda!O79+'Starbucks Mango'!O79+'Taco Bell'!O79+'Chick-fil-A'!O79+Dunkin!O79+Chipotle!O79+Sergios!O79+'Moes PG5'!O79+'Papa Johns'!O79+Salad!O79+'Half Moon &amp; Trop Smoothie'!O79+'Athletic Concessions -Kitchen'!O79+'Starbucks BBC'!O79+'Moes BBC'!O79+'Grille Works BBC &amp; Shipping'!O79+'Subway BBC'!O79+'Market Pavillion'!O79+'Chic Fil A BBC'!O79+Panera!O79+'Heritage Market'!O79</f>
        <v>0</v>
      </c>
      <c r="P79" s="80">
        <f t="shared" si="26"/>
        <v>0</v>
      </c>
      <c r="Q79" s="134">
        <f>'POD Breezeway'!Q79+'Express GL'!Q79+'Starbucks GL-SBX Truck'!Q79+'Miro''s'!Q79+'Faculty Club'!Q79+'Almazar &amp; Brand X'!Q79+'Burger King'!Q79+Bustelo!Q79+Chilis!Q79+Einstein!Q79+Jamba!Q79+'Pollo Tropical'!Q79+'Subway GC'!Q79+'Sushi Maki'!Q79+Panda!Q79+'Starbucks Mango'!Q79+'Taco Bell'!Q79+'Chick-fil-A'!Q79+Dunkin!Q79+Chipotle!Q79+Sergios!Q79+'Moes PG5'!Q79+'Papa Johns'!Q79+Salad!Q79+'Half Moon &amp; Trop Smoothie'!Q79+'Athletic Concessions -Kitchen'!Q79+'Starbucks BBC'!Q79+'Moes BBC'!Q79+'Grille Works BBC &amp; Shipping'!Q79+'Subway BBC'!Q79+'Market Pavillion'!Q79+'Chic Fil A BBC'!Q79+Panera!Q79+'Heritage Market'!Q79</f>
        <v>0</v>
      </c>
      <c r="R79" s="80">
        <f t="shared" si="27"/>
        <v>0</v>
      </c>
      <c r="S79" s="134">
        <f>'POD Breezeway'!S79+'Express GL'!S79+'Starbucks GL-SBX Truck'!S79+'Miro''s'!S79+'Faculty Club'!S79+'Almazar &amp; Brand X'!S79+'Burger King'!S79+Bustelo!S79+Chilis!S79+Einstein!S79+Jamba!S79+'Pollo Tropical'!S79+'Subway GC'!S79+'Sushi Maki'!S79+Panda!S79+'Starbucks Mango'!S79+'Taco Bell'!S79+'Chick-fil-A'!S79+Dunkin!S79+Chipotle!S79+Sergios!S79+'Moes PG5'!S79+'Papa Johns'!S79+Salad!S79+'Half Moon &amp; Trop Smoothie'!S79+'Athletic Concessions -Kitchen'!S79+'Starbucks BBC'!S79+'Moes BBC'!S79+'Grille Works BBC &amp; Shipping'!S79+'Subway BBC'!S79+'Market Pavillion'!S79+'Chic Fil A BBC'!S79+Panera!S79+'Heritage Market'!S79</f>
        <v>0</v>
      </c>
      <c r="T79" s="80">
        <f t="shared" si="28"/>
        <v>0</v>
      </c>
      <c r="U79" s="134">
        <f>'POD Breezeway'!U79+'Express GL'!U79+'Starbucks GL-SBX Truck'!U79+'Miro''s'!U79+'Faculty Club'!U79+'Almazar &amp; Brand X'!U79+'Burger King'!U79+Bustelo!U79+Chilis!U79+Einstein!U79+Jamba!U79+'Pollo Tropical'!U79+'Subway GC'!U79+'Sushi Maki'!U79+Panda!U79+'Starbucks Mango'!U79+'Taco Bell'!U79+'Chick-fil-A'!U79+Dunkin!U79+Chipotle!U79+Sergios!U79+'Moes PG5'!U79+'Papa Johns'!U79+Salad!U79+'Half Moon &amp; Trop Smoothie'!U79+'Athletic Concessions -Kitchen'!U79+'Starbucks BBC'!U79+'Moes BBC'!U79+'Grille Works BBC &amp; Shipping'!U79+'Subway BBC'!U79+'Market Pavillion'!U79+'Chic Fil A BBC'!U79+Panera!U79+'Heritage Market'!U79</f>
        <v>0</v>
      </c>
      <c r="V79" s="80">
        <f t="shared" si="29"/>
        <v>0</v>
      </c>
    </row>
    <row r="80" spans="1:22" ht="12.75" customHeight="1">
      <c r="A80" s="2" t="s">
        <v>424</v>
      </c>
      <c r="B80" s="35"/>
      <c r="C80" s="134">
        <f>'POD Breezeway'!C80+'Express GL'!C80+'Starbucks GL-SBX Truck'!C80+'Miro''s'!C80+'Faculty Club'!C80+'Almazar &amp; Brand X'!C80+'Burger King'!C80+Bustelo!C80+Chilis!C80+Einstein!C80+Jamba!C80+'Pollo Tropical'!C80+'Subway GC'!C80+'Sushi Maki'!C80+Panda!C80+'Starbucks Mango'!C80+'Taco Bell'!C80+'Chick-fil-A'!C80+Dunkin!C80+Chipotle!C80+Sergios!C80+'Moes PG5'!C80+'Papa Johns'!C80+Salad!C80+'Half Moon &amp; Trop Smoothie'!C80+'Athletic Concessions -Kitchen'!C80+'Starbucks BBC'!C80+'Moes BBC'!C80+'Grille Works BBC &amp; Shipping'!C80+'Subway BBC'!C80+'Market Pavillion'!C80+'Chic Fil A BBC'!C80+Panera!C80+'Heritage Market'!C80</f>
        <v>0</v>
      </c>
      <c r="D80" s="80">
        <f t="shared" si="20"/>
        <v>0</v>
      </c>
      <c r="E80" s="134">
        <f>'POD Breezeway'!E80+'Express GL'!E80+'Starbucks GL-SBX Truck'!E80+'Miro''s'!E80+'Faculty Club'!E80+'Almazar &amp; Brand X'!E80+'Burger King'!E80+Bustelo!E80+Chilis!E80+Einstein!E80+Jamba!E80+'Pollo Tropical'!E80+'Subway GC'!E80+'Sushi Maki'!E80+Panda!E80+'Starbucks Mango'!E80+'Taco Bell'!E80+'Chick-fil-A'!E80+Dunkin!E80+Chipotle!E80+Sergios!E80+'Moes PG5'!E80+'Papa Johns'!E80+Salad!E80+'Half Moon &amp; Trop Smoothie'!E80+'Athletic Concessions -Kitchen'!E80+'Starbucks BBC'!E80+'Moes BBC'!E80+'Grille Works BBC &amp; Shipping'!E80+'Subway BBC'!E80+'Market Pavillion'!E80+'Chic Fil A BBC'!E80+Panera!E80+'Heritage Market'!E80</f>
        <v>0</v>
      </c>
      <c r="F80" s="80">
        <f t="shared" si="21"/>
        <v>0</v>
      </c>
      <c r="G80" s="134">
        <f>'POD Breezeway'!G80+'Express GL'!G80+'Starbucks GL-SBX Truck'!G80+'Miro''s'!G80+'Faculty Club'!G80+'Almazar &amp; Brand X'!G80+'Burger King'!G80+Bustelo!G80+Chilis!G80+Einstein!G80+Jamba!G80+'Pollo Tropical'!G80+'Subway GC'!G80+'Sushi Maki'!G80+Panda!G80+'Starbucks Mango'!G80+'Taco Bell'!G80+'Chick-fil-A'!G80+Dunkin!G80+Chipotle!G80+Sergios!G80+'Moes PG5'!G80+'Papa Johns'!G80+Salad!G80+'Half Moon &amp; Trop Smoothie'!G80+'Athletic Concessions -Kitchen'!G80+'Starbucks BBC'!G80+'Moes BBC'!G80+'Grille Works BBC &amp; Shipping'!G80+'Subway BBC'!G80+'Market Pavillion'!G80+'Chic Fil A BBC'!G80+Panera!G80+'Heritage Market'!G80</f>
        <v>0</v>
      </c>
      <c r="H80" s="80">
        <f t="shared" si="22"/>
        <v>0</v>
      </c>
      <c r="I80" s="134">
        <f>'POD Breezeway'!I80+'Express GL'!I80+'Starbucks GL-SBX Truck'!I80+'Miro''s'!I80+'Faculty Club'!I80+'Almazar &amp; Brand X'!I80+'Burger King'!I80+Bustelo!I80+Chilis!I80+Einstein!I80+Jamba!I80+'Pollo Tropical'!I80+'Subway GC'!I80+'Sushi Maki'!I80+Panda!I80+'Starbucks Mango'!I80+'Taco Bell'!I80+'Chick-fil-A'!I80+Dunkin!I80+Chipotle!I80+Sergios!I80+'Moes PG5'!I80+'Papa Johns'!I80+Salad!I80+'Half Moon &amp; Trop Smoothie'!I80+'Athletic Concessions -Kitchen'!I80+'Starbucks BBC'!I80+'Moes BBC'!I80+'Grille Works BBC &amp; Shipping'!I80+'Subway BBC'!I80+'Market Pavillion'!I80+'Chic Fil A BBC'!I80+Panera!I80+'Heritage Market'!I80</f>
        <v>0</v>
      </c>
      <c r="J80" s="80">
        <f t="shared" si="23"/>
        <v>0</v>
      </c>
      <c r="K80" s="134">
        <f>'POD Breezeway'!K80+'Express GL'!K80+'Starbucks GL-SBX Truck'!K80+'Miro''s'!K80+'Faculty Club'!K80+'Almazar &amp; Brand X'!K80+'Burger King'!K80+Bustelo!K80+Chilis!K80+Einstein!K80+Jamba!K80+'Pollo Tropical'!K80+'Subway GC'!K80+'Sushi Maki'!K80+Panda!K80+'Starbucks Mango'!K80+'Taco Bell'!K80+'Chick-fil-A'!K80+Dunkin!K80+Chipotle!K80+Sergios!K80+'Moes PG5'!K80+'Papa Johns'!K80+Salad!K80+'Half Moon &amp; Trop Smoothie'!K80+'Athletic Concessions -Kitchen'!K80+'Starbucks BBC'!K80+'Moes BBC'!K80+'Grille Works BBC &amp; Shipping'!K80+'Subway BBC'!K80+'Market Pavillion'!K80+'Chic Fil A BBC'!K80+Panera!K80+'Heritage Market'!K80</f>
        <v>0</v>
      </c>
      <c r="L80" s="80">
        <f t="shared" si="24"/>
        <v>0</v>
      </c>
      <c r="M80" s="134">
        <f>'POD Breezeway'!M80+'Express GL'!M80+'Starbucks GL-SBX Truck'!M80+'Miro''s'!M80+'Faculty Club'!M80+'Almazar &amp; Brand X'!M80+'Burger King'!M80+Bustelo!M80+Chilis!M80+Einstein!M80+Jamba!M80+'Pollo Tropical'!M80+'Subway GC'!M80+'Sushi Maki'!M80+Panda!M80+'Starbucks Mango'!M80+'Taco Bell'!M80+'Chick-fil-A'!M80+Dunkin!M80+Chipotle!M80+Sergios!M80+'Moes PG5'!M80+'Papa Johns'!M80+Salad!M80+'Half Moon &amp; Trop Smoothie'!M80+'Athletic Concessions -Kitchen'!M80+'Starbucks BBC'!M80+'Moes BBC'!M80+'Grille Works BBC &amp; Shipping'!M80+'Subway BBC'!M80+'Market Pavillion'!M80+'Chic Fil A BBC'!M80+Panera!M80+'Heritage Market'!M80</f>
        <v>0</v>
      </c>
      <c r="N80" s="80">
        <f t="shared" si="25"/>
        <v>0</v>
      </c>
      <c r="O80" s="134">
        <f>'POD Breezeway'!O80+'Express GL'!O80+'Starbucks GL-SBX Truck'!O80+'Miro''s'!O80+'Faculty Club'!O80+'Almazar &amp; Brand X'!O80+'Burger King'!O80+Bustelo!O80+Chilis!O80+Einstein!O80+Jamba!O80+'Pollo Tropical'!O80+'Subway GC'!O80+'Sushi Maki'!O80+Panda!O80+'Starbucks Mango'!O80+'Taco Bell'!O80+'Chick-fil-A'!O80+Dunkin!O80+Chipotle!O80+Sergios!O80+'Moes PG5'!O80+'Papa Johns'!O80+Salad!O80+'Half Moon &amp; Trop Smoothie'!O80+'Athletic Concessions -Kitchen'!O80+'Starbucks BBC'!O80+'Moes BBC'!O80+'Grille Works BBC &amp; Shipping'!O80+'Subway BBC'!O80+'Market Pavillion'!O80+'Chic Fil A BBC'!O80+Panera!O80+'Heritage Market'!O80</f>
        <v>0</v>
      </c>
      <c r="P80" s="80">
        <f t="shared" si="26"/>
        <v>0</v>
      </c>
      <c r="Q80" s="134">
        <f>'POD Breezeway'!Q80+'Express GL'!Q80+'Starbucks GL-SBX Truck'!Q80+'Miro''s'!Q80+'Faculty Club'!Q80+'Almazar &amp; Brand X'!Q80+'Burger King'!Q80+Bustelo!Q80+Chilis!Q80+Einstein!Q80+Jamba!Q80+'Pollo Tropical'!Q80+'Subway GC'!Q80+'Sushi Maki'!Q80+Panda!Q80+'Starbucks Mango'!Q80+'Taco Bell'!Q80+'Chick-fil-A'!Q80+Dunkin!Q80+Chipotle!Q80+Sergios!Q80+'Moes PG5'!Q80+'Papa Johns'!Q80+Salad!Q80+'Half Moon &amp; Trop Smoothie'!Q80+'Athletic Concessions -Kitchen'!Q80+'Starbucks BBC'!Q80+'Moes BBC'!Q80+'Grille Works BBC &amp; Shipping'!Q80+'Subway BBC'!Q80+'Market Pavillion'!Q80+'Chic Fil A BBC'!Q80+Panera!Q80+'Heritage Market'!Q80</f>
        <v>0</v>
      </c>
      <c r="R80" s="80">
        <f t="shared" si="27"/>
        <v>0</v>
      </c>
      <c r="S80" s="134">
        <f>'POD Breezeway'!S80+'Express GL'!S80+'Starbucks GL-SBX Truck'!S80+'Miro''s'!S80+'Faculty Club'!S80+'Almazar &amp; Brand X'!S80+'Burger King'!S80+Bustelo!S80+Chilis!S80+Einstein!S80+Jamba!S80+'Pollo Tropical'!S80+'Subway GC'!S80+'Sushi Maki'!S80+Panda!S80+'Starbucks Mango'!S80+'Taco Bell'!S80+'Chick-fil-A'!S80+Dunkin!S80+Chipotle!S80+Sergios!S80+'Moes PG5'!S80+'Papa Johns'!S80+Salad!S80+'Half Moon &amp; Trop Smoothie'!S80+'Athletic Concessions -Kitchen'!S80+'Starbucks BBC'!S80+'Moes BBC'!S80+'Grille Works BBC &amp; Shipping'!S80+'Subway BBC'!S80+'Market Pavillion'!S80+'Chic Fil A BBC'!S80+Panera!S80+'Heritage Market'!S80</f>
        <v>0</v>
      </c>
      <c r="T80" s="80">
        <f t="shared" si="28"/>
        <v>0</v>
      </c>
      <c r="U80" s="134">
        <f>'POD Breezeway'!U80+'Express GL'!U80+'Starbucks GL-SBX Truck'!U80+'Miro''s'!U80+'Faculty Club'!U80+'Almazar &amp; Brand X'!U80+'Burger King'!U80+Bustelo!U80+Chilis!U80+Einstein!U80+Jamba!U80+'Pollo Tropical'!U80+'Subway GC'!U80+'Sushi Maki'!U80+Panda!U80+'Starbucks Mango'!U80+'Taco Bell'!U80+'Chick-fil-A'!U80+Dunkin!U80+Chipotle!U80+Sergios!U80+'Moes PG5'!U80+'Papa Johns'!U80+Salad!U80+'Half Moon &amp; Trop Smoothie'!U80+'Athletic Concessions -Kitchen'!U80+'Starbucks BBC'!U80+'Moes BBC'!U80+'Grille Works BBC &amp; Shipping'!U80+'Subway BBC'!U80+'Market Pavillion'!U80+'Chic Fil A BBC'!U80+Panera!U80+'Heritage Market'!U80</f>
        <v>0</v>
      </c>
      <c r="V80" s="80">
        <f t="shared" si="29"/>
        <v>0</v>
      </c>
    </row>
    <row r="81" spans="1:22" ht="12.75" customHeight="1">
      <c r="A81" s="2" t="s">
        <v>425</v>
      </c>
      <c r="B81" s="35"/>
      <c r="C81" s="134">
        <f>'POD Breezeway'!C81+'Express GL'!C81+'Starbucks GL-SBX Truck'!C81+'Miro''s'!C81+'Faculty Club'!C81+'Almazar &amp; Brand X'!C81+'Burger King'!C81+Bustelo!C81+Chilis!C81+Einstein!C81+Jamba!C81+'Pollo Tropical'!C81+'Subway GC'!C81+'Sushi Maki'!C81+Panda!C81+'Starbucks Mango'!C81+'Taco Bell'!C81+'Chick-fil-A'!C81+Dunkin!C81+Chipotle!C81+Sergios!C81+'Moes PG5'!C81+'Papa Johns'!C81+Salad!C81+'Half Moon &amp; Trop Smoothie'!C81+'Athletic Concessions -Kitchen'!C81+'Starbucks BBC'!C81+'Moes BBC'!C81+'Grille Works BBC &amp; Shipping'!C81+'Subway BBC'!C81+'Market Pavillion'!C81+'Chic Fil A BBC'!C81+Panera!C81+'Heritage Market'!C81</f>
        <v>0</v>
      </c>
      <c r="D81" s="80">
        <f t="shared" si="20"/>
        <v>0</v>
      </c>
      <c r="E81" s="134">
        <f>'POD Breezeway'!E81+'Express GL'!E81+'Starbucks GL-SBX Truck'!E81+'Miro''s'!E81+'Faculty Club'!E81+'Almazar &amp; Brand X'!E81+'Burger King'!E81+Bustelo!E81+Chilis!E81+Einstein!E81+Jamba!E81+'Pollo Tropical'!E81+'Subway GC'!E81+'Sushi Maki'!E81+Panda!E81+'Starbucks Mango'!E81+'Taco Bell'!E81+'Chick-fil-A'!E81+Dunkin!E81+Chipotle!E81+Sergios!E81+'Moes PG5'!E81+'Papa Johns'!E81+Salad!E81+'Half Moon &amp; Trop Smoothie'!E81+'Athletic Concessions -Kitchen'!E81+'Starbucks BBC'!E81+'Moes BBC'!E81+'Grille Works BBC &amp; Shipping'!E81+'Subway BBC'!E81+'Market Pavillion'!E81+'Chic Fil A BBC'!E81+Panera!E81+'Heritage Market'!E81</f>
        <v>0</v>
      </c>
      <c r="F81" s="80">
        <f t="shared" si="21"/>
        <v>0</v>
      </c>
      <c r="G81" s="134">
        <f>'POD Breezeway'!G81+'Express GL'!G81+'Starbucks GL-SBX Truck'!G81+'Miro''s'!G81+'Faculty Club'!G81+'Almazar &amp; Brand X'!G81+'Burger King'!G81+Bustelo!G81+Chilis!G81+Einstein!G81+Jamba!G81+'Pollo Tropical'!G81+'Subway GC'!G81+'Sushi Maki'!G81+Panda!G81+'Starbucks Mango'!G81+'Taco Bell'!G81+'Chick-fil-A'!G81+Dunkin!G81+Chipotle!G81+Sergios!G81+'Moes PG5'!G81+'Papa Johns'!G81+Salad!G81+'Half Moon &amp; Trop Smoothie'!G81+'Athletic Concessions -Kitchen'!G81+'Starbucks BBC'!G81+'Moes BBC'!G81+'Grille Works BBC &amp; Shipping'!G81+'Subway BBC'!G81+'Market Pavillion'!G81+'Chic Fil A BBC'!G81+Panera!G81+'Heritage Market'!G81</f>
        <v>0</v>
      </c>
      <c r="H81" s="80">
        <f t="shared" si="22"/>
        <v>0</v>
      </c>
      <c r="I81" s="134">
        <f>'POD Breezeway'!I81+'Express GL'!I81+'Starbucks GL-SBX Truck'!I81+'Miro''s'!I81+'Faculty Club'!I81+'Almazar &amp; Brand X'!I81+'Burger King'!I81+Bustelo!I81+Chilis!I81+Einstein!I81+Jamba!I81+'Pollo Tropical'!I81+'Subway GC'!I81+'Sushi Maki'!I81+Panda!I81+'Starbucks Mango'!I81+'Taco Bell'!I81+'Chick-fil-A'!I81+Dunkin!I81+Chipotle!I81+Sergios!I81+'Moes PG5'!I81+'Papa Johns'!I81+Salad!I81+'Half Moon &amp; Trop Smoothie'!I81+'Athletic Concessions -Kitchen'!I81+'Starbucks BBC'!I81+'Moes BBC'!I81+'Grille Works BBC &amp; Shipping'!I81+'Subway BBC'!I81+'Market Pavillion'!I81+'Chic Fil A BBC'!I81+Panera!I81+'Heritage Market'!I81</f>
        <v>0</v>
      </c>
      <c r="J81" s="80">
        <f t="shared" si="23"/>
        <v>0</v>
      </c>
      <c r="K81" s="134">
        <f>'POD Breezeway'!K81+'Express GL'!K81+'Starbucks GL-SBX Truck'!K81+'Miro''s'!K81+'Faculty Club'!K81+'Almazar &amp; Brand X'!K81+'Burger King'!K81+Bustelo!K81+Chilis!K81+Einstein!K81+Jamba!K81+'Pollo Tropical'!K81+'Subway GC'!K81+'Sushi Maki'!K81+Panda!K81+'Starbucks Mango'!K81+'Taco Bell'!K81+'Chick-fil-A'!K81+Dunkin!K81+Chipotle!K81+Sergios!K81+'Moes PG5'!K81+'Papa Johns'!K81+Salad!K81+'Half Moon &amp; Trop Smoothie'!K81+'Athletic Concessions -Kitchen'!K81+'Starbucks BBC'!K81+'Moes BBC'!K81+'Grille Works BBC &amp; Shipping'!K81+'Subway BBC'!K81+'Market Pavillion'!K81+'Chic Fil A BBC'!K81+Panera!K81+'Heritage Market'!K81</f>
        <v>0</v>
      </c>
      <c r="L81" s="80">
        <f t="shared" si="24"/>
        <v>0</v>
      </c>
      <c r="M81" s="134">
        <f>'POD Breezeway'!M81+'Express GL'!M81+'Starbucks GL-SBX Truck'!M81+'Miro''s'!M81+'Faculty Club'!M81+'Almazar &amp; Brand X'!M81+'Burger King'!M81+Bustelo!M81+Chilis!M81+Einstein!M81+Jamba!M81+'Pollo Tropical'!M81+'Subway GC'!M81+'Sushi Maki'!M81+Panda!M81+'Starbucks Mango'!M81+'Taco Bell'!M81+'Chick-fil-A'!M81+Dunkin!M81+Chipotle!M81+Sergios!M81+'Moes PG5'!M81+'Papa Johns'!M81+Salad!M81+'Half Moon &amp; Trop Smoothie'!M81+'Athletic Concessions -Kitchen'!M81+'Starbucks BBC'!M81+'Moes BBC'!M81+'Grille Works BBC &amp; Shipping'!M81+'Subway BBC'!M81+'Market Pavillion'!M81+'Chic Fil A BBC'!M81+Panera!M81+'Heritage Market'!M81</f>
        <v>0</v>
      </c>
      <c r="N81" s="80">
        <f t="shared" si="25"/>
        <v>0</v>
      </c>
      <c r="O81" s="134">
        <f>'POD Breezeway'!O81+'Express GL'!O81+'Starbucks GL-SBX Truck'!O81+'Miro''s'!O81+'Faculty Club'!O81+'Almazar &amp; Brand X'!O81+'Burger King'!O81+Bustelo!O81+Chilis!O81+Einstein!O81+Jamba!O81+'Pollo Tropical'!O81+'Subway GC'!O81+'Sushi Maki'!O81+Panda!O81+'Starbucks Mango'!O81+'Taco Bell'!O81+'Chick-fil-A'!O81+Dunkin!O81+Chipotle!O81+Sergios!O81+'Moes PG5'!O81+'Papa Johns'!O81+Salad!O81+'Half Moon &amp; Trop Smoothie'!O81+'Athletic Concessions -Kitchen'!O81+'Starbucks BBC'!O81+'Moes BBC'!O81+'Grille Works BBC &amp; Shipping'!O81+'Subway BBC'!O81+'Market Pavillion'!O81+'Chic Fil A BBC'!O81+Panera!O81+'Heritage Market'!O81</f>
        <v>0</v>
      </c>
      <c r="P81" s="80">
        <f t="shared" si="26"/>
        <v>0</v>
      </c>
      <c r="Q81" s="134">
        <f>'POD Breezeway'!Q81+'Express GL'!Q81+'Starbucks GL-SBX Truck'!Q81+'Miro''s'!Q81+'Faculty Club'!Q81+'Almazar &amp; Brand X'!Q81+'Burger King'!Q81+Bustelo!Q81+Chilis!Q81+Einstein!Q81+Jamba!Q81+'Pollo Tropical'!Q81+'Subway GC'!Q81+'Sushi Maki'!Q81+Panda!Q81+'Starbucks Mango'!Q81+'Taco Bell'!Q81+'Chick-fil-A'!Q81+Dunkin!Q81+Chipotle!Q81+Sergios!Q81+'Moes PG5'!Q81+'Papa Johns'!Q81+Salad!Q81+'Half Moon &amp; Trop Smoothie'!Q81+'Athletic Concessions -Kitchen'!Q81+'Starbucks BBC'!Q81+'Moes BBC'!Q81+'Grille Works BBC &amp; Shipping'!Q81+'Subway BBC'!Q81+'Market Pavillion'!Q81+'Chic Fil A BBC'!Q81+Panera!Q81+'Heritage Market'!Q81</f>
        <v>0</v>
      </c>
      <c r="R81" s="80">
        <f t="shared" si="27"/>
        <v>0</v>
      </c>
      <c r="S81" s="134">
        <f>'POD Breezeway'!S81+'Express GL'!S81+'Starbucks GL-SBX Truck'!S81+'Miro''s'!S81+'Faculty Club'!S81+'Almazar &amp; Brand X'!S81+'Burger King'!S81+Bustelo!S81+Chilis!S81+Einstein!S81+Jamba!S81+'Pollo Tropical'!S81+'Subway GC'!S81+'Sushi Maki'!S81+Panda!S81+'Starbucks Mango'!S81+'Taco Bell'!S81+'Chick-fil-A'!S81+Dunkin!S81+Chipotle!S81+Sergios!S81+'Moes PG5'!S81+'Papa Johns'!S81+Salad!S81+'Half Moon &amp; Trop Smoothie'!S81+'Athletic Concessions -Kitchen'!S81+'Starbucks BBC'!S81+'Moes BBC'!S81+'Grille Works BBC &amp; Shipping'!S81+'Subway BBC'!S81+'Market Pavillion'!S81+'Chic Fil A BBC'!S81+Panera!S81+'Heritage Market'!S81</f>
        <v>0</v>
      </c>
      <c r="T81" s="80">
        <f t="shared" si="28"/>
        <v>0</v>
      </c>
      <c r="U81" s="134">
        <f>'POD Breezeway'!U81+'Express GL'!U81+'Starbucks GL-SBX Truck'!U81+'Miro''s'!U81+'Faculty Club'!U81+'Almazar &amp; Brand X'!U81+'Burger King'!U81+Bustelo!U81+Chilis!U81+Einstein!U81+Jamba!U81+'Pollo Tropical'!U81+'Subway GC'!U81+'Sushi Maki'!U81+Panda!U81+'Starbucks Mango'!U81+'Taco Bell'!U81+'Chick-fil-A'!U81+Dunkin!U81+Chipotle!U81+Sergios!U81+'Moes PG5'!U81+'Papa Johns'!U81+Salad!U81+'Half Moon &amp; Trop Smoothie'!U81+'Athletic Concessions -Kitchen'!U81+'Starbucks BBC'!U81+'Moes BBC'!U81+'Grille Works BBC &amp; Shipping'!U81+'Subway BBC'!U81+'Market Pavillion'!U81+'Chic Fil A BBC'!U81+Panera!U81+'Heritage Market'!U81</f>
        <v>0</v>
      </c>
      <c r="V81" s="80">
        <f t="shared" si="29"/>
        <v>0</v>
      </c>
    </row>
    <row r="82" spans="1:22" ht="12.75" customHeight="1">
      <c r="A82" s="2" t="s">
        <v>426</v>
      </c>
      <c r="B82" s="35"/>
      <c r="C82" s="134">
        <f>'POD Breezeway'!C82+'Express GL'!C82+'Starbucks GL-SBX Truck'!C82+'Miro''s'!C82+'Faculty Club'!C82+'Almazar &amp; Brand X'!C82+'Burger King'!C82+Bustelo!C82+Chilis!C82+Einstein!C82+Jamba!C82+'Pollo Tropical'!C82+'Subway GC'!C82+'Sushi Maki'!C82+Panda!C82+'Starbucks Mango'!C82+'Taco Bell'!C82+'Chick-fil-A'!C82+Dunkin!C82+Chipotle!C82+Sergios!C82+'Moes PG5'!C82+'Papa Johns'!C82+Salad!C82+'Half Moon &amp; Trop Smoothie'!C82+'Athletic Concessions -Kitchen'!C82+'Starbucks BBC'!C82+'Moes BBC'!C82+'Grille Works BBC &amp; Shipping'!C82+'Subway BBC'!C82+'Market Pavillion'!C82+'Chic Fil A BBC'!C82+Panera!C82+'Heritage Market'!C82</f>
        <v>0</v>
      </c>
      <c r="D82" s="80">
        <f t="shared" si="20"/>
        <v>0</v>
      </c>
      <c r="E82" s="134">
        <f>'POD Breezeway'!E82+'Express GL'!E82+'Starbucks GL-SBX Truck'!E82+'Miro''s'!E82+'Faculty Club'!E82+'Almazar &amp; Brand X'!E82+'Burger King'!E82+Bustelo!E82+Chilis!E82+Einstein!E82+Jamba!E82+'Pollo Tropical'!E82+'Subway GC'!E82+'Sushi Maki'!E82+Panda!E82+'Starbucks Mango'!E82+'Taco Bell'!E82+'Chick-fil-A'!E82+Dunkin!E82+Chipotle!E82+Sergios!E82+'Moes PG5'!E82+'Papa Johns'!E82+Salad!E82+'Half Moon &amp; Trop Smoothie'!E82+'Athletic Concessions -Kitchen'!E82+'Starbucks BBC'!E82+'Moes BBC'!E82+'Grille Works BBC &amp; Shipping'!E82+'Subway BBC'!E82+'Market Pavillion'!E82+'Chic Fil A BBC'!E82+Panera!E82+'Heritage Market'!E82</f>
        <v>0</v>
      </c>
      <c r="F82" s="80">
        <f t="shared" si="21"/>
        <v>0</v>
      </c>
      <c r="G82" s="134">
        <f>'POD Breezeway'!G82+'Express GL'!G82+'Starbucks GL-SBX Truck'!G82+'Miro''s'!G82+'Faculty Club'!G82+'Almazar &amp; Brand X'!G82+'Burger King'!G82+Bustelo!G82+Chilis!G82+Einstein!G82+Jamba!G82+'Pollo Tropical'!G82+'Subway GC'!G82+'Sushi Maki'!G82+Panda!G82+'Starbucks Mango'!G82+'Taco Bell'!G82+'Chick-fil-A'!G82+Dunkin!G82+Chipotle!G82+Sergios!G82+'Moes PG5'!G82+'Papa Johns'!G82+Salad!G82+'Half Moon &amp; Trop Smoothie'!G82+'Athletic Concessions -Kitchen'!G82+'Starbucks BBC'!G82+'Moes BBC'!G82+'Grille Works BBC &amp; Shipping'!G82+'Subway BBC'!G82+'Market Pavillion'!G82+'Chic Fil A BBC'!G82+Panera!G82+'Heritage Market'!G82</f>
        <v>0</v>
      </c>
      <c r="H82" s="80">
        <f t="shared" si="22"/>
        <v>0</v>
      </c>
      <c r="I82" s="134">
        <f>'POD Breezeway'!I82+'Express GL'!I82+'Starbucks GL-SBX Truck'!I82+'Miro''s'!I82+'Faculty Club'!I82+'Almazar &amp; Brand X'!I82+'Burger King'!I82+Bustelo!I82+Chilis!I82+Einstein!I82+Jamba!I82+'Pollo Tropical'!I82+'Subway GC'!I82+'Sushi Maki'!I82+Panda!I82+'Starbucks Mango'!I82+'Taco Bell'!I82+'Chick-fil-A'!I82+Dunkin!I82+Chipotle!I82+Sergios!I82+'Moes PG5'!I82+'Papa Johns'!I82+Salad!I82+'Half Moon &amp; Trop Smoothie'!I82+'Athletic Concessions -Kitchen'!I82+'Starbucks BBC'!I82+'Moes BBC'!I82+'Grille Works BBC &amp; Shipping'!I82+'Subway BBC'!I82+'Market Pavillion'!I82+'Chic Fil A BBC'!I82+Panera!I82+'Heritage Market'!I82</f>
        <v>0</v>
      </c>
      <c r="J82" s="80">
        <f t="shared" si="23"/>
        <v>0</v>
      </c>
      <c r="K82" s="134">
        <f>'POD Breezeway'!K82+'Express GL'!K82+'Starbucks GL-SBX Truck'!K82+'Miro''s'!K82+'Faculty Club'!K82+'Almazar &amp; Brand X'!K82+'Burger King'!K82+Bustelo!K82+Chilis!K82+Einstein!K82+Jamba!K82+'Pollo Tropical'!K82+'Subway GC'!K82+'Sushi Maki'!K82+Panda!K82+'Starbucks Mango'!K82+'Taco Bell'!K82+'Chick-fil-A'!K82+Dunkin!K82+Chipotle!K82+Sergios!K82+'Moes PG5'!K82+'Papa Johns'!K82+Salad!K82+'Half Moon &amp; Trop Smoothie'!K82+'Athletic Concessions -Kitchen'!K82+'Starbucks BBC'!K82+'Moes BBC'!K82+'Grille Works BBC &amp; Shipping'!K82+'Subway BBC'!K82+'Market Pavillion'!K82+'Chic Fil A BBC'!K82+Panera!K82+'Heritage Market'!K82</f>
        <v>0</v>
      </c>
      <c r="L82" s="80">
        <f t="shared" si="24"/>
        <v>0</v>
      </c>
      <c r="M82" s="134">
        <f>'POD Breezeway'!M82+'Express GL'!M82+'Starbucks GL-SBX Truck'!M82+'Miro''s'!M82+'Faculty Club'!M82+'Almazar &amp; Brand X'!M82+'Burger King'!M82+Bustelo!M82+Chilis!M82+Einstein!M82+Jamba!M82+'Pollo Tropical'!M82+'Subway GC'!M82+'Sushi Maki'!M82+Panda!M82+'Starbucks Mango'!M82+'Taco Bell'!M82+'Chick-fil-A'!M82+Dunkin!M82+Chipotle!M82+Sergios!M82+'Moes PG5'!M82+'Papa Johns'!M82+Salad!M82+'Half Moon &amp; Trop Smoothie'!M82+'Athletic Concessions -Kitchen'!M82+'Starbucks BBC'!M82+'Moes BBC'!M82+'Grille Works BBC &amp; Shipping'!M82+'Subway BBC'!M82+'Market Pavillion'!M82+'Chic Fil A BBC'!M82+Panera!M82+'Heritage Market'!M82</f>
        <v>0</v>
      </c>
      <c r="N82" s="80">
        <f t="shared" si="25"/>
        <v>0</v>
      </c>
      <c r="O82" s="134">
        <f>'POD Breezeway'!O82+'Express GL'!O82+'Starbucks GL-SBX Truck'!O82+'Miro''s'!O82+'Faculty Club'!O82+'Almazar &amp; Brand X'!O82+'Burger King'!O82+Bustelo!O82+Chilis!O82+Einstein!O82+Jamba!O82+'Pollo Tropical'!O82+'Subway GC'!O82+'Sushi Maki'!O82+Panda!O82+'Starbucks Mango'!O82+'Taco Bell'!O82+'Chick-fil-A'!O82+Dunkin!O82+Chipotle!O82+Sergios!O82+'Moes PG5'!O82+'Papa Johns'!O82+Salad!O82+'Half Moon &amp; Trop Smoothie'!O82+'Athletic Concessions -Kitchen'!O82+'Starbucks BBC'!O82+'Moes BBC'!O82+'Grille Works BBC &amp; Shipping'!O82+'Subway BBC'!O82+'Market Pavillion'!O82+'Chic Fil A BBC'!O82+Panera!O82+'Heritage Market'!O82</f>
        <v>0</v>
      </c>
      <c r="P82" s="80">
        <f t="shared" si="26"/>
        <v>0</v>
      </c>
      <c r="Q82" s="134">
        <f>'POD Breezeway'!Q82+'Express GL'!Q82+'Starbucks GL-SBX Truck'!Q82+'Miro''s'!Q82+'Faculty Club'!Q82+'Almazar &amp; Brand X'!Q82+'Burger King'!Q82+Bustelo!Q82+Chilis!Q82+Einstein!Q82+Jamba!Q82+'Pollo Tropical'!Q82+'Subway GC'!Q82+'Sushi Maki'!Q82+Panda!Q82+'Starbucks Mango'!Q82+'Taco Bell'!Q82+'Chick-fil-A'!Q82+Dunkin!Q82+Chipotle!Q82+Sergios!Q82+'Moes PG5'!Q82+'Papa Johns'!Q82+Salad!Q82+'Half Moon &amp; Trop Smoothie'!Q82+'Athletic Concessions -Kitchen'!Q82+'Starbucks BBC'!Q82+'Moes BBC'!Q82+'Grille Works BBC &amp; Shipping'!Q82+'Subway BBC'!Q82+'Market Pavillion'!Q82+'Chic Fil A BBC'!Q82+Panera!Q82+'Heritage Market'!Q82</f>
        <v>0</v>
      </c>
      <c r="R82" s="80">
        <f t="shared" si="27"/>
        <v>0</v>
      </c>
      <c r="S82" s="134">
        <f>'POD Breezeway'!S82+'Express GL'!S82+'Starbucks GL-SBX Truck'!S82+'Miro''s'!S82+'Faculty Club'!S82+'Almazar &amp; Brand X'!S82+'Burger King'!S82+Bustelo!S82+Chilis!S82+Einstein!S82+Jamba!S82+'Pollo Tropical'!S82+'Subway GC'!S82+'Sushi Maki'!S82+Panda!S82+'Starbucks Mango'!S82+'Taco Bell'!S82+'Chick-fil-A'!S82+Dunkin!S82+Chipotle!S82+Sergios!S82+'Moes PG5'!S82+'Papa Johns'!S82+Salad!S82+'Half Moon &amp; Trop Smoothie'!S82+'Athletic Concessions -Kitchen'!S82+'Starbucks BBC'!S82+'Moes BBC'!S82+'Grille Works BBC &amp; Shipping'!S82+'Subway BBC'!S82+'Market Pavillion'!S82+'Chic Fil A BBC'!S82+Panera!S82+'Heritage Market'!S82</f>
        <v>0</v>
      </c>
      <c r="T82" s="80">
        <f t="shared" si="28"/>
        <v>0</v>
      </c>
      <c r="U82" s="134">
        <f>'POD Breezeway'!U82+'Express GL'!U82+'Starbucks GL-SBX Truck'!U82+'Miro''s'!U82+'Faculty Club'!U82+'Almazar &amp; Brand X'!U82+'Burger King'!U82+Bustelo!U82+Chilis!U82+Einstein!U82+Jamba!U82+'Pollo Tropical'!U82+'Subway GC'!U82+'Sushi Maki'!U82+Panda!U82+'Starbucks Mango'!U82+'Taco Bell'!U82+'Chick-fil-A'!U82+Dunkin!U82+Chipotle!U82+Sergios!U82+'Moes PG5'!U82+'Papa Johns'!U82+Salad!U82+'Half Moon &amp; Trop Smoothie'!U82+'Athletic Concessions -Kitchen'!U82+'Starbucks BBC'!U82+'Moes BBC'!U82+'Grille Works BBC &amp; Shipping'!U82+'Subway BBC'!U82+'Market Pavillion'!U82+'Chic Fil A BBC'!U82+Panera!U82+'Heritage Market'!U82</f>
        <v>0</v>
      </c>
      <c r="V82" s="80">
        <f t="shared" si="29"/>
        <v>0</v>
      </c>
    </row>
    <row r="83" spans="1:22" ht="12.75" customHeight="1">
      <c r="A83" s="2" t="s">
        <v>427</v>
      </c>
      <c r="B83" s="35"/>
      <c r="C83" s="134">
        <f>'POD Breezeway'!C83+'Express GL'!C83+'Starbucks GL-SBX Truck'!C83+'Miro''s'!C83+'Faculty Club'!C83+'Almazar &amp; Brand X'!C83+'Burger King'!C83+Bustelo!C83+Chilis!C83+Einstein!C83+Jamba!C83+'Pollo Tropical'!C83+'Subway GC'!C83+'Sushi Maki'!C83+Panda!C83+'Starbucks Mango'!C83+'Taco Bell'!C83+'Chick-fil-A'!C83+Dunkin!C83+Chipotle!C83+Sergios!C83+'Moes PG5'!C83+'Papa Johns'!C83+Salad!C83+'Half Moon &amp; Trop Smoothie'!C83+'Athletic Concessions -Kitchen'!C83+'Starbucks BBC'!C83+'Moes BBC'!C83+'Grille Works BBC &amp; Shipping'!C83+'Subway BBC'!C83+'Market Pavillion'!C83+'Chic Fil A BBC'!C83+Panera!C83+'Heritage Market'!C83</f>
        <v>0</v>
      </c>
      <c r="D83" s="80">
        <f t="shared" si="20"/>
        <v>0</v>
      </c>
      <c r="E83" s="134">
        <f>'POD Breezeway'!E83+'Express GL'!E83+'Starbucks GL-SBX Truck'!E83+'Miro''s'!E83+'Faculty Club'!E83+'Almazar &amp; Brand X'!E83+'Burger King'!E83+Bustelo!E83+Chilis!E83+Einstein!E83+Jamba!E83+'Pollo Tropical'!E83+'Subway GC'!E83+'Sushi Maki'!E83+Panda!E83+'Starbucks Mango'!E83+'Taco Bell'!E83+'Chick-fil-A'!E83+Dunkin!E83+Chipotle!E83+Sergios!E83+'Moes PG5'!E83+'Papa Johns'!E83+Salad!E83+'Half Moon &amp; Trop Smoothie'!E83+'Athletic Concessions -Kitchen'!E83+'Starbucks BBC'!E83+'Moes BBC'!E83+'Grille Works BBC &amp; Shipping'!E83+'Subway BBC'!E83+'Market Pavillion'!E83+'Chic Fil A BBC'!E83+Panera!E83+'Heritage Market'!E83</f>
        <v>0</v>
      </c>
      <c r="F83" s="80">
        <f t="shared" si="21"/>
        <v>0</v>
      </c>
      <c r="G83" s="134">
        <f>'POD Breezeway'!G83+'Express GL'!G83+'Starbucks GL-SBX Truck'!G83+'Miro''s'!G83+'Faculty Club'!G83+'Almazar &amp; Brand X'!G83+'Burger King'!G83+Bustelo!G83+Chilis!G83+Einstein!G83+Jamba!G83+'Pollo Tropical'!G83+'Subway GC'!G83+'Sushi Maki'!G83+Panda!G83+'Starbucks Mango'!G83+'Taco Bell'!G83+'Chick-fil-A'!G83+Dunkin!G83+Chipotle!G83+Sergios!G83+'Moes PG5'!G83+'Papa Johns'!G83+Salad!G83+'Half Moon &amp; Trop Smoothie'!G83+'Athletic Concessions -Kitchen'!G83+'Starbucks BBC'!G83+'Moes BBC'!G83+'Grille Works BBC &amp; Shipping'!G83+'Subway BBC'!G83+'Market Pavillion'!G83+'Chic Fil A BBC'!G83+Panera!G83+'Heritage Market'!G83</f>
        <v>0</v>
      </c>
      <c r="H83" s="80">
        <f t="shared" si="22"/>
        <v>0</v>
      </c>
      <c r="I83" s="134">
        <f>'POD Breezeway'!I83+'Express GL'!I83+'Starbucks GL-SBX Truck'!I83+'Miro''s'!I83+'Faculty Club'!I83+'Almazar &amp; Brand X'!I83+'Burger King'!I83+Bustelo!I83+Chilis!I83+Einstein!I83+Jamba!I83+'Pollo Tropical'!I83+'Subway GC'!I83+'Sushi Maki'!I83+Panda!I83+'Starbucks Mango'!I83+'Taco Bell'!I83+'Chick-fil-A'!I83+Dunkin!I83+Chipotle!I83+Sergios!I83+'Moes PG5'!I83+'Papa Johns'!I83+Salad!I83+'Half Moon &amp; Trop Smoothie'!I83+'Athletic Concessions -Kitchen'!I83+'Starbucks BBC'!I83+'Moes BBC'!I83+'Grille Works BBC &amp; Shipping'!I83+'Subway BBC'!I83+'Market Pavillion'!I83+'Chic Fil A BBC'!I83+Panera!I83+'Heritage Market'!I83</f>
        <v>0</v>
      </c>
      <c r="J83" s="80">
        <f t="shared" si="23"/>
        <v>0</v>
      </c>
      <c r="K83" s="134">
        <f>'POD Breezeway'!K83+'Express GL'!K83+'Starbucks GL-SBX Truck'!K83+'Miro''s'!K83+'Faculty Club'!K83+'Almazar &amp; Brand X'!K83+'Burger King'!K83+Bustelo!K83+Chilis!K83+Einstein!K83+Jamba!K83+'Pollo Tropical'!K83+'Subway GC'!K83+'Sushi Maki'!K83+Panda!K83+'Starbucks Mango'!K83+'Taco Bell'!K83+'Chick-fil-A'!K83+Dunkin!K83+Chipotle!K83+Sergios!K83+'Moes PG5'!K83+'Papa Johns'!K83+Salad!K83+'Half Moon &amp; Trop Smoothie'!K83+'Athletic Concessions -Kitchen'!K83+'Starbucks BBC'!K83+'Moes BBC'!K83+'Grille Works BBC &amp; Shipping'!K83+'Subway BBC'!K83+'Market Pavillion'!K83+'Chic Fil A BBC'!K83+Panera!K83+'Heritage Market'!K83</f>
        <v>0</v>
      </c>
      <c r="L83" s="80">
        <f t="shared" si="24"/>
        <v>0</v>
      </c>
      <c r="M83" s="134">
        <f>'POD Breezeway'!M83+'Express GL'!M83+'Starbucks GL-SBX Truck'!M83+'Miro''s'!M83+'Faculty Club'!M83+'Almazar &amp; Brand X'!M83+'Burger King'!M83+Bustelo!M83+Chilis!M83+Einstein!M83+Jamba!M83+'Pollo Tropical'!M83+'Subway GC'!M83+'Sushi Maki'!M83+Panda!M83+'Starbucks Mango'!M83+'Taco Bell'!M83+'Chick-fil-A'!M83+Dunkin!M83+Chipotle!M83+Sergios!M83+'Moes PG5'!M83+'Papa Johns'!M83+Salad!M83+'Half Moon &amp; Trop Smoothie'!M83+'Athletic Concessions -Kitchen'!M83+'Starbucks BBC'!M83+'Moes BBC'!M83+'Grille Works BBC &amp; Shipping'!M83+'Subway BBC'!M83+'Market Pavillion'!M83+'Chic Fil A BBC'!M83+Panera!M83+'Heritage Market'!M83</f>
        <v>0</v>
      </c>
      <c r="N83" s="80">
        <f t="shared" si="25"/>
        <v>0</v>
      </c>
      <c r="O83" s="134">
        <f>'POD Breezeway'!O83+'Express GL'!O83+'Starbucks GL-SBX Truck'!O83+'Miro''s'!O83+'Faculty Club'!O83+'Almazar &amp; Brand X'!O83+'Burger King'!O83+Bustelo!O83+Chilis!O83+Einstein!O83+Jamba!O83+'Pollo Tropical'!O83+'Subway GC'!O83+'Sushi Maki'!O83+Panda!O83+'Starbucks Mango'!O83+'Taco Bell'!O83+'Chick-fil-A'!O83+Dunkin!O83+Chipotle!O83+Sergios!O83+'Moes PG5'!O83+'Papa Johns'!O83+Salad!O83+'Half Moon &amp; Trop Smoothie'!O83+'Athletic Concessions -Kitchen'!O83+'Starbucks BBC'!O83+'Moes BBC'!O83+'Grille Works BBC &amp; Shipping'!O83+'Subway BBC'!O83+'Market Pavillion'!O83+'Chic Fil A BBC'!O83+Panera!O83+'Heritage Market'!O83</f>
        <v>0</v>
      </c>
      <c r="P83" s="80">
        <f t="shared" si="26"/>
        <v>0</v>
      </c>
      <c r="Q83" s="134">
        <f>'POD Breezeway'!Q83+'Express GL'!Q83+'Starbucks GL-SBX Truck'!Q83+'Miro''s'!Q83+'Faculty Club'!Q83+'Almazar &amp; Brand X'!Q83+'Burger King'!Q83+Bustelo!Q83+Chilis!Q83+Einstein!Q83+Jamba!Q83+'Pollo Tropical'!Q83+'Subway GC'!Q83+'Sushi Maki'!Q83+Panda!Q83+'Starbucks Mango'!Q83+'Taco Bell'!Q83+'Chick-fil-A'!Q83+Dunkin!Q83+Chipotle!Q83+Sergios!Q83+'Moes PG5'!Q83+'Papa Johns'!Q83+Salad!Q83+'Half Moon &amp; Trop Smoothie'!Q83+'Athletic Concessions -Kitchen'!Q83+'Starbucks BBC'!Q83+'Moes BBC'!Q83+'Grille Works BBC &amp; Shipping'!Q83+'Subway BBC'!Q83+'Market Pavillion'!Q83+'Chic Fil A BBC'!Q83+Panera!Q83+'Heritage Market'!Q83</f>
        <v>0</v>
      </c>
      <c r="R83" s="80">
        <f t="shared" si="27"/>
        <v>0</v>
      </c>
      <c r="S83" s="134">
        <f>'POD Breezeway'!S83+'Express GL'!S83+'Starbucks GL-SBX Truck'!S83+'Miro''s'!S83+'Faculty Club'!S83+'Almazar &amp; Brand X'!S83+'Burger King'!S83+Bustelo!S83+Chilis!S83+Einstein!S83+Jamba!S83+'Pollo Tropical'!S83+'Subway GC'!S83+'Sushi Maki'!S83+Panda!S83+'Starbucks Mango'!S83+'Taco Bell'!S83+'Chick-fil-A'!S83+Dunkin!S83+Chipotle!S83+Sergios!S83+'Moes PG5'!S83+'Papa Johns'!S83+Salad!S83+'Half Moon &amp; Trop Smoothie'!S83+'Athletic Concessions -Kitchen'!S83+'Starbucks BBC'!S83+'Moes BBC'!S83+'Grille Works BBC &amp; Shipping'!S83+'Subway BBC'!S83+'Market Pavillion'!S83+'Chic Fil A BBC'!S83+Panera!S83+'Heritage Market'!S83</f>
        <v>0</v>
      </c>
      <c r="T83" s="80">
        <f t="shared" si="28"/>
        <v>0</v>
      </c>
      <c r="U83" s="134">
        <f>'POD Breezeway'!U83+'Express GL'!U83+'Starbucks GL-SBX Truck'!U83+'Miro''s'!U83+'Faculty Club'!U83+'Almazar &amp; Brand X'!U83+'Burger King'!U83+Bustelo!U83+Chilis!U83+Einstein!U83+Jamba!U83+'Pollo Tropical'!U83+'Subway GC'!U83+'Sushi Maki'!U83+Panda!U83+'Starbucks Mango'!U83+'Taco Bell'!U83+'Chick-fil-A'!U83+Dunkin!U83+Chipotle!U83+Sergios!U83+'Moes PG5'!U83+'Papa Johns'!U83+Salad!U83+'Half Moon &amp; Trop Smoothie'!U83+'Athletic Concessions -Kitchen'!U83+'Starbucks BBC'!U83+'Moes BBC'!U83+'Grille Works BBC &amp; Shipping'!U83+'Subway BBC'!U83+'Market Pavillion'!U83+'Chic Fil A BBC'!U83+Panera!U83+'Heritage Market'!U83</f>
        <v>0</v>
      </c>
      <c r="V83" s="80">
        <f t="shared" si="29"/>
        <v>0</v>
      </c>
    </row>
    <row r="84" spans="1:22" ht="12.75" customHeight="1">
      <c r="A84" s="2" t="s">
        <v>428</v>
      </c>
      <c r="B84" s="35"/>
      <c r="C84" s="134">
        <f>'POD Breezeway'!C84+'Express GL'!C84+'Starbucks GL-SBX Truck'!C84+'Miro''s'!C84+'Faculty Club'!C84+'Almazar &amp; Brand X'!C84+'Burger King'!C84+Bustelo!C84+Chilis!C84+Einstein!C84+Jamba!C84+'Pollo Tropical'!C84+'Subway GC'!C84+'Sushi Maki'!C84+Panda!C84+'Starbucks Mango'!C84+'Taco Bell'!C84+'Chick-fil-A'!C84+Dunkin!C84+Chipotle!C84+Sergios!C84+'Moes PG5'!C84+'Papa Johns'!C84+Salad!C84+'Half Moon &amp; Trop Smoothie'!C84+'Athletic Concessions -Kitchen'!C84+'Starbucks BBC'!C84+'Moes BBC'!C84+'Grille Works BBC &amp; Shipping'!C84+'Subway BBC'!C84+'Market Pavillion'!C84+'Chic Fil A BBC'!C84+Panera!C84+'Heritage Market'!C84</f>
        <v>0</v>
      </c>
      <c r="D84" s="80">
        <f t="shared" ref="D84:D105" si="30">IFERROR(C84/C$28,0)</f>
        <v>0</v>
      </c>
      <c r="E84" s="134">
        <f>'POD Breezeway'!E84+'Express GL'!E84+'Starbucks GL-SBX Truck'!E84+'Miro''s'!E84+'Faculty Club'!E84+'Almazar &amp; Brand X'!E84+'Burger King'!E84+Bustelo!E84+Chilis!E84+Einstein!E84+Jamba!E84+'Pollo Tropical'!E84+'Subway GC'!E84+'Sushi Maki'!E84+Panda!E84+'Starbucks Mango'!E84+'Taco Bell'!E84+'Chick-fil-A'!E84+Dunkin!E84+Chipotle!E84+Sergios!E84+'Moes PG5'!E84+'Papa Johns'!E84+Salad!E84+'Half Moon &amp; Trop Smoothie'!E84+'Athletic Concessions -Kitchen'!E84+'Starbucks BBC'!E84+'Moes BBC'!E84+'Grille Works BBC &amp; Shipping'!E84+'Subway BBC'!E84+'Market Pavillion'!E84+'Chic Fil A BBC'!E84+Panera!E84+'Heritage Market'!E84</f>
        <v>0</v>
      </c>
      <c r="F84" s="80">
        <f t="shared" ref="F84:F105" si="31">IFERROR(E84/E$28,0)</f>
        <v>0</v>
      </c>
      <c r="G84" s="134">
        <f>'POD Breezeway'!G84+'Express GL'!G84+'Starbucks GL-SBX Truck'!G84+'Miro''s'!G84+'Faculty Club'!G84+'Almazar &amp; Brand X'!G84+'Burger King'!G84+Bustelo!G84+Chilis!G84+Einstein!G84+Jamba!G84+'Pollo Tropical'!G84+'Subway GC'!G84+'Sushi Maki'!G84+Panda!G84+'Starbucks Mango'!G84+'Taco Bell'!G84+'Chick-fil-A'!G84+Dunkin!G84+Chipotle!G84+Sergios!G84+'Moes PG5'!G84+'Papa Johns'!G84+Salad!G84+'Half Moon &amp; Trop Smoothie'!G84+'Athletic Concessions -Kitchen'!G84+'Starbucks BBC'!G84+'Moes BBC'!G84+'Grille Works BBC &amp; Shipping'!G84+'Subway BBC'!G84+'Market Pavillion'!G84+'Chic Fil A BBC'!G84+Panera!G84+'Heritage Market'!G84</f>
        <v>0</v>
      </c>
      <c r="H84" s="80">
        <f t="shared" ref="H84:H105" si="32">IFERROR(G84/G$28,0)</f>
        <v>0</v>
      </c>
      <c r="I84" s="134">
        <f>'POD Breezeway'!I84+'Express GL'!I84+'Starbucks GL-SBX Truck'!I84+'Miro''s'!I84+'Faculty Club'!I84+'Almazar &amp; Brand X'!I84+'Burger King'!I84+Bustelo!I84+Chilis!I84+Einstein!I84+Jamba!I84+'Pollo Tropical'!I84+'Subway GC'!I84+'Sushi Maki'!I84+Panda!I84+'Starbucks Mango'!I84+'Taco Bell'!I84+'Chick-fil-A'!I84+Dunkin!I84+Chipotle!I84+Sergios!I84+'Moes PG5'!I84+'Papa Johns'!I84+Salad!I84+'Half Moon &amp; Trop Smoothie'!I84+'Athletic Concessions -Kitchen'!I84+'Starbucks BBC'!I84+'Moes BBC'!I84+'Grille Works BBC &amp; Shipping'!I84+'Subway BBC'!I84+'Market Pavillion'!I84+'Chic Fil A BBC'!I84+Panera!I84+'Heritage Market'!I84</f>
        <v>0</v>
      </c>
      <c r="J84" s="80">
        <f t="shared" ref="J84:J105" si="33">IFERROR(I84/I$28,0)</f>
        <v>0</v>
      </c>
      <c r="K84" s="134">
        <f>'POD Breezeway'!K84+'Express GL'!K84+'Starbucks GL-SBX Truck'!K84+'Miro''s'!K84+'Faculty Club'!K84+'Almazar &amp; Brand X'!K84+'Burger King'!K84+Bustelo!K84+Chilis!K84+Einstein!K84+Jamba!K84+'Pollo Tropical'!K84+'Subway GC'!K84+'Sushi Maki'!K84+Panda!K84+'Starbucks Mango'!K84+'Taco Bell'!K84+'Chick-fil-A'!K84+Dunkin!K84+Chipotle!K84+Sergios!K84+'Moes PG5'!K84+'Papa Johns'!K84+Salad!K84+'Half Moon &amp; Trop Smoothie'!K84+'Athletic Concessions -Kitchen'!K84+'Starbucks BBC'!K84+'Moes BBC'!K84+'Grille Works BBC &amp; Shipping'!K84+'Subway BBC'!K84+'Market Pavillion'!K84+'Chic Fil A BBC'!K84+Panera!K84+'Heritage Market'!K84</f>
        <v>0</v>
      </c>
      <c r="L84" s="80">
        <f t="shared" ref="L84:L105" si="34">IFERROR(K84/K$28,0)</f>
        <v>0</v>
      </c>
      <c r="M84" s="134">
        <f>'POD Breezeway'!M84+'Express GL'!M84+'Starbucks GL-SBX Truck'!M84+'Miro''s'!M84+'Faculty Club'!M84+'Almazar &amp; Brand X'!M84+'Burger King'!M84+Bustelo!M84+Chilis!M84+Einstein!M84+Jamba!M84+'Pollo Tropical'!M84+'Subway GC'!M84+'Sushi Maki'!M84+Panda!M84+'Starbucks Mango'!M84+'Taco Bell'!M84+'Chick-fil-A'!M84+Dunkin!M84+Chipotle!M84+Sergios!M84+'Moes PG5'!M84+'Papa Johns'!M84+Salad!M84+'Half Moon &amp; Trop Smoothie'!M84+'Athletic Concessions -Kitchen'!M84+'Starbucks BBC'!M84+'Moes BBC'!M84+'Grille Works BBC &amp; Shipping'!M84+'Subway BBC'!M84+'Market Pavillion'!M84+'Chic Fil A BBC'!M84+Panera!M84+'Heritage Market'!M84</f>
        <v>0</v>
      </c>
      <c r="N84" s="80">
        <f t="shared" ref="N84:N105" si="35">IFERROR(M84/M$28,0)</f>
        <v>0</v>
      </c>
      <c r="O84" s="134">
        <f>'POD Breezeway'!O84+'Express GL'!O84+'Starbucks GL-SBX Truck'!O84+'Miro''s'!O84+'Faculty Club'!O84+'Almazar &amp; Brand X'!O84+'Burger King'!O84+Bustelo!O84+Chilis!O84+Einstein!O84+Jamba!O84+'Pollo Tropical'!O84+'Subway GC'!O84+'Sushi Maki'!O84+Panda!O84+'Starbucks Mango'!O84+'Taco Bell'!O84+'Chick-fil-A'!O84+Dunkin!O84+Chipotle!O84+Sergios!O84+'Moes PG5'!O84+'Papa Johns'!O84+Salad!O84+'Half Moon &amp; Trop Smoothie'!O84+'Athletic Concessions -Kitchen'!O84+'Starbucks BBC'!O84+'Moes BBC'!O84+'Grille Works BBC &amp; Shipping'!O84+'Subway BBC'!O84+'Market Pavillion'!O84+'Chic Fil A BBC'!O84+Panera!O84+'Heritage Market'!O84</f>
        <v>0</v>
      </c>
      <c r="P84" s="80">
        <f t="shared" ref="P84:P105" si="36">IFERROR(O84/O$28,0)</f>
        <v>0</v>
      </c>
      <c r="Q84" s="134">
        <f>'POD Breezeway'!Q84+'Express GL'!Q84+'Starbucks GL-SBX Truck'!Q84+'Miro''s'!Q84+'Faculty Club'!Q84+'Almazar &amp; Brand X'!Q84+'Burger King'!Q84+Bustelo!Q84+Chilis!Q84+Einstein!Q84+Jamba!Q84+'Pollo Tropical'!Q84+'Subway GC'!Q84+'Sushi Maki'!Q84+Panda!Q84+'Starbucks Mango'!Q84+'Taco Bell'!Q84+'Chick-fil-A'!Q84+Dunkin!Q84+Chipotle!Q84+Sergios!Q84+'Moes PG5'!Q84+'Papa Johns'!Q84+Salad!Q84+'Half Moon &amp; Trop Smoothie'!Q84+'Athletic Concessions -Kitchen'!Q84+'Starbucks BBC'!Q84+'Moes BBC'!Q84+'Grille Works BBC &amp; Shipping'!Q84+'Subway BBC'!Q84+'Market Pavillion'!Q84+'Chic Fil A BBC'!Q84+Panera!Q84+'Heritage Market'!Q84</f>
        <v>0</v>
      </c>
      <c r="R84" s="80">
        <f t="shared" ref="R84:R105" si="37">IFERROR(Q84/Q$28,0)</f>
        <v>0</v>
      </c>
      <c r="S84" s="134">
        <f>'POD Breezeway'!S84+'Express GL'!S84+'Starbucks GL-SBX Truck'!S84+'Miro''s'!S84+'Faculty Club'!S84+'Almazar &amp; Brand X'!S84+'Burger King'!S84+Bustelo!S84+Chilis!S84+Einstein!S84+Jamba!S84+'Pollo Tropical'!S84+'Subway GC'!S84+'Sushi Maki'!S84+Panda!S84+'Starbucks Mango'!S84+'Taco Bell'!S84+'Chick-fil-A'!S84+Dunkin!S84+Chipotle!S84+Sergios!S84+'Moes PG5'!S84+'Papa Johns'!S84+Salad!S84+'Half Moon &amp; Trop Smoothie'!S84+'Athletic Concessions -Kitchen'!S84+'Starbucks BBC'!S84+'Moes BBC'!S84+'Grille Works BBC &amp; Shipping'!S84+'Subway BBC'!S84+'Market Pavillion'!S84+'Chic Fil A BBC'!S84+Panera!S84+'Heritage Market'!S84</f>
        <v>0</v>
      </c>
      <c r="T84" s="80">
        <f t="shared" ref="T84:T105" si="38">IFERROR(S84/S$28,0)</f>
        <v>0</v>
      </c>
      <c r="U84" s="134">
        <f>'POD Breezeway'!U84+'Express GL'!U84+'Starbucks GL-SBX Truck'!U84+'Miro''s'!U84+'Faculty Club'!U84+'Almazar &amp; Brand X'!U84+'Burger King'!U84+Bustelo!U84+Chilis!U84+Einstein!U84+Jamba!U84+'Pollo Tropical'!U84+'Subway GC'!U84+'Sushi Maki'!U84+Panda!U84+'Starbucks Mango'!U84+'Taco Bell'!U84+'Chick-fil-A'!U84+Dunkin!U84+Chipotle!U84+Sergios!U84+'Moes PG5'!U84+'Papa Johns'!U84+Salad!U84+'Half Moon &amp; Trop Smoothie'!U84+'Athletic Concessions -Kitchen'!U84+'Starbucks BBC'!U84+'Moes BBC'!U84+'Grille Works BBC &amp; Shipping'!U84+'Subway BBC'!U84+'Market Pavillion'!U84+'Chic Fil A BBC'!U84+Panera!U84+'Heritage Market'!U84</f>
        <v>0</v>
      </c>
      <c r="V84" s="80">
        <f t="shared" si="29"/>
        <v>0</v>
      </c>
    </row>
    <row r="85" spans="1:22" ht="12.75" customHeight="1">
      <c r="A85" s="2" t="s">
        <v>429</v>
      </c>
      <c r="B85" s="35"/>
      <c r="C85" s="134">
        <f>'POD Breezeway'!C85+'Express GL'!C85+'Starbucks GL-SBX Truck'!C85+'Miro''s'!C85+'Faculty Club'!C85+'Almazar &amp; Brand X'!C85+'Burger King'!C85+Bustelo!C85+Chilis!C85+Einstein!C85+Jamba!C85+'Pollo Tropical'!C85+'Subway GC'!C85+'Sushi Maki'!C85+Panda!C85+'Starbucks Mango'!C85+'Taco Bell'!C85+'Chick-fil-A'!C85+Dunkin!C85+Chipotle!C85+Sergios!C85+'Moes PG5'!C85+'Papa Johns'!C85+Salad!C85+'Half Moon &amp; Trop Smoothie'!C85+'Athletic Concessions -Kitchen'!C85+'Starbucks BBC'!C85+'Moes BBC'!C85+'Grille Works BBC &amp; Shipping'!C85+'Subway BBC'!C85+'Market Pavillion'!C85+'Chic Fil A BBC'!C85+Panera!C85+'Heritage Market'!C85</f>
        <v>0</v>
      </c>
      <c r="D85" s="80">
        <f t="shared" si="30"/>
        <v>0</v>
      </c>
      <c r="E85" s="134">
        <f>'POD Breezeway'!E85+'Express GL'!E85+'Starbucks GL-SBX Truck'!E85+'Miro''s'!E85+'Faculty Club'!E85+'Almazar &amp; Brand X'!E85+'Burger King'!E85+Bustelo!E85+Chilis!E85+Einstein!E85+Jamba!E85+'Pollo Tropical'!E85+'Subway GC'!E85+'Sushi Maki'!E85+Panda!E85+'Starbucks Mango'!E85+'Taco Bell'!E85+'Chick-fil-A'!E85+Dunkin!E85+Chipotle!E85+Sergios!E85+'Moes PG5'!E85+'Papa Johns'!E85+Salad!E85+'Half Moon &amp; Trop Smoothie'!E85+'Athletic Concessions -Kitchen'!E85+'Starbucks BBC'!E85+'Moes BBC'!E85+'Grille Works BBC &amp; Shipping'!E85+'Subway BBC'!E85+'Market Pavillion'!E85+'Chic Fil A BBC'!E85+Panera!E85+'Heritage Market'!E85</f>
        <v>0</v>
      </c>
      <c r="F85" s="80">
        <f t="shared" si="31"/>
        <v>0</v>
      </c>
      <c r="G85" s="134">
        <f>'POD Breezeway'!G85+'Express GL'!G85+'Starbucks GL-SBX Truck'!G85+'Miro''s'!G85+'Faculty Club'!G85+'Almazar &amp; Brand X'!G85+'Burger King'!G85+Bustelo!G85+Chilis!G85+Einstein!G85+Jamba!G85+'Pollo Tropical'!G85+'Subway GC'!G85+'Sushi Maki'!G85+Panda!G85+'Starbucks Mango'!G85+'Taco Bell'!G85+'Chick-fil-A'!G85+Dunkin!G85+Chipotle!G85+Sergios!G85+'Moes PG5'!G85+'Papa Johns'!G85+Salad!G85+'Half Moon &amp; Trop Smoothie'!G85+'Athletic Concessions -Kitchen'!G85+'Starbucks BBC'!G85+'Moes BBC'!G85+'Grille Works BBC &amp; Shipping'!G85+'Subway BBC'!G85+'Market Pavillion'!G85+'Chic Fil A BBC'!G85+Panera!G85+'Heritage Market'!G85</f>
        <v>0</v>
      </c>
      <c r="H85" s="80">
        <f t="shared" si="32"/>
        <v>0</v>
      </c>
      <c r="I85" s="134">
        <f>'POD Breezeway'!I85+'Express GL'!I85+'Starbucks GL-SBX Truck'!I85+'Miro''s'!I85+'Faculty Club'!I85+'Almazar &amp; Brand X'!I85+'Burger King'!I85+Bustelo!I85+Chilis!I85+Einstein!I85+Jamba!I85+'Pollo Tropical'!I85+'Subway GC'!I85+'Sushi Maki'!I85+Panda!I85+'Starbucks Mango'!I85+'Taco Bell'!I85+'Chick-fil-A'!I85+Dunkin!I85+Chipotle!I85+Sergios!I85+'Moes PG5'!I85+'Papa Johns'!I85+Salad!I85+'Half Moon &amp; Trop Smoothie'!I85+'Athletic Concessions -Kitchen'!I85+'Starbucks BBC'!I85+'Moes BBC'!I85+'Grille Works BBC &amp; Shipping'!I85+'Subway BBC'!I85+'Market Pavillion'!I85+'Chic Fil A BBC'!I85+Panera!I85+'Heritage Market'!I85</f>
        <v>0</v>
      </c>
      <c r="J85" s="80">
        <f t="shared" si="33"/>
        <v>0</v>
      </c>
      <c r="K85" s="134">
        <f>'POD Breezeway'!K85+'Express GL'!K85+'Starbucks GL-SBX Truck'!K85+'Miro''s'!K85+'Faculty Club'!K85+'Almazar &amp; Brand X'!K85+'Burger King'!K85+Bustelo!K85+Chilis!K85+Einstein!K85+Jamba!K85+'Pollo Tropical'!K85+'Subway GC'!K85+'Sushi Maki'!K85+Panda!K85+'Starbucks Mango'!K85+'Taco Bell'!K85+'Chick-fil-A'!K85+Dunkin!K85+Chipotle!K85+Sergios!K85+'Moes PG5'!K85+'Papa Johns'!K85+Salad!K85+'Half Moon &amp; Trop Smoothie'!K85+'Athletic Concessions -Kitchen'!K85+'Starbucks BBC'!K85+'Moes BBC'!K85+'Grille Works BBC &amp; Shipping'!K85+'Subway BBC'!K85+'Market Pavillion'!K85+'Chic Fil A BBC'!K85+Panera!K85+'Heritage Market'!K85</f>
        <v>0</v>
      </c>
      <c r="L85" s="80">
        <f t="shared" si="34"/>
        <v>0</v>
      </c>
      <c r="M85" s="134">
        <f>'POD Breezeway'!M85+'Express GL'!M85+'Starbucks GL-SBX Truck'!M85+'Miro''s'!M85+'Faculty Club'!M85+'Almazar &amp; Brand X'!M85+'Burger King'!M85+Bustelo!M85+Chilis!M85+Einstein!M85+Jamba!M85+'Pollo Tropical'!M85+'Subway GC'!M85+'Sushi Maki'!M85+Panda!M85+'Starbucks Mango'!M85+'Taco Bell'!M85+'Chick-fil-A'!M85+Dunkin!M85+Chipotle!M85+Sergios!M85+'Moes PG5'!M85+'Papa Johns'!M85+Salad!M85+'Half Moon &amp; Trop Smoothie'!M85+'Athletic Concessions -Kitchen'!M85+'Starbucks BBC'!M85+'Moes BBC'!M85+'Grille Works BBC &amp; Shipping'!M85+'Subway BBC'!M85+'Market Pavillion'!M85+'Chic Fil A BBC'!M85+Panera!M85+'Heritage Market'!M85</f>
        <v>0</v>
      </c>
      <c r="N85" s="80">
        <f t="shared" si="35"/>
        <v>0</v>
      </c>
      <c r="O85" s="134">
        <f>'POD Breezeway'!O85+'Express GL'!O85+'Starbucks GL-SBX Truck'!O85+'Miro''s'!O85+'Faculty Club'!O85+'Almazar &amp; Brand X'!O85+'Burger King'!O85+Bustelo!O85+Chilis!O85+Einstein!O85+Jamba!O85+'Pollo Tropical'!O85+'Subway GC'!O85+'Sushi Maki'!O85+Panda!O85+'Starbucks Mango'!O85+'Taco Bell'!O85+'Chick-fil-A'!O85+Dunkin!O85+Chipotle!O85+Sergios!O85+'Moes PG5'!O85+'Papa Johns'!O85+Salad!O85+'Half Moon &amp; Trop Smoothie'!O85+'Athletic Concessions -Kitchen'!O85+'Starbucks BBC'!O85+'Moes BBC'!O85+'Grille Works BBC &amp; Shipping'!O85+'Subway BBC'!O85+'Market Pavillion'!O85+'Chic Fil A BBC'!O85+Panera!O85+'Heritage Market'!O85</f>
        <v>0</v>
      </c>
      <c r="P85" s="80">
        <f t="shared" si="36"/>
        <v>0</v>
      </c>
      <c r="Q85" s="134">
        <f>'POD Breezeway'!Q85+'Express GL'!Q85+'Starbucks GL-SBX Truck'!Q85+'Miro''s'!Q85+'Faculty Club'!Q85+'Almazar &amp; Brand X'!Q85+'Burger King'!Q85+Bustelo!Q85+Chilis!Q85+Einstein!Q85+Jamba!Q85+'Pollo Tropical'!Q85+'Subway GC'!Q85+'Sushi Maki'!Q85+Panda!Q85+'Starbucks Mango'!Q85+'Taco Bell'!Q85+'Chick-fil-A'!Q85+Dunkin!Q85+Chipotle!Q85+Sergios!Q85+'Moes PG5'!Q85+'Papa Johns'!Q85+Salad!Q85+'Half Moon &amp; Trop Smoothie'!Q85+'Athletic Concessions -Kitchen'!Q85+'Starbucks BBC'!Q85+'Moes BBC'!Q85+'Grille Works BBC &amp; Shipping'!Q85+'Subway BBC'!Q85+'Market Pavillion'!Q85+'Chic Fil A BBC'!Q85+Panera!Q85+'Heritage Market'!Q85</f>
        <v>0</v>
      </c>
      <c r="R85" s="80">
        <f t="shared" si="37"/>
        <v>0</v>
      </c>
      <c r="S85" s="134">
        <f>'POD Breezeway'!S85+'Express GL'!S85+'Starbucks GL-SBX Truck'!S85+'Miro''s'!S85+'Faculty Club'!S85+'Almazar &amp; Brand X'!S85+'Burger King'!S85+Bustelo!S85+Chilis!S85+Einstein!S85+Jamba!S85+'Pollo Tropical'!S85+'Subway GC'!S85+'Sushi Maki'!S85+Panda!S85+'Starbucks Mango'!S85+'Taco Bell'!S85+'Chick-fil-A'!S85+Dunkin!S85+Chipotle!S85+Sergios!S85+'Moes PG5'!S85+'Papa Johns'!S85+Salad!S85+'Half Moon &amp; Trop Smoothie'!S85+'Athletic Concessions -Kitchen'!S85+'Starbucks BBC'!S85+'Moes BBC'!S85+'Grille Works BBC &amp; Shipping'!S85+'Subway BBC'!S85+'Market Pavillion'!S85+'Chic Fil A BBC'!S85+Panera!S85+'Heritage Market'!S85</f>
        <v>0</v>
      </c>
      <c r="T85" s="80">
        <f t="shared" si="38"/>
        <v>0</v>
      </c>
      <c r="U85" s="134">
        <f>'POD Breezeway'!U85+'Express GL'!U85+'Starbucks GL-SBX Truck'!U85+'Miro''s'!U85+'Faculty Club'!U85+'Almazar &amp; Brand X'!U85+'Burger King'!U85+Bustelo!U85+Chilis!U85+Einstein!U85+Jamba!U85+'Pollo Tropical'!U85+'Subway GC'!U85+'Sushi Maki'!U85+Panda!U85+'Starbucks Mango'!U85+'Taco Bell'!U85+'Chick-fil-A'!U85+Dunkin!U85+Chipotle!U85+Sergios!U85+'Moes PG5'!U85+'Papa Johns'!U85+Salad!U85+'Half Moon &amp; Trop Smoothie'!U85+'Athletic Concessions -Kitchen'!U85+'Starbucks BBC'!U85+'Moes BBC'!U85+'Grille Works BBC &amp; Shipping'!U85+'Subway BBC'!U85+'Market Pavillion'!U85+'Chic Fil A BBC'!U85+Panera!U85+'Heritage Market'!U85</f>
        <v>0</v>
      </c>
      <c r="V85" s="80">
        <f t="shared" si="29"/>
        <v>0</v>
      </c>
    </row>
    <row r="86" spans="1:22" ht="12.75" customHeight="1">
      <c r="A86" s="214" t="s">
        <v>430</v>
      </c>
      <c r="B86" s="215"/>
      <c r="C86" s="134">
        <f>'POD Breezeway'!C86+'Express GL'!C86+'Starbucks GL-SBX Truck'!C86+'Miro''s'!C86+'Faculty Club'!C86+'Almazar &amp; Brand X'!C86+'Burger King'!C86+Bustelo!C86+Chilis!C86+Einstein!C86+Jamba!C86+'Pollo Tropical'!C86+'Subway GC'!C86+'Sushi Maki'!C86+Panda!C86+'Starbucks Mango'!C86+'Taco Bell'!C86+'Chick-fil-A'!C86+Dunkin!C86+Chipotle!C86+Sergios!C86+'Moes PG5'!C86+'Papa Johns'!C86+Salad!C86+'Half Moon &amp; Trop Smoothie'!C86+'Athletic Concessions -Kitchen'!C86+'Starbucks BBC'!C86+'Moes BBC'!C86+'Grille Works BBC &amp; Shipping'!C86+'Subway BBC'!C86+'Market Pavillion'!C86+'Chic Fil A BBC'!C86+Panera!C86+'Heritage Market'!C86</f>
        <v>62301.197519999994</v>
      </c>
      <c r="D86" s="80">
        <f t="shared" si="30"/>
        <v>3.9302783287978853E-3</v>
      </c>
      <c r="E86" s="134">
        <f>'POD Breezeway'!E86+'Express GL'!E86+'Starbucks GL-SBX Truck'!E86+'Miro''s'!E86+'Faculty Club'!E86+'Almazar &amp; Brand X'!E86+'Burger King'!E86+Bustelo!E86+Chilis!E86+Einstein!E86+Jamba!E86+'Pollo Tropical'!E86+'Subway GC'!E86+'Sushi Maki'!E86+Panda!E86+'Starbucks Mango'!E86+'Taco Bell'!E86+'Chick-fil-A'!E86+Dunkin!E86+Chipotle!E86+Sergios!E86+'Moes PG5'!E86+'Papa Johns'!E86+Salad!E86+'Half Moon &amp; Trop Smoothie'!E86+'Athletic Concessions -Kitchen'!E86+'Starbucks BBC'!E86+'Moes BBC'!E86+'Grille Works BBC &amp; Shipping'!E86+'Subway BBC'!E86+'Market Pavillion'!E86+'Chic Fil A BBC'!E86+Panera!E86+'Heritage Market'!E86</f>
        <v>74094.5</v>
      </c>
      <c r="F86" s="80">
        <f t="shared" si="31"/>
        <v>3.9390908615824591E-3</v>
      </c>
      <c r="G86" s="134">
        <f>'POD Breezeway'!G86+'Express GL'!G86+'Starbucks GL-SBX Truck'!G86+'Miro''s'!G86+'Faculty Club'!G86+'Almazar &amp; Brand X'!G86+'Burger King'!G86+Bustelo!G86+Chilis!G86+Einstein!G86+Jamba!G86+'Pollo Tropical'!G86+'Subway GC'!G86+'Sushi Maki'!G86+Panda!G86+'Starbucks Mango'!G86+'Taco Bell'!G86+'Chick-fil-A'!G86+Dunkin!G86+Chipotle!G86+Sergios!G86+'Moes PG5'!G86+'Papa Johns'!G86+Salad!G86+'Half Moon &amp; Trop Smoothie'!G86+'Athletic Concessions -Kitchen'!G86+'Starbucks BBC'!G86+'Moes BBC'!G86+'Grille Works BBC &amp; Shipping'!G86+'Subway BBC'!G86+'Market Pavillion'!G86+'Chic Fil A BBC'!G86+Panera!G86+'Heritage Market'!G86</f>
        <v>81556.766000000003</v>
      </c>
      <c r="H86" s="80">
        <f t="shared" si="32"/>
        <v>3.9518039501125922E-3</v>
      </c>
      <c r="I86" s="134">
        <f>'POD Breezeway'!I86+'Express GL'!I86+'Starbucks GL-SBX Truck'!I86+'Miro''s'!I86+'Faculty Club'!I86+'Almazar &amp; Brand X'!I86+'Burger King'!I86+Bustelo!I86+Chilis!I86+Einstein!I86+Jamba!I86+'Pollo Tropical'!I86+'Subway GC'!I86+'Sushi Maki'!I86+Panda!I86+'Starbucks Mango'!I86+'Taco Bell'!I86+'Chick-fil-A'!I86+Dunkin!I86+Chipotle!I86+Sergios!I86+'Moes PG5'!I86+'Papa Johns'!I86+Salad!I86+'Half Moon &amp; Trop Smoothie'!I86+'Athletic Concessions -Kitchen'!I86+'Starbucks BBC'!I86+'Moes BBC'!I86+'Grille Works BBC &amp; Shipping'!I86+'Subway BBC'!I86+'Market Pavillion'!I86+'Chic Fil A BBC'!I86+Panera!I86+'Heritage Market'!I86</f>
        <v>84660.129798000009</v>
      </c>
      <c r="J86" s="80">
        <f t="shared" si="33"/>
        <v>3.9526321480350731E-3</v>
      </c>
      <c r="K86" s="134">
        <f>'POD Breezeway'!K86+'Express GL'!K86+'Starbucks GL-SBX Truck'!K86+'Miro''s'!K86+'Faculty Club'!K86+'Almazar &amp; Brand X'!K86+'Burger King'!K86+Bustelo!K86+Chilis!K86+Einstein!K86+Jamba!K86+'Pollo Tropical'!K86+'Subway GC'!K86+'Sushi Maki'!K86+Panda!K86+'Starbucks Mango'!K86+'Taco Bell'!K86+'Chick-fil-A'!K86+Dunkin!K86+Chipotle!K86+Sergios!K86+'Moes PG5'!K86+'Papa Johns'!K86+Salad!K86+'Half Moon &amp; Trop Smoothie'!K86+'Athletic Concessions -Kitchen'!K86+'Starbucks BBC'!K86+'Moes BBC'!K86+'Grille Works BBC &amp; Shipping'!K86+'Subway BBC'!K86+'Market Pavillion'!K86+'Chic Fil A BBC'!K86+Panera!K86+'Heritage Market'!K86</f>
        <v>87231.410672739992</v>
      </c>
      <c r="L86" s="80">
        <f t="shared" si="34"/>
        <v>3.9531033664002768E-3</v>
      </c>
      <c r="M86" s="134">
        <f>'POD Breezeway'!M86+'Express GL'!M86+'Starbucks GL-SBX Truck'!M86+'Miro''s'!M86+'Faculty Club'!M86+'Almazar &amp; Brand X'!M86+'Burger King'!M86+Bustelo!M86+Chilis!M86+Einstein!M86+Jamba!M86+'Pollo Tropical'!M86+'Subway GC'!M86+'Sushi Maki'!M86+Panda!M86+'Starbucks Mango'!M86+'Taco Bell'!M86+'Chick-fil-A'!M86+Dunkin!M86+Chipotle!M86+Sergios!M86+'Moes PG5'!M86+'Papa Johns'!M86+Salad!M86+'Half Moon &amp; Trop Smoothie'!M86+'Athletic Concessions -Kitchen'!M86+'Starbucks BBC'!M86+'Moes BBC'!M86+'Grille Works BBC &amp; Shipping'!M86+'Subway BBC'!M86+'Market Pavillion'!M86+'Chic Fil A BBC'!M86+Panera!M86+'Heritage Market'!M86</f>
        <v>89914.378677066314</v>
      </c>
      <c r="N86" s="80">
        <f t="shared" si="35"/>
        <v>3.9535870974600163E-3</v>
      </c>
      <c r="O86" s="134">
        <f>'POD Breezeway'!O86+'Express GL'!O86+'Starbucks GL-SBX Truck'!O86+'Miro''s'!O86+'Faculty Club'!O86+'Almazar &amp; Brand X'!O86+'Burger King'!O86+Bustelo!O86+Chilis!O86+Einstein!O86+Jamba!O86+'Pollo Tropical'!O86+'Subway GC'!O86+'Sushi Maki'!O86+Panda!O86+'Starbucks Mango'!O86+'Taco Bell'!O86+'Chick-fil-A'!O86+Dunkin!O86+Chipotle!O86+Sergios!O86+'Moes PG5'!O86+'Papa Johns'!O86+Salad!O86+'Half Moon &amp; Trop Smoothie'!O86+'Athletic Concessions -Kitchen'!O86+'Starbucks BBC'!O86+'Moes BBC'!O86+'Grille Works BBC &amp; Shipping'!O86+'Subway BBC'!O86+'Market Pavillion'!O86+'Chic Fil A BBC'!O86+Panera!O86+'Heritage Market'!O86</f>
        <v>92752.177387127624</v>
      </c>
      <c r="P86" s="80">
        <f t="shared" si="36"/>
        <v>3.9541012968549857E-3</v>
      </c>
      <c r="Q86" s="134">
        <f>'POD Breezeway'!Q86+'Express GL'!Q86+'Starbucks GL-SBX Truck'!Q86+'Miro''s'!Q86+'Faculty Club'!Q86+'Almazar &amp; Brand X'!Q86+'Burger King'!Q86+Bustelo!Q86+Chilis!Q86+Einstein!Q86+Jamba!Q86+'Pollo Tropical'!Q86+'Subway GC'!Q86+'Sushi Maki'!Q86+Panda!Q86+'Starbucks Mango'!Q86+'Taco Bell'!Q86+'Chick-fil-A'!Q86+Dunkin!Q86+Chipotle!Q86+Sergios!Q86+'Moes PG5'!Q86+'Papa Johns'!Q86+Salad!Q86+'Half Moon &amp; Trop Smoothie'!Q86+'Athletic Concessions -Kitchen'!Q86+'Starbucks BBC'!Q86+'Moes BBC'!Q86+'Grille Works BBC &amp; Shipping'!Q86+'Subway BBC'!Q86+'Market Pavillion'!Q86+'Chic Fil A BBC'!Q86+Panera!Q86+'Heritage Market'!Q86</f>
        <v>95727.36070152375</v>
      </c>
      <c r="R86" s="80">
        <f t="shared" si="37"/>
        <v>3.954632282354484E-3</v>
      </c>
      <c r="S86" s="134">
        <f>'POD Breezeway'!S86+'Express GL'!S86+'Starbucks GL-SBX Truck'!S86+'Miro''s'!S86+'Faculty Club'!S86+'Almazar &amp; Brand X'!S86+'Burger King'!S86+Bustelo!S86+Chilis!S86+Einstein!S86+Jamba!S86+'Pollo Tropical'!S86+'Subway GC'!S86+'Sushi Maki'!S86+Panda!S86+'Starbucks Mango'!S86+'Taco Bell'!S86+'Chick-fil-A'!S86+Dunkin!S86+Chipotle!S86+Sergios!S86+'Moes PG5'!S86+'Papa Johns'!S86+Salad!S86+'Half Moon &amp; Trop Smoothie'!S86+'Athletic Concessions -Kitchen'!S86+'Starbucks BBC'!S86+'Moes BBC'!S86+'Grille Works BBC &amp; Shipping'!S86+'Subway BBC'!S86+'Market Pavillion'!S86+'Chic Fil A BBC'!S86+Panera!S86+'Heritage Market'!S86</f>
        <v>98822.985236320586</v>
      </c>
      <c r="T86" s="80">
        <f t="shared" si="38"/>
        <v>3.9551684150367101E-3</v>
      </c>
      <c r="U86" s="134">
        <f>'POD Breezeway'!U86+'Express GL'!U86+'Starbucks GL-SBX Truck'!U86+'Miro''s'!U86+'Faculty Club'!U86+'Almazar &amp; Brand X'!U86+'Burger King'!U86+Bustelo!U86+Chilis!U86+Einstein!U86+Jamba!U86+'Pollo Tropical'!U86+'Subway GC'!U86+'Sushi Maki'!U86+Panda!U86+'Starbucks Mango'!U86+'Taco Bell'!U86+'Chick-fil-A'!U86+Dunkin!U86+Chipotle!U86+Sergios!U86+'Moes PG5'!U86+'Papa Johns'!U86+Salad!U86+'Half Moon &amp; Trop Smoothie'!U86+'Athletic Concessions -Kitchen'!U86+'Starbucks BBC'!U86+'Moes BBC'!U86+'Grille Works BBC &amp; Shipping'!U86+'Subway BBC'!U86+'Market Pavillion'!U86+'Chic Fil A BBC'!U86+Panera!U86+'Heritage Market'!U86</f>
        <v>102040.36780939667</v>
      </c>
      <c r="V86" s="80">
        <f t="shared" si="29"/>
        <v>3.9557075792442699E-3</v>
      </c>
    </row>
    <row r="87" spans="1:22" ht="12.75" customHeight="1">
      <c r="A87" s="2" t="s">
        <v>431</v>
      </c>
      <c r="B87" s="35"/>
      <c r="C87" s="134">
        <f>'POD Breezeway'!C87+'Express GL'!C87+'Starbucks GL-SBX Truck'!C87+'Miro''s'!C87+'Faculty Club'!C87+'Almazar &amp; Brand X'!C87+'Burger King'!C87+Bustelo!C87+Chilis!C87+Einstein!C87+Jamba!C87+'Pollo Tropical'!C87+'Subway GC'!C87+'Sushi Maki'!C87+Panda!C87+'Starbucks Mango'!C87+'Taco Bell'!C87+'Chick-fil-A'!C87+Dunkin!C87+Chipotle!C87+Sergios!C87+'Moes PG5'!C87+'Papa Johns'!C87+Salad!C87+'Half Moon &amp; Trop Smoothie'!C87+'Athletic Concessions -Kitchen'!C87+'Starbucks BBC'!C87+'Moes BBC'!C87+'Grille Works BBC &amp; Shipping'!C87+'Subway BBC'!C87+'Market Pavillion'!C87+'Chic Fil A BBC'!C87+Panera!C87+'Heritage Market'!C87</f>
        <v>0</v>
      </c>
      <c r="D87" s="80">
        <f t="shared" si="30"/>
        <v>0</v>
      </c>
      <c r="E87" s="134">
        <f>'POD Breezeway'!E87+'Express GL'!E87+'Starbucks GL-SBX Truck'!E87+'Miro''s'!E87+'Faculty Club'!E87+'Almazar &amp; Brand X'!E87+'Burger King'!E87+Bustelo!E87+Chilis!E87+Einstein!E87+Jamba!E87+'Pollo Tropical'!E87+'Subway GC'!E87+'Sushi Maki'!E87+Panda!E87+'Starbucks Mango'!E87+'Taco Bell'!E87+'Chick-fil-A'!E87+Dunkin!E87+Chipotle!E87+Sergios!E87+'Moes PG5'!E87+'Papa Johns'!E87+Salad!E87+'Half Moon &amp; Trop Smoothie'!E87+'Athletic Concessions -Kitchen'!E87+'Starbucks BBC'!E87+'Moes BBC'!E87+'Grille Works BBC &amp; Shipping'!E87+'Subway BBC'!E87+'Market Pavillion'!E87+'Chic Fil A BBC'!E87+Panera!E87+'Heritage Market'!E87</f>
        <v>0</v>
      </c>
      <c r="F87" s="80">
        <f t="shared" si="31"/>
        <v>0</v>
      </c>
      <c r="G87" s="134">
        <f>'POD Breezeway'!G87+'Express GL'!G87+'Starbucks GL-SBX Truck'!G87+'Miro''s'!G87+'Faculty Club'!G87+'Almazar &amp; Brand X'!G87+'Burger King'!G87+Bustelo!G87+Chilis!G87+Einstein!G87+Jamba!G87+'Pollo Tropical'!G87+'Subway GC'!G87+'Sushi Maki'!G87+Panda!G87+'Starbucks Mango'!G87+'Taco Bell'!G87+'Chick-fil-A'!G87+Dunkin!G87+Chipotle!G87+Sergios!G87+'Moes PG5'!G87+'Papa Johns'!G87+Salad!G87+'Half Moon &amp; Trop Smoothie'!G87+'Athletic Concessions -Kitchen'!G87+'Starbucks BBC'!G87+'Moes BBC'!G87+'Grille Works BBC &amp; Shipping'!G87+'Subway BBC'!G87+'Market Pavillion'!G87+'Chic Fil A BBC'!G87+Panera!G87+'Heritage Market'!G87</f>
        <v>0</v>
      </c>
      <c r="H87" s="80">
        <f t="shared" si="32"/>
        <v>0</v>
      </c>
      <c r="I87" s="134">
        <f>'POD Breezeway'!I87+'Express GL'!I87+'Starbucks GL-SBX Truck'!I87+'Miro''s'!I87+'Faculty Club'!I87+'Almazar &amp; Brand X'!I87+'Burger King'!I87+Bustelo!I87+Chilis!I87+Einstein!I87+Jamba!I87+'Pollo Tropical'!I87+'Subway GC'!I87+'Sushi Maki'!I87+Panda!I87+'Starbucks Mango'!I87+'Taco Bell'!I87+'Chick-fil-A'!I87+Dunkin!I87+Chipotle!I87+Sergios!I87+'Moes PG5'!I87+'Papa Johns'!I87+Salad!I87+'Half Moon &amp; Trop Smoothie'!I87+'Athletic Concessions -Kitchen'!I87+'Starbucks BBC'!I87+'Moes BBC'!I87+'Grille Works BBC &amp; Shipping'!I87+'Subway BBC'!I87+'Market Pavillion'!I87+'Chic Fil A BBC'!I87+Panera!I87+'Heritage Market'!I87</f>
        <v>0</v>
      </c>
      <c r="J87" s="80">
        <f t="shared" si="33"/>
        <v>0</v>
      </c>
      <c r="K87" s="134">
        <f>'POD Breezeway'!K87+'Express GL'!K87+'Starbucks GL-SBX Truck'!K87+'Miro''s'!K87+'Faculty Club'!K87+'Almazar &amp; Brand X'!K87+'Burger King'!K87+Bustelo!K87+Chilis!K87+Einstein!K87+Jamba!K87+'Pollo Tropical'!K87+'Subway GC'!K87+'Sushi Maki'!K87+Panda!K87+'Starbucks Mango'!K87+'Taco Bell'!K87+'Chick-fil-A'!K87+Dunkin!K87+Chipotle!K87+Sergios!K87+'Moes PG5'!K87+'Papa Johns'!K87+Salad!K87+'Half Moon &amp; Trop Smoothie'!K87+'Athletic Concessions -Kitchen'!K87+'Starbucks BBC'!K87+'Moes BBC'!K87+'Grille Works BBC &amp; Shipping'!K87+'Subway BBC'!K87+'Market Pavillion'!K87+'Chic Fil A BBC'!K87+Panera!K87+'Heritage Market'!K87</f>
        <v>0</v>
      </c>
      <c r="L87" s="80">
        <f t="shared" si="34"/>
        <v>0</v>
      </c>
      <c r="M87" s="134">
        <f>'POD Breezeway'!M87+'Express GL'!M87+'Starbucks GL-SBX Truck'!M87+'Miro''s'!M87+'Faculty Club'!M87+'Almazar &amp; Brand X'!M87+'Burger King'!M87+Bustelo!M87+Chilis!M87+Einstein!M87+Jamba!M87+'Pollo Tropical'!M87+'Subway GC'!M87+'Sushi Maki'!M87+Panda!M87+'Starbucks Mango'!M87+'Taco Bell'!M87+'Chick-fil-A'!M87+Dunkin!M87+Chipotle!M87+Sergios!M87+'Moes PG5'!M87+'Papa Johns'!M87+Salad!M87+'Half Moon &amp; Trop Smoothie'!M87+'Athletic Concessions -Kitchen'!M87+'Starbucks BBC'!M87+'Moes BBC'!M87+'Grille Works BBC &amp; Shipping'!M87+'Subway BBC'!M87+'Market Pavillion'!M87+'Chic Fil A BBC'!M87+Panera!M87+'Heritage Market'!M87</f>
        <v>0</v>
      </c>
      <c r="N87" s="80">
        <f t="shared" si="35"/>
        <v>0</v>
      </c>
      <c r="O87" s="134">
        <f>'POD Breezeway'!O87+'Express GL'!O87+'Starbucks GL-SBX Truck'!O87+'Miro''s'!O87+'Faculty Club'!O87+'Almazar &amp; Brand X'!O87+'Burger King'!O87+Bustelo!O87+Chilis!O87+Einstein!O87+Jamba!O87+'Pollo Tropical'!O87+'Subway GC'!O87+'Sushi Maki'!O87+Panda!O87+'Starbucks Mango'!O87+'Taco Bell'!O87+'Chick-fil-A'!O87+Dunkin!O87+Chipotle!O87+Sergios!O87+'Moes PG5'!O87+'Papa Johns'!O87+Salad!O87+'Half Moon &amp; Trop Smoothie'!O87+'Athletic Concessions -Kitchen'!O87+'Starbucks BBC'!O87+'Moes BBC'!O87+'Grille Works BBC &amp; Shipping'!O87+'Subway BBC'!O87+'Market Pavillion'!O87+'Chic Fil A BBC'!O87+Panera!O87+'Heritage Market'!O87</f>
        <v>0</v>
      </c>
      <c r="P87" s="80">
        <f t="shared" si="36"/>
        <v>0</v>
      </c>
      <c r="Q87" s="134">
        <f>'POD Breezeway'!Q87+'Express GL'!Q87+'Starbucks GL-SBX Truck'!Q87+'Miro''s'!Q87+'Faculty Club'!Q87+'Almazar &amp; Brand X'!Q87+'Burger King'!Q87+Bustelo!Q87+Chilis!Q87+Einstein!Q87+Jamba!Q87+'Pollo Tropical'!Q87+'Subway GC'!Q87+'Sushi Maki'!Q87+Panda!Q87+'Starbucks Mango'!Q87+'Taco Bell'!Q87+'Chick-fil-A'!Q87+Dunkin!Q87+Chipotle!Q87+Sergios!Q87+'Moes PG5'!Q87+'Papa Johns'!Q87+Salad!Q87+'Half Moon &amp; Trop Smoothie'!Q87+'Athletic Concessions -Kitchen'!Q87+'Starbucks BBC'!Q87+'Moes BBC'!Q87+'Grille Works BBC &amp; Shipping'!Q87+'Subway BBC'!Q87+'Market Pavillion'!Q87+'Chic Fil A BBC'!Q87+Panera!Q87+'Heritage Market'!Q87</f>
        <v>0</v>
      </c>
      <c r="R87" s="80">
        <f t="shared" si="37"/>
        <v>0</v>
      </c>
      <c r="S87" s="134">
        <f>'POD Breezeway'!S87+'Express GL'!S87+'Starbucks GL-SBX Truck'!S87+'Miro''s'!S87+'Faculty Club'!S87+'Almazar &amp; Brand X'!S87+'Burger King'!S87+Bustelo!S87+Chilis!S87+Einstein!S87+Jamba!S87+'Pollo Tropical'!S87+'Subway GC'!S87+'Sushi Maki'!S87+Panda!S87+'Starbucks Mango'!S87+'Taco Bell'!S87+'Chick-fil-A'!S87+Dunkin!S87+Chipotle!S87+Sergios!S87+'Moes PG5'!S87+'Papa Johns'!S87+Salad!S87+'Half Moon &amp; Trop Smoothie'!S87+'Athletic Concessions -Kitchen'!S87+'Starbucks BBC'!S87+'Moes BBC'!S87+'Grille Works BBC &amp; Shipping'!S87+'Subway BBC'!S87+'Market Pavillion'!S87+'Chic Fil A BBC'!S87+Panera!S87+'Heritage Market'!S87</f>
        <v>0</v>
      </c>
      <c r="T87" s="80">
        <f t="shared" si="38"/>
        <v>0</v>
      </c>
      <c r="U87" s="134">
        <f>'POD Breezeway'!U87+'Express GL'!U87+'Starbucks GL-SBX Truck'!U87+'Miro''s'!U87+'Faculty Club'!U87+'Almazar &amp; Brand X'!U87+'Burger King'!U87+Bustelo!U87+Chilis!U87+Einstein!U87+Jamba!U87+'Pollo Tropical'!U87+'Subway GC'!U87+'Sushi Maki'!U87+Panda!U87+'Starbucks Mango'!U87+'Taco Bell'!U87+'Chick-fil-A'!U87+Dunkin!U87+Chipotle!U87+Sergios!U87+'Moes PG5'!U87+'Papa Johns'!U87+Salad!U87+'Half Moon &amp; Trop Smoothie'!U87+'Athletic Concessions -Kitchen'!U87+'Starbucks BBC'!U87+'Moes BBC'!U87+'Grille Works BBC &amp; Shipping'!U87+'Subway BBC'!U87+'Market Pavillion'!U87+'Chic Fil A BBC'!U87+Panera!U87+'Heritage Market'!U87</f>
        <v>0</v>
      </c>
      <c r="V87" s="80">
        <f t="shared" si="29"/>
        <v>0</v>
      </c>
    </row>
    <row r="88" spans="1:22" ht="12.75" customHeight="1">
      <c r="A88" s="214" t="s">
        <v>432</v>
      </c>
      <c r="B88" s="215"/>
      <c r="C88" s="134">
        <f>'POD Breezeway'!C88+'Express GL'!C88+'Starbucks GL-SBX Truck'!C88+'Miro''s'!C88+'Faculty Club'!C88+'Almazar &amp; Brand X'!C88+'Burger King'!C88+Bustelo!C88+Chilis!C88+Einstein!C88+Jamba!C88+'Pollo Tropical'!C88+'Subway GC'!C88+'Sushi Maki'!C88+Panda!C88+'Starbucks Mango'!C88+'Taco Bell'!C88+'Chick-fil-A'!C88+Dunkin!C88+Chipotle!C88+Sergios!C88+'Moes PG5'!C88+'Papa Johns'!C88+Salad!C88+'Half Moon &amp; Trop Smoothie'!C88+'Athletic Concessions -Kitchen'!C88+'Starbucks BBC'!C88+'Moes BBC'!C88+'Grille Works BBC &amp; Shipping'!C88+'Subway BBC'!C88+'Market Pavillion'!C88+'Chic Fil A BBC'!C88+Panera!C88+'Heritage Market'!C88</f>
        <v>79434.026838000005</v>
      </c>
      <c r="D88" s="80">
        <f t="shared" si="30"/>
        <v>5.0111048692173046E-3</v>
      </c>
      <c r="E88" s="134">
        <f>'POD Breezeway'!E88+'Express GL'!E88+'Starbucks GL-SBX Truck'!E88+'Miro''s'!E88+'Faculty Club'!E88+'Almazar &amp; Brand X'!E88+'Burger King'!E88+Bustelo!E88+Chilis!E88+Einstein!E88+Jamba!E88+'Pollo Tropical'!E88+'Subway GC'!E88+'Sushi Maki'!E88+Panda!E88+'Starbucks Mango'!E88+'Taco Bell'!E88+'Chick-fil-A'!E88+Dunkin!E88+Chipotle!E88+Sergios!E88+'Moes PG5'!E88+'Papa Johns'!E88+Salad!E88+'Half Moon &amp; Trop Smoothie'!E88+'Athletic Concessions -Kitchen'!E88+'Starbucks BBC'!E88+'Moes BBC'!E88+'Grille Works BBC &amp; Shipping'!E88+'Subway BBC'!E88+'Market Pavillion'!E88+'Chic Fil A BBC'!E88+Panera!E88+'Heritage Market'!E88</f>
        <v>94470.487500000003</v>
      </c>
      <c r="F88" s="80">
        <f t="shared" si="31"/>
        <v>5.0223408485176356E-3</v>
      </c>
      <c r="G88" s="134">
        <f>'POD Breezeway'!G88+'Express GL'!G88+'Starbucks GL-SBX Truck'!G88+'Miro''s'!G88+'Faculty Club'!G88+'Almazar &amp; Brand X'!G88+'Burger King'!G88+Bustelo!G88+Chilis!G88+Einstein!G88+Jamba!G88+'Pollo Tropical'!G88+'Subway GC'!G88+'Sushi Maki'!G88+Panda!G88+'Starbucks Mango'!G88+'Taco Bell'!G88+'Chick-fil-A'!G88+Dunkin!G88+Chipotle!G88+Sergios!G88+'Moes PG5'!G88+'Papa Johns'!G88+Salad!G88+'Half Moon &amp; Trop Smoothie'!G88+'Athletic Concessions -Kitchen'!G88+'Starbucks BBC'!G88+'Moes BBC'!G88+'Grille Works BBC &amp; Shipping'!G88+'Subway BBC'!G88+'Market Pavillion'!G88+'Chic Fil A BBC'!G88+Panera!G88+'Heritage Market'!G88</f>
        <v>103984.87665000002</v>
      </c>
      <c r="H88" s="80">
        <f t="shared" si="32"/>
        <v>5.0385500363935559E-3</v>
      </c>
      <c r="I88" s="134">
        <f>'POD Breezeway'!I88+'Express GL'!I88+'Starbucks GL-SBX Truck'!I88+'Miro''s'!I88+'Faculty Club'!I88+'Almazar &amp; Brand X'!I88+'Burger King'!I88+Bustelo!I88+Chilis!I88+Einstein!I88+Jamba!I88+'Pollo Tropical'!I88+'Subway GC'!I88+'Sushi Maki'!I88+Panda!I88+'Starbucks Mango'!I88+'Taco Bell'!I88+'Chick-fil-A'!I88+Dunkin!I88+Chipotle!I88+Sergios!I88+'Moes PG5'!I88+'Papa Johns'!I88+Salad!I88+'Half Moon &amp; Trop Smoothie'!I88+'Athletic Concessions -Kitchen'!I88+'Starbucks BBC'!I88+'Moes BBC'!I88+'Grille Works BBC &amp; Shipping'!I88+'Subway BBC'!I88+'Market Pavillion'!I88+'Chic Fil A BBC'!I88+Panera!I88+'Heritage Market'!I88</f>
        <v>107941.66549245002</v>
      </c>
      <c r="J88" s="80">
        <f t="shared" si="33"/>
        <v>5.0396059887447189E-3</v>
      </c>
      <c r="K88" s="134">
        <f>'POD Breezeway'!K88+'Express GL'!K88+'Starbucks GL-SBX Truck'!K88+'Miro''s'!K88+'Faculty Club'!K88+'Almazar &amp; Brand X'!K88+'Burger King'!K88+Bustelo!K88+Chilis!K88+Einstein!K88+Jamba!K88+'Pollo Tropical'!K88+'Subway GC'!K88+'Sushi Maki'!K88+Panda!K88+'Starbucks Mango'!K88+'Taco Bell'!K88+'Chick-fil-A'!K88+Dunkin!K88+Chipotle!K88+Sergios!K88+'Moes PG5'!K88+'Papa Johns'!K88+Salad!K88+'Half Moon &amp; Trop Smoothie'!K88+'Athletic Concessions -Kitchen'!K88+'Starbucks BBC'!K88+'Moes BBC'!K88+'Grille Works BBC &amp; Shipping'!K88+'Subway BBC'!K88+'Market Pavillion'!K88+'Chic Fil A BBC'!K88+Panera!K88+'Heritage Market'!K88</f>
        <v>111220.04860774352</v>
      </c>
      <c r="L88" s="80">
        <f t="shared" si="34"/>
        <v>5.040206792160354E-3</v>
      </c>
      <c r="M88" s="134">
        <f>'POD Breezeway'!M88+'Express GL'!M88+'Starbucks GL-SBX Truck'!M88+'Miro''s'!M88+'Faculty Club'!M88+'Almazar &amp; Brand X'!M88+'Burger King'!M88+Bustelo!M88+Chilis!M88+Einstein!M88+Jamba!M88+'Pollo Tropical'!M88+'Subway GC'!M88+'Sushi Maki'!M88+Panda!M88+'Starbucks Mango'!M88+'Taco Bell'!M88+'Chick-fil-A'!M88+Dunkin!M88+Chipotle!M88+Sergios!M88+'Moes PG5'!M88+'Papa Johns'!M88+Salad!M88+'Half Moon &amp; Trop Smoothie'!M88+'Athletic Concessions -Kitchen'!M88+'Starbucks BBC'!M88+'Moes BBC'!M88+'Grille Works BBC &amp; Shipping'!M88+'Subway BBC'!M88+'Market Pavillion'!M88+'Chic Fil A BBC'!M88+Panera!M88+'Heritage Market'!M88</f>
        <v>114640.83281325956</v>
      </c>
      <c r="N88" s="80">
        <f t="shared" si="35"/>
        <v>5.0408235492615215E-3</v>
      </c>
      <c r="O88" s="134">
        <f>'POD Breezeway'!O88+'Express GL'!O88+'Starbucks GL-SBX Truck'!O88+'Miro''s'!O88+'Faculty Club'!O88+'Almazar &amp; Brand X'!O88+'Burger King'!O88+Bustelo!O88+Chilis!O88+Einstein!O88+Jamba!O88+'Pollo Tropical'!O88+'Subway GC'!O88+'Sushi Maki'!O88+Panda!O88+'Starbucks Mango'!O88+'Taco Bell'!O88+'Chick-fil-A'!O88+Dunkin!O88+Chipotle!O88+Sergios!O88+'Moes PG5'!O88+'Papa Johns'!O88+Salad!O88+'Half Moon &amp; Trop Smoothie'!O88+'Athletic Concessions -Kitchen'!O88+'Starbucks BBC'!O88+'Moes BBC'!O88+'Grille Works BBC &amp; Shipping'!O88+'Subway BBC'!O88+'Market Pavillion'!O88+'Chic Fil A BBC'!O88+Panera!O88+'Heritage Market'!O88</f>
        <v>118259.02616858773</v>
      </c>
      <c r="P88" s="80">
        <f t="shared" si="36"/>
        <v>5.0414791534901075E-3</v>
      </c>
      <c r="Q88" s="134">
        <f>'POD Breezeway'!Q88+'Express GL'!Q88+'Starbucks GL-SBX Truck'!Q88+'Miro''s'!Q88+'Faculty Club'!Q88+'Almazar &amp; Brand X'!Q88+'Burger King'!Q88+Bustelo!Q88+Chilis!Q88+Einstein!Q88+Jamba!Q88+'Pollo Tropical'!Q88+'Subway GC'!Q88+'Sushi Maki'!Q88+Panda!Q88+'Starbucks Mango'!Q88+'Taco Bell'!Q88+'Chick-fil-A'!Q88+Dunkin!Q88+Chipotle!Q88+Sergios!Q88+'Moes PG5'!Q88+'Papa Johns'!Q88+Salad!Q88+'Half Moon &amp; Trop Smoothie'!Q88+'Athletic Concessions -Kitchen'!Q88+'Starbucks BBC'!Q88+'Moes BBC'!Q88+'Grille Works BBC &amp; Shipping'!Q88+'Subway BBC'!Q88+'Market Pavillion'!Q88+'Chic Fil A BBC'!Q88+Panera!Q88+'Heritage Market'!Q88</f>
        <v>122052.38489444274</v>
      </c>
      <c r="R88" s="80">
        <f t="shared" si="37"/>
        <v>5.0421561600019656E-3</v>
      </c>
      <c r="S88" s="134">
        <f>'POD Breezeway'!S88+'Express GL'!S88+'Starbucks GL-SBX Truck'!S88+'Miro''s'!S88+'Faculty Club'!S88+'Almazar &amp; Brand X'!S88+'Burger King'!S88+Bustelo!S88+Chilis!S88+Einstein!S88+Jamba!S88+'Pollo Tropical'!S88+'Subway GC'!S88+'Sushi Maki'!S88+Panda!S88+'Starbucks Mango'!S88+'Taco Bell'!S88+'Chick-fil-A'!S88+Dunkin!S88+Chipotle!S88+Sergios!S88+'Moes PG5'!S88+'Papa Johns'!S88+Salad!S88+'Half Moon &amp; Trop Smoothie'!S88+'Athletic Concessions -Kitchen'!S88+'Starbucks BBC'!S88+'Moes BBC'!S88+'Grille Works BBC &amp; Shipping'!S88+'Subway BBC'!S88+'Market Pavillion'!S88+'Chic Fil A BBC'!S88+Panera!S88+'Heritage Market'!S88</f>
        <v>125999.30617630882</v>
      </c>
      <c r="T88" s="80">
        <f t="shared" si="38"/>
        <v>5.0428397291718084E-3</v>
      </c>
      <c r="U88" s="134">
        <f>'POD Breezeway'!U88+'Express GL'!U88+'Starbucks GL-SBX Truck'!U88+'Miro''s'!U88+'Faculty Club'!U88+'Almazar &amp; Brand X'!U88+'Burger King'!U88+Bustelo!U88+Chilis!U88+Einstein!U88+Jamba!U88+'Pollo Tropical'!U88+'Subway GC'!U88+'Sushi Maki'!U88+Panda!U88+'Starbucks Mango'!U88+'Taco Bell'!U88+'Chick-fil-A'!U88+Dunkin!U88+Chipotle!U88+Sergios!U88+'Moes PG5'!U88+'Papa Johns'!U88+Salad!U88+'Half Moon &amp; Trop Smoothie'!U88+'Athletic Concessions -Kitchen'!U88+'Starbucks BBC'!U88+'Moes BBC'!U88+'Grille Works BBC &amp; Shipping'!U88+'Subway BBC'!U88+'Market Pavillion'!U88+'Chic Fil A BBC'!U88+Panera!U88+'Heritage Market'!U88</f>
        <v>130101.46895698078</v>
      </c>
      <c r="V88" s="80">
        <f t="shared" si="29"/>
        <v>5.0435271635364456E-3</v>
      </c>
    </row>
    <row r="89" spans="1:22" ht="12.75" customHeight="1">
      <c r="A89" s="2" t="s">
        <v>433</v>
      </c>
      <c r="B89" s="35"/>
      <c r="C89" s="134">
        <f>'POD Breezeway'!C89+'Express GL'!C89+'Starbucks GL-SBX Truck'!C89+'Miro''s'!C89+'Faculty Club'!C89+'Almazar &amp; Brand X'!C89+'Burger King'!C89+Bustelo!C89+Chilis!C89+Einstein!C89+Jamba!C89+'Pollo Tropical'!C89+'Subway GC'!C89+'Sushi Maki'!C89+Panda!C89+'Starbucks Mango'!C89+'Taco Bell'!C89+'Chick-fil-A'!C89+Dunkin!C89+Chipotle!C89+Sergios!C89+'Moes PG5'!C89+'Papa Johns'!C89+Salad!C89+'Half Moon &amp; Trop Smoothie'!C89+'Athletic Concessions -Kitchen'!C89+'Starbucks BBC'!C89+'Moes BBC'!C89+'Grille Works BBC &amp; Shipping'!C89+'Subway BBC'!C89+'Market Pavillion'!C89+'Chic Fil A BBC'!C89+Panera!C89+'Heritage Market'!C89</f>
        <v>0</v>
      </c>
      <c r="D89" s="80">
        <f t="shared" si="30"/>
        <v>0</v>
      </c>
      <c r="E89" s="134">
        <f>'POD Breezeway'!E89+'Express GL'!E89+'Starbucks GL-SBX Truck'!E89+'Miro''s'!E89+'Faculty Club'!E89+'Almazar &amp; Brand X'!E89+'Burger King'!E89+Bustelo!E89+Chilis!E89+Einstein!E89+Jamba!E89+'Pollo Tropical'!E89+'Subway GC'!E89+'Sushi Maki'!E89+Panda!E89+'Starbucks Mango'!E89+'Taco Bell'!E89+'Chick-fil-A'!E89+Dunkin!E89+Chipotle!E89+Sergios!E89+'Moes PG5'!E89+'Papa Johns'!E89+Salad!E89+'Half Moon &amp; Trop Smoothie'!E89+'Athletic Concessions -Kitchen'!E89+'Starbucks BBC'!E89+'Moes BBC'!E89+'Grille Works BBC &amp; Shipping'!E89+'Subway BBC'!E89+'Market Pavillion'!E89+'Chic Fil A BBC'!E89+Panera!E89+'Heritage Market'!E89</f>
        <v>0</v>
      </c>
      <c r="F89" s="80">
        <f t="shared" si="31"/>
        <v>0</v>
      </c>
      <c r="G89" s="134">
        <f>'POD Breezeway'!G89+'Express GL'!G89+'Starbucks GL-SBX Truck'!G89+'Miro''s'!G89+'Faculty Club'!G89+'Almazar &amp; Brand X'!G89+'Burger King'!G89+Bustelo!G89+Chilis!G89+Einstein!G89+Jamba!G89+'Pollo Tropical'!G89+'Subway GC'!G89+'Sushi Maki'!G89+Panda!G89+'Starbucks Mango'!G89+'Taco Bell'!G89+'Chick-fil-A'!G89+Dunkin!G89+Chipotle!G89+Sergios!G89+'Moes PG5'!G89+'Papa Johns'!G89+Salad!G89+'Half Moon &amp; Trop Smoothie'!G89+'Athletic Concessions -Kitchen'!G89+'Starbucks BBC'!G89+'Moes BBC'!G89+'Grille Works BBC &amp; Shipping'!G89+'Subway BBC'!G89+'Market Pavillion'!G89+'Chic Fil A BBC'!G89+Panera!G89+'Heritage Market'!G89</f>
        <v>0</v>
      </c>
      <c r="H89" s="80">
        <f t="shared" si="32"/>
        <v>0</v>
      </c>
      <c r="I89" s="134">
        <f>'POD Breezeway'!I89+'Express GL'!I89+'Starbucks GL-SBX Truck'!I89+'Miro''s'!I89+'Faculty Club'!I89+'Almazar &amp; Brand X'!I89+'Burger King'!I89+Bustelo!I89+Chilis!I89+Einstein!I89+Jamba!I89+'Pollo Tropical'!I89+'Subway GC'!I89+'Sushi Maki'!I89+Panda!I89+'Starbucks Mango'!I89+'Taco Bell'!I89+'Chick-fil-A'!I89+Dunkin!I89+Chipotle!I89+Sergios!I89+'Moes PG5'!I89+'Papa Johns'!I89+Salad!I89+'Half Moon &amp; Trop Smoothie'!I89+'Athletic Concessions -Kitchen'!I89+'Starbucks BBC'!I89+'Moes BBC'!I89+'Grille Works BBC &amp; Shipping'!I89+'Subway BBC'!I89+'Market Pavillion'!I89+'Chic Fil A BBC'!I89+Panera!I89+'Heritage Market'!I89</f>
        <v>0</v>
      </c>
      <c r="J89" s="80">
        <f t="shared" si="33"/>
        <v>0</v>
      </c>
      <c r="K89" s="134">
        <f>'POD Breezeway'!K89+'Express GL'!K89+'Starbucks GL-SBX Truck'!K89+'Miro''s'!K89+'Faculty Club'!K89+'Almazar &amp; Brand X'!K89+'Burger King'!K89+Bustelo!K89+Chilis!K89+Einstein!K89+Jamba!K89+'Pollo Tropical'!K89+'Subway GC'!K89+'Sushi Maki'!K89+Panda!K89+'Starbucks Mango'!K89+'Taco Bell'!K89+'Chick-fil-A'!K89+Dunkin!K89+Chipotle!K89+Sergios!K89+'Moes PG5'!K89+'Papa Johns'!K89+Salad!K89+'Half Moon &amp; Trop Smoothie'!K89+'Athletic Concessions -Kitchen'!K89+'Starbucks BBC'!K89+'Moes BBC'!K89+'Grille Works BBC &amp; Shipping'!K89+'Subway BBC'!K89+'Market Pavillion'!K89+'Chic Fil A BBC'!K89+Panera!K89+'Heritage Market'!K89</f>
        <v>0</v>
      </c>
      <c r="L89" s="80">
        <f t="shared" si="34"/>
        <v>0</v>
      </c>
      <c r="M89" s="134">
        <f>'POD Breezeway'!M89+'Express GL'!M89+'Starbucks GL-SBX Truck'!M89+'Miro''s'!M89+'Faculty Club'!M89+'Almazar &amp; Brand X'!M89+'Burger King'!M89+Bustelo!M89+Chilis!M89+Einstein!M89+Jamba!M89+'Pollo Tropical'!M89+'Subway GC'!M89+'Sushi Maki'!M89+Panda!M89+'Starbucks Mango'!M89+'Taco Bell'!M89+'Chick-fil-A'!M89+Dunkin!M89+Chipotle!M89+Sergios!M89+'Moes PG5'!M89+'Papa Johns'!M89+Salad!M89+'Half Moon &amp; Trop Smoothie'!M89+'Athletic Concessions -Kitchen'!M89+'Starbucks BBC'!M89+'Moes BBC'!M89+'Grille Works BBC &amp; Shipping'!M89+'Subway BBC'!M89+'Market Pavillion'!M89+'Chic Fil A BBC'!M89+Panera!M89+'Heritage Market'!M89</f>
        <v>0</v>
      </c>
      <c r="N89" s="80">
        <f t="shared" si="35"/>
        <v>0</v>
      </c>
      <c r="O89" s="134">
        <f>'POD Breezeway'!O89+'Express GL'!O89+'Starbucks GL-SBX Truck'!O89+'Miro''s'!O89+'Faculty Club'!O89+'Almazar &amp; Brand X'!O89+'Burger King'!O89+Bustelo!O89+Chilis!O89+Einstein!O89+Jamba!O89+'Pollo Tropical'!O89+'Subway GC'!O89+'Sushi Maki'!O89+Panda!O89+'Starbucks Mango'!O89+'Taco Bell'!O89+'Chick-fil-A'!O89+Dunkin!O89+Chipotle!O89+Sergios!O89+'Moes PG5'!O89+'Papa Johns'!O89+Salad!O89+'Half Moon &amp; Trop Smoothie'!O89+'Athletic Concessions -Kitchen'!O89+'Starbucks BBC'!O89+'Moes BBC'!O89+'Grille Works BBC &amp; Shipping'!O89+'Subway BBC'!O89+'Market Pavillion'!O89+'Chic Fil A BBC'!O89+Panera!O89+'Heritage Market'!O89</f>
        <v>0</v>
      </c>
      <c r="P89" s="80">
        <f t="shared" si="36"/>
        <v>0</v>
      </c>
      <c r="Q89" s="134">
        <f>'POD Breezeway'!Q89+'Express GL'!Q89+'Starbucks GL-SBX Truck'!Q89+'Miro''s'!Q89+'Faculty Club'!Q89+'Almazar &amp; Brand X'!Q89+'Burger King'!Q89+Bustelo!Q89+Chilis!Q89+Einstein!Q89+Jamba!Q89+'Pollo Tropical'!Q89+'Subway GC'!Q89+'Sushi Maki'!Q89+Panda!Q89+'Starbucks Mango'!Q89+'Taco Bell'!Q89+'Chick-fil-A'!Q89+Dunkin!Q89+Chipotle!Q89+Sergios!Q89+'Moes PG5'!Q89+'Papa Johns'!Q89+Salad!Q89+'Half Moon &amp; Trop Smoothie'!Q89+'Athletic Concessions -Kitchen'!Q89+'Starbucks BBC'!Q89+'Moes BBC'!Q89+'Grille Works BBC &amp; Shipping'!Q89+'Subway BBC'!Q89+'Market Pavillion'!Q89+'Chic Fil A BBC'!Q89+Panera!Q89+'Heritage Market'!Q89</f>
        <v>0</v>
      </c>
      <c r="R89" s="80">
        <f t="shared" si="37"/>
        <v>0</v>
      </c>
      <c r="S89" s="134">
        <f>'POD Breezeway'!S89+'Express GL'!S89+'Starbucks GL-SBX Truck'!S89+'Miro''s'!S89+'Faculty Club'!S89+'Almazar &amp; Brand X'!S89+'Burger King'!S89+Bustelo!S89+Chilis!S89+Einstein!S89+Jamba!S89+'Pollo Tropical'!S89+'Subway GC'!S89+'Sushi Maki'!S89+Panda!S89+'Starbucks Mango'!S89+'Taco Bell'!S89+'Chick-fil-A'!S89+Dunkin!S89+Chipotle!S89+Sergios!S89+'Moes PG5'!S89+'Papa Johns'!S89+Salad!S89+'Half Moon &amp; Trop Smoothie'!S89+'Athletic Concessions -Kitchen'!S89+'Starbucks BBC'!S89+'Moes BBC'!S89+'Grille Works BBC &amp; Shipping'!S89+'Subway BBC'!S89+'Market Pavillion'!S89+'Chic Fil A BBC'!S89+Panera!S89+'Heritage Market'!S89</f>
        <v>0</v>
      </c>
      <c r="T89" s="80">
        <f t="shared" si="38"/>
        <v>0</v>
      </c>
      <c r="U89" s="134">
        <f>'POD Breezeway'!U89+'Express GL'!U89+'Starbucks GL-SBX Truck'!U89+'Miro''s'!U89+'Faculty Club'!U89+'Almazar &amp; Brand X'!U89+'Burger King'!U89+Bustelo!U89+Chilis!U89+Einstein!U89+Jamba!U89+'Pollo Tropical'!U89+'Subway GC'!U89+'Sushi Maki'!U89+Panda!U89+'Starbucks Mango'!U89+'Taco Bell'!U89+'Chick-fil-A'!U89+Dunkin!U89+Chipotle!U89+Sergios!U89+'Moes PG5'!U89+'Papa Johns'!U89+Salad!U89+'Half Moon &amp; Trop Smoothie'!U89+'Athletic Concessions -Kitchen'!U89+'Starbucks BBC'!U89+'Moes BBC'!U89+'Grille Works BBC &amp; Shipping'!U89+'Subway BBC'!U89+'Market Pavillion'!U89+'Chic Fil A BBC'!U89+Panera!U89+'Heritage Market'!U89</f>
        <v>0</v>
      </c>
      <c r="V89" s="80">
        <f t="shared" si="29"/>
        <v>0</v>
      </c>
    </row>
    <row r="90" spans="1:22" ht="12.75" customHeight="1">
      <c r="A90" s="214" t="s">
        <v>434</v>
      </c>
      <c r="B90" s="215"/>
      <c r="C90" s="134">
        <f>'POD Breezeway'!C90+'Express GL'!C90+'Starbucks GL-SBX Truck'!C90+'Miro''s'!C90+'Faculty Club'!C90+'Almazar &amp; Brand X'!C90+'Burger King'!C90+Bustelo!C90+Chilis!C90+Einstein!C90+Jamba!C90+'Pollo Tropical'!C90+'Subway GC'!C90+'Sushi Maki'!C90+Panda!C90+'Starbucks Mango'!C90+'Taco Bell'!C90+'Chick-fil-A'!C90+Dunkin!C90+Chipotle!C90+Sergios!C90+'Moes PG5'!C90+'Papa Johns'!C90+Salad!C90+'Half Moon &amp; Trop Smoothie'!C90+'Athletic Concessions -Kitchen'!C90+'Starbucks BBC'!C90+'Moes BBC'!C90+'Grille Works BBC &amp; Shipping'!C90+'Subway BBC'!C90+'Market Pavillion'!C90+'Chic Fil A BBC'!C90+Panera!C90+'Heritage Market'!C90</f>
        <v>3115.0598759999993</v>
      </c>
      <c r="D90" s="80">
        <f t="shared" si="30"/>
        <v>1.9651391643989426E-4</v>
      </c>
      <c r="E90" s="134">
        <f>'POD Breezeway'!E90+'Express GL'!E90+'Starbucks GL-SBX Truck'!E90+'Miro''s'!E90+'Faculty Club'!E90+'Almazar &amp; Brand X'!E90+'Burger King'!E90+Bustelo!E90+Chilis!E90+Einstein!E90+Jamba!E90+'Pollo Tropical'!E90+'Subway GC'!E90+'Sushi Maki'!E90+Panda!E90+'Starbucks Mango'!E90+'Taco Bell'!E90+'Chick-fil-A'!E90+Dunkin!E90+Chipotle!E90+Sergios!E90+'Moes PG5'!E90+'Papa Johns'!E90+Salad!E90+'Half Moon &amp; Trop Smoothie'!E90+'Athletic Concessions -Kitchen'!E90+'Starbucks BBC'!E90+'Moes BBC'!E90+'Grille Works BBC &amp; Shipping'!E90+'Subway BBC'!E90+'Market Pavillion'!E90+'Chic Fil A BBC'!E90+Panera!E90+'Heritage Market'!E90</f>
        <v>3704.7250000000004</v>
      </c>
      <c r="F90" s="80">
        <f t="shared" si="31"/>
        <v>1.9695454307912298E-4</v>
      </c>
      <c r="G90" s="134">
        <f>'POD Breezeway'!G90+'Express GL'!G90+'Starbucks GL-SBX Truck'!G90+'Miro''s'!G90+'Faculty Club'!G90+'Almazar &amp; Brand X'!G90+'Burger King'!G90+Bustelo!G90+Chilis!G90+Einstein!G90+Jamba!G90+'Pollo Tropical'!G90+'Subway GC'!G90+'Sushi Maki'!G90+Panda!G90+'Starbucks Mango'!G90+'Taco Bell'!G90+'Chick-fil-A'!G90+Dunkin!G90+Chipotle!G90+Sergios!G90+'Moes PG5'!G90+'Papa Johns'!G90+Salad!G90+'Half Moon &amp; Trop Smoothie'!G90+'Athletic Concessions -Kitchen'!G90+'Starbucks BBC'!G90+'Moes BBC'!G90+'Grille Works BBC &amp; Shipping'!G90+'Subway BBC'!G90+'Market Pavillion'!G90+'Chic Fil A BBC'!G90+Panera!G90+'Heritage Market'!G90</f>
        <v>4077.8383000000008</v>
      </c>
      <c r="H90" s="80">
        <f t="shared" si="32"/>
        <v>1.9759019750562965E-4</v>
      </c>
      <c r="I90" s="134">
        <f>'POD Breezeway'!I90+'Express GL'!I90+'Starbucks GL-SBX Truck'!I90+'Miro''s'!I90+'Faculty Club'!I90+'Almazar &amp; Brand X'!I90+'Burger King'!I90+Bustelo!I90+Chilis!I90+Einstein!I90+Jamba!I90+'Pollo Tropical'!I90+'Subway GC'!I90+'Sushi Maki'!I90+Panda!I90+'Starbucks Mango'!I90+'Taco Bell'!I90+'Chick-fil-A'!I90+Dunkin!I90+Chipotle!I90+Sergios!I90+'Moes PG5'!I90+'Papa Johns'!I90+Salad!I90+'Half Moon &amp; Trop Smoothie'!I90+'Athletic Concessions -Kitchen'!I90+'Starbucks BBC'!I90+'Moes BBC'!I90+'Grille Works BBC &amp; Shipping'!I90+'Subway BBC'!I90+'Market Pavillion'!I90+'Chic Fil A BBC'!I90+Panera!I90+'Heritage Market'!I90</f>
        <v>4233.0064898999999</v>
      </c>
      <c r="J90" s="80">
        <f t="shared" si="33"/>
        <v>1.9763160740175366E-4</v>
      </c>
      <c r="K90" s="134">
        <f>'POD Breezeway'!K90+'Express GL'!K90+'Starbucks GL-SBX Truck'!K90+'Miro''s'!K90+'Faculty Club'!K90+'Almazar &amp; Brand X'!K90+'Burger King'!K90+Bustelo!K90+Chilis!K90+Einstein!K90+Jamba!K90+'Pollo Tropical'!K90+'Subway GC'!K90+'Sushi Maki'!K90+Panda!K90+'Starbucks Mango'!K90+'Taco Bell'!K90+'Chick-fil-A'!K90+Dunkin!K90+Chipotle!K90+Sergios!K90+'Moes PG5'!K90+'Papa Johns'!K90+Salad!K90+'Half Moon &amp; Trop Smoothie'!K90+'Athletic Concessions -Kitchen'!K90+'Starbucks BBC'!K90+'Moes BBC'!K90+'Grille Works BBC &amp; Shipping'!K90+'Subway BBC'!K90+'Market Pavillion'!K90+'Chic Fil A BBC'!K90+Panera!K90+'Heritage Market'!K90</f>
        <v>4361.5705336370002</v>
      </c>
      <c r="L90" s="80">
        <f t="shared" si="34"/>
        <v>1.9765516832001386E-4</v>
      </c>
      <c r="M90" s="134">
        <f>'POD Breezeway'!M90+'Express GL'!M90+'Starbucks GL-SBX Truck'!M90+'Miro''s'!M90+'Faculty Club'!M90+'Almazar &amp; Brand X'!M90+'Burger King'!M90+Bustelo!M90+Chilis!M90+Einstein!M90+Jamba!M90+'Pollo Tropical'!M90+'Subway GC'!M90+'Sushi Maki'!M90+Panda!M90+'Starbucks Mango'!M90+'Taco Bell'!M90+'Chick-fil-A'!M90+Dunkin!M90+Chipotle!M90+Sergios!M90+'Moes PG5'!M90+'Papa Johns'!M90+Salad!M90+'Half Moon &amp; Trop Smoothie'!M90+'Athletic Concessions -Kitchen'!M90+'Starbucks BBC'!M90+'Moes BBC'!M90+'Grille Works BBC &amp; Shipping'!M90+'Subway BBC'!M90+'Market Pavillion'!M90+'Chic Fil A BBC'!M90+Panera!M90+'Heritage Market'!M90</f>
        <v>4495.7189338533162</v>
      </c>
      <c r="N90" s="80">
        <f t="shared" si="35"/>
        <v>1.9767935487300083E-4</v>
      </c>
      <c r="O90" s="134">
        <f>'POD Breezeway'!O90+'Express GL'!O90+'Starbucks GL-SBX Truck'!O90+'Miro''s'!O90+'Faculty Club'!O90+'Almazar &amp; Brand X'!O90+'Burger King'!O90+Bustelo!O90+Chilis!O90+Einstein!O90+Jamba!O90+'Pollo Tropical'!O90+'Subway GC'!O90+'Sushi Maki'!O90+Panda!O90+'Starbucks Mango'!O90+'Taco Bell'!O90+'Chick-fil-A'!O90+Dunkin!O90+Chipotle!O90+Sergios!O90+'Moes PG5'!O90+'Papa Johns'!O90+Salad!O90+'Half Moon &amp; Trop Smoothie'!O90+'Athletic Concessions -Kitchen'!O90+'Starbucks BBC'!O90+'Moes BBC'!O90+'Grille Works BBC &amp; Shipping'!O90+'Subway BBC'!O90+'Market Pavillion'!O90+'Chic Fil A BBC'!O90+Panera!O90+'Heritage Market'!O90</f>
        <v>4637.6088693563806</v>
      </c>
      <c r="P90" s="80">
        <f t="shared" si="36"/>
        <v>1.9770506484274926E-4</v>
      </c>
      <c r="Q90" s="134">
        <f>'POD Breezeway'!Q90+'Express GL'!Q90+'Starbucks GL-SBX Truck'!Q90+'Miro''s'!Q90+'Faculty Club'!Q90+'Almazar &amp; Brand X'!Q90+'Burger King'!Q90+Bustelo!Q90+Chilis!Q90+Einstein!Q90+Jamba!Q90+'Pollo Tropical'!Q90+'Subway GC'!Q90+'Sushi Maki'!Q90+Panda!Q90+'Starbucks Mango'!Q90+'Taco Bell'!Q90+'Chick-fil-A'!Q90+Dunkin!Q90+Chipotle!Q90+Sergios!Q90+'Moes PG5'!Q90+'Papa Johns'!Q90+Salad!Q90+'Half Moon &amp; Trop Smoothie'!Q90+'Athletic Concessions -Kitchen'!Q90+'Starbucks BBC'!Q90+'Moes BBC'!Q90+'Grille Works BBC &amp; Shipping'!Q90+'Subway BBC'!Q90+'Market Pavillion'!Q90+'Chic Fil A BBC'!Q90+Panera!Q90+'Heritage Market'!Q90</f>
        <v>4786.368035076187</v>
      </c>
      <c r="R90" s="80">
        <f t="shared" si="37"/>
        <v>1.9773161411772418E-4</v>
      </c>
      <c r="S90" s="134">
        <f>'POD Breezeway'!S90+'Express GL'!S90+'Starbucks GL-SBX Truck'!S90+'Miro''s'!S90+'Faculty Club'!S90+'Almazar &amp; Brand X'!S90+'Burger King'!S90+Bustelo!S90+Chilis!S90+Einstein!S90+Jamba!S90+'Pollo Tropical'!S90+'Subway GC'!S90+'Sushi Maki'!S90+Panda!S90+'Starbucks Mango'!S90+'Taco Bell'!S90+'Chick-fil-A'!S90+Dunkin!S90+Chipotle!S90+Sergios!S90+'Moes PG5'!S90+'Papa Johns'!S90+Salad!S90+'Half Moon &amp; Trop Smoothie'!S90+'Athletic Concessions -Kitchen'!S90+'Starbucks BBC'!S90+'Moes BBC'!S90+'Grille Works BBC &amp; Shipping'!S90+'Subway BBC'!S90+'Market Pavillion'!S90+'Chic Fil A BBC'!S90+Panera!S90+'Heritage Market'!S90</f>
        <v>4941.14926181603</v>
      </c>
      <c r="T90" s="80">
        <f t="shared" si="38"/>
        <v>1.9775842075183553E-4</v>
      </c>
      <c r="U90" s="134">
        <f>'POD Breezeway'!U90+'Express GL'!U90+'Starbucks GL-SBX Truck'!U90+'Miro''s'!U90+'Faculty Club'!U90+'Almazar &amp; Brand X'!U90+'Burger King'!U90+Bustelo!U90+Chilis!U90+Einstein!U90+Jamba!U90+'Pollo Tropical'!U90+'Subway GC'!U90+'Sushi Maki'!U90+Panda!U90+'Starbucks Mango'!U90+'Taco Bell'!U90+'Chick-fil-A'!U90+Dunkin!U90+Chipotle!U90+Sergios!U90+'Moes PG5'!U90+'Papa Johns'!U90+Salad!U90+'Half Moon &amp; Trop Smoothie'!U90+'Athletic Concessions -Kitchen'!U90+'Starbucks BBC'!U90+'Moes BBC'!U90+'Grille Works BBC &amp; Shipping'!U90+'Subway BBC'!U90+'Market Pavillion'!U90+'Chic Fil A BBC'!U90+Panera!U90+'Heritage Market'!U90</f>
        <v>5102.0183904698351</v>
      </c>
      <c r="V90" s="80">
        <f t="shared" si="29"/>
        <v>1.9778537896221357E-4</v>
      </c>
    </row>
    <row r="91" spans="1:22" ht="12.75" customHeight="1">
      <c r="A91" s="2" t="s">
        <v>435</v>
      </c>
      <c r="C91" s="134">
        <f>'POD Breezeway'!C91+'Express GL'!C91+'Starbucks GL-SBX Truck'!C91+'Miro''s'!C91+'Faculty Club'!C91+'Almazar &amp; Brand X'!C91+'Burger King'!C91+Bustelo!C91+Chilis!C91+Einstein!C91+Jamba!C91+'Pollo Tropical'!C91+'Subway GC'!C91+'Sushi Maki'!C91+Panda!C91+'Starbucks Mango'!C91+'Taco Bell'!C91+'Chick-fil-A'!C91+Dunkin!C91+Chipotle!C91+Sergios!C91+'Moes PG5'!C91+'Papa Johns'!C91+Salad!C91+'Half Moon &amp; Trop Smoothie'!C91+'Athletic Concessions -Kitchen'!C91+'Starbucks BBC'!C91+'Moes BBC'!C91+'Grille Works BBC &amp; Shipping'!C91+'Subway BBC'!C91+'Market Pavillion'!C91+'Chic Fil A BBC'!C91+Panera!C91+'Heritage Market'!C91</f>
        <v>0</v>
      </c>
      <c r="D91" s="80">
        <f t="shared" si="30"/>
        <v>0</v>
      </c>
      <c r="E91" s="134">
        <f>'POD Breezeway'!E91+'Express GL'!E91+'Starbucks GL-SBX Truck'!E91+'Miro''s'!E91+'Faculty Club'!E91+'Almazar &amp; Brand X'!E91+'Burger King'!E91+Bustelo!E91+Chilis!E91+Einstein!E91+Jamba!E91+'Pollo Tropical'!E91+'Subway GC'!E91+'Sushi Maki'!E91+Panda!E91+'Starbucks Mango'!E91+'Taco Bell'!E91+'Chick-fil-A'!E91+Dunkin!E91+Chipotle!E91+Sergios!E91+'Moes PG5'!E91+'Papa Johns'!E91+Salad!E91+'Half Moon &amp; Trop Smoothie'!E91+'Athletic Concessions -Kitchen'!E91+'Starbucks BBC'!E91+'Moes BBC'!E91+'Grille Works BBC &amp; Shipping'!E91+'Subway BBC'!E91+'Market Pavillion'!E91+'Chic Fil A BBC'!E91+Panera!E91+'Heritage Market'!E91</f>
        <v>0</v>
      </c>
      <c r="F91" s="80">
        <f t="shared" si="31"/>
        <v>0</v>
      </c>
      <c r="G91" s="134">
        <f>'POD Breezeway'!G91+'Express GL'!G91+'Starbucks GL-SBX Truck'!G91+'Miro''s'!G91+'Faculty Club'!G91+'Almazar &amp; Brand X'!G91+'Burger King'!G91+Bustelo!G91+Chilis!G91+Einstein!G91+Jamba!G91+'Pollo Tropical'!G91+'Subway GC'!G91+'Sushi Maki'!G91+Panda!G91+'Starbucks Mango'!G91+'Taco Bell'!G91+'Chick-fil-A'!G91+Dunkin!G91+Chipotle!G91+Sergios!G91+'Moes PG5'!G91+'Papa Johns'!G91+Salad!G91+'Half Moon &amp; Trop Smoothie'!G91+'Athletic Concessions -Kitchen'!G91+'Starbucks BBC'!G91+'Moes BBC'!G91+'Grille Works BBC &amp; Shipping'!G91+'Subway BBC'!G91+'Market Pavillion'!G91+'Chic Fil A BBC'!G91+Panera!G91+'Heritage Market'!G91</f>
        <v>0</v>
      </c>
      <c r="H91" s="80">
        <f t="shared" si="32"/>
        <v>0</v>
      </c>
      <c r="I91" s="134">
        <f>'POD Breezeway'!I91+'Express GL'!I91+'Starbucks GL-SBX Truck'!I91+'Miro''s'!I91+'Faculty Club'!I91+'Almazar &amp; Brand X'!I91+'Burger King'!I91+Bustelo!I91+Chilis!I91+Einstein!I91+Jamba!I91+'Pollo Tropical'!I91+'Subway GC'!I91+'Sushi Maki'!I91+Panda!I91+'Starbucks Mango'!I91+'Taco Bell'!I91+'Chick-fil-A'!I91+Dunkin!I91+Chipotle!I91+Sergios!I91+'Moes PG5'!I91+'Papa Johns'!I91+Salad!I91+'Half Moon &amp; Trop Smoothie'!I91+'Athletic Concessions -Kitchen'!I91+'Starbucks BBC'!I91+'Moes BBC'!I91+'Grille Works BBC &amp; Shipping'!I91+'Subway BBC'!I91+'Market Pavillion'!I91+'Chic Fil A BBC'!I91+Panera!I91+'Heritage Market'!I91</f>
        <v>0</v>
      </c>
      <c r="J91" s="80">
        <f t="shared" si="33"/>
        <v>0</v>
      </c>
      <c r="K91" s="134">
        <f>'POD Breezeway'!K91+'Express GL'!K91+'Starbucks GL-SBX Truck'!K91+'Miro''s'!K91+'Faculty Club'!K91+'Almazar &amp; Brand X'!K91+'Burger King'!K91+Bustelo!K91+Chilis!K91+Einstein!K91+Jamba!K91+'Pollo Tropical'!K91+'Subway GC'!K91+'Sushi Maki'!K91+Panda!K91+'Starbucks Mango'!K91+'Taco Bell'!K91+'Chick-fil-A'!K91+Dunkin!K91+Chipotle!K91+Sergios!K91+'Moes PG5'!K91+'Papa Johns'!K91+Salad!K91+'Half Moon &amp; Trop Smoothie'!K91+'Athletic Concessions -Kitchen'!K91+'Starbucks BBC'!K91+'Moes BBC'!K91+'Grille Works BBC &amp; Shipping'!K91+'Subway BBC'!K91+'Market Pavillion'!K91+'Chic Fil A BBC'!K91+Panera!K91+'Heritage Market'!K91</f>
        <v>0</v>
      </c>
      <c r="L91" s="80">
        <f t="shared" si="34"/>
        <v>0</v>
      </c>
      <c r="M91" s="134">
        <f>'POD Breezeway'!M91+'Express GL'!M91+'Starbucks GL-SBX Truck'!M91+'Miro''s'!M91+'Faculty Club'!M91+'Almazar &amp; Brand X'!M91+'Burger King'!M91+Bustelo!M91+Chilis!M91+Einstein!M91+Jamba!M91+'Pollo Tropical'!M91+'Subway GC'!M91+'Sushi Maki'!M91+Panda!M91+'Starbucks Mango'!M91+'Taco Bell'!M91+'Chick-fil-A'!M91+Dunkin!M91+Chipotle!M91+Sergios!M91+'Moes PG5'!M91+'Papa Johns'!M91+Salad!M91+'Half Moon &amp; Trop Smoothie'!M91+'Athletic Concessions -Kitchen'!M91+'Starbucks BBC'!M91+'Moes BBC'!M91+'Grille Works BBC &amp; Shipping'!M91+'Subway BBC'!M91+'Market Pavillion'!M91+'Chic Fil A BBC'!M91+Panera!M91+'Heritage Market'!M91</f>
        <v>0</v>
      </c>
      <c r="N91" s="80">
        <f t="shared" si="35"/>
        <v>0</v>
      </c>
      <c r="O91" s="134">
        <f>'POD Breezeway'!O91+'Express GL'!O91+'Starbucks GL-SBX Truck'!O91+'Miro''s'!O91+'Faculty Club'!O91+'Almazar &amp; Brand X'!O91+'Burger King'!O91+Bustelo!O91+Chilis!O91+Einstein!O91+Jamba!O91+'Pollo Tropical'!O91+'Subway GC'!O91+'Sushi Maki'!O91+Panda!O91+'Starbucks Mango'!O91+'Taco Bell'!O91+'Chick-fil-A'!O91+Dunkin!O91+Chipotle!O91+Sergios!O91+'Moes PG5'!O91+'Papa Johns'!O91+Salad!O91+'Half Moon &amp; Trop Smoothie'!O91+'Athletic Concessions -Kitchen'!O91+'Starbucks BBC'!O91+'Moes BBC'!O91+'Grille Works BBC &amp; Shipping'!O91+'Subway BBC'!O91+'Market Pavillion'!O91+'Chic Fil A BBC'!O91+Panera!O91+'Heritage Market'!O91</f>
        <v>0</v>
      </c>
      <c r="P91" s="80">
        <f t="shared" si="36"/>
        <v>0</v>
      </c>
      <c r="Q91" s="134">
        <f>'POD Breezeway'!Q91+'Express GL'!Q91+'Starbucks GL-SBX Truck'!Q91+'Miro''s'!Q91+'Faculty Club'!Q91+'Almazar &amp; Brand X'!Q91+'Burger King'!Q91+Bustelo!Q91+Chilis!Q91+Einstein!Q91+Jamba!Q91+'Pollo Tropical'!Q91+'Subway GC'!Q91+'Sushi Maki'!Q91+Panda!Q91+'Starbucks Mango'!Q91+'Taco Bell'!Q91+'Chick-fil-A'!Q91+Dunkin!Q91+Chipotle!Q91+Sergios!Q91+'Moes PG5'!Q91+'Papa Johns'!Q91+Salad!Q91+'Half Moon &amp; Trop Smoothie'!Q91+'Athletic Concessions -Kitchen'!Q91+'Starbucks BBC'!Q91+'Moes BBC'!Q91+'Grille Works BBC &amp; Shipping'!Q91+'Subway BBC'!Q91+'Market Pavillion'!Q91+'Chic Fil A BBC'!Q91+Panera!Q91+'Heritage Market'!Q91</f>
        <v>0</v>
      </c>
      <c r="R91" s="80">
        <f t="shared" si="37"/>
        <v>0</v>
      </c>
      <c r="S91" s="134">
        <f>'POD Breezeway'!S91+'Express GL'!S91+'Starbucks GL-SBX Truck'!S91+'Miro''s'!S91+'Faculty Club'!S91+'Almazar &amp; Brand X'!S91+'Burger King'!S91+Bustelo!S91+Chilis!S91+Einstein!S91+Jamba!S91+'Pollo Tropical'!S91+'Subway GC'!S91+'Sushi Maki'!S91+Panda!S91+'Starbucks Mango'!S91+'Taco Bell'!S91+'Chick-fil-A'!S91+Dunkin!S91+Chipotle!S91+Sergios!S91+'Moes PG5'!S91+'Papa Johns'!S91+Salad!S91+'Half Moon &amp; Trop Smoothie'!S91+'Athletic Concessions -Kitchen'!S91+'Starbucks BBC'!S91+'Moes BBC'!S91+'Grille Works BBC &amp; Shipping'!S91+'Subway BBC'!S91+'Market Pavillion'!S91+'Chic Fil A BBC'!S91+Panera!S91+'Heritage Market'!S91</f>
        <v>0</v>
      </c>
      <c r="T91" s="80">
        <f t="shared" si="38"/>
        <v>0</v>
      </c>
      <c r="U91" s="134">
        <f>'POD Breezeway'!U91+'Express GL'!U91+'Starbucks GL-SBX Truck'!U91+'Miro''s'!U91+'Faculty Club'!U91+'Almazar &amp; Brand X'!U91+'Burger King'!U91+Bustelo!U91+Chilis!U91+Einstein!U91+Jamba!U91+'Pollo Tropical'!U91+'Subway GC'!U91+'Sushi Maki'!U91+Panda!U91+'Starbucks Mango'!U91+'Taco Bell'!U91+'Chick-fil-A'!U91+Dunkin!U91+Chipotle!U91+Sergios!U91+'Moes PG5'!U91+'Papa Johns'!U91+Salad!U91+'Half Moon &amp; Trop Smoothie'!U91+'Athletic Concessions -Kitchen'!U91+'Starbucks BBC'!U91+'Moes BBC'!U91+'Grille Works BBC &amp; Shipping'!U91+'Subway BBC'!U91+'Market Pavillion'!U91+'Chic Fil A BBC'!U91+Panera!U91+'Heritage Market'!U91</f>
        <v>0</v>
      </c>
      <c r="V91" s="80">
        <f t="shared" si="29"/>
        <v>0</v>
      </c>
    </row>
    <row r="92" spans="1:22" ht="12.75" customHeight="1">
      <c r="A92" s="214" t="s">
        <v>436</v>
      </c>
      <c r="B92" s="215"/>
      <c r="C92" s="134">
        <f>'POD Breezeway'!C92+'Express GL'!C92+'Starbucks GL-SBX Truck'!C92+'Miro''s'!C92+'Faculty Club'!C92+'Almazar &amp; Brand X'!C92+'Burger King'!C92+Bustelo!C92+Chilis!C92+Einstein!C92+Jamba!C92+'Pollo Tropical'!C92+'Subway GC'!C92+'Sushi Maki'!C92+Panda!C92+'Starbucks Mango'!C92+'Taco Bell'!C92+'Chick-fil-A'!C92+Dunkin!C92+Chipotle!C92+Sergios!C92+'Moes PG5'!C92+'Papa Johns'!C92+Salad!C92+'Half Moon &amp; Trop Smoothie'!C92+'Athletic Concessions -Kitchen'!C92+'Starbucks BBC'!C92+'Moes BBC'!C92+'Grille Works BBC &amp; Shipping'!C92+'Subway BBC'!C92+'Market Pavillion'!C92+'Chic Fil A BBC'!C92+Panera!C92+'Heritage Market'!C92</f>
        <v>80991.556776000027</v>
      </c>
      <c r="D92" s="80">
        <f t="shared" si="30"/>
        <v>5.109361827437253E-3</v>
      </c>
      <c r="E92" s="134">
        <f>'POD Breezeway'!E92+'Express GL'!E92+'Starbucks GL-SBX Truck'!E92+'Miro''s'!E92+'Faculty Club'!E92+'Almazar &amp; Brand X'!E92+'Burger King'!E92+Bustelo!E92+Chilis!E92+Einstein!E92+Jamba!E92+'Pollo Tropical'!E92+'Subway GC'!E92+'Sushi Maki'!E92+Panda!E92+'Starbucks Mango'!E92+'Taco Bell'!E92+'Chick-fil-A'!E92+Dunkin!E92+Chipotle!E92+Sergios!E92+'Moes PG5'!E92+'Papa Johns'!E92+Salad!E92+'Half Moon &amp; Trop Smoothie'!E92+'Athletic Concessions -Kitchen'!E92+'Starbucks BBC'!E92+'Moes BBC'!E92+'Grille Works BBC &amp; Shipping'!E92+'Subway BBC'!E92+'Market Pavillion'!E92+'Chic Fil A BBC'!E92+Panera!E92+'Heritage Market'!E92</f>
        <v>96322.85</v>
      </c>
      <c r="F92" s="80">
        <f t="shared" si="31"/>
        <v>5.1208181200571978E-3</v>
      </c>
      <c r="G92" s="134">
        <f>'POD Breezeway'!G92+'Express GL'!G92+'Starbucks GL-SBX Truck'!G92+'Miro''s'!G92+'Faculty Club'!G92+'Almazar &amp; Brand X'!G92+'Burger King'!G92+Bustelo!G92+Chilis!G92+Einstein!G92+Jamba!G92+'Pollo Tropical'!G92+'Subway GC'!G92+'Sushi Maki'!G92+Panda!G92+'Starbucks Mango'!G92+'Taco Bell'!G92+'Chick-fil-A'!G92+Dunkin!G92+Chipotle!G92+Sergios!G92+'Moes PG5'!G92+'Papa Johns'!G92+Salad!G92+'Half Moon &amp; Trop Smoothie'!G92+'Athletic Concessions -Kitchen'!G92+'Starbucks BBC'!G92+'Moes BBC'!G92+'Grille Works BBC &amp; Shipping'!G92+'Subway BBC'!G92+'Market Pavillion'!G92+'Chic Fil A BBC'!G92+Panera!G92+'Heritage Market'!G92</f>
        <v>106023.79579999999</v>
      </c>
      <c r="H92" s="80">
        <f t="shared" si="32"/>
        <v>5.1373451351463695E-3</v>
      </c>
      <c r="I92" s="134">
        <f>'POD Breezeway'!I92+'Express GL'!I92+'Starbucks GL-SBX Truck'!I92+'Miro''s'!I92+'Faculty Club'!I92+'Almazar &amp; Brand X'!I92+'Burger King'!I92+Bustelo!I92+Chilis!I92+Einstein!I92+Jamba!I92+'Pollo Tropical'!I92+'Subway GC'!I92+'Sushi Maki'!I92+Panda!I92+'Starbucks Mango'!I92+'Taco Bell'!I92+'Chick-fil-A'!I92+Dunkin!I92+Chipotle!I92+Sergios!I92+'Moes PG5'!I92+'Papa Johns'!I92+Salad!I92+'Half Moon &amp; Trop Smoothie'!I92+'Athletic Concessions -Kitchen'!I92+'Starbucks BBC'!I92+'Moes BBC'!I92+'Grille Works BBC &amp; Shipping'!I92+'Subway BBC'!I92+'Market Pavillion'!I92+'Chic Fil A BBC'!I92+Panera!I92+'Heritage Market'!I92</f>
        <v>110058.1687374</v>
      </c>
      <c r="J92" s="80">
        <f t="shared" si="33"/>
        <v>5.138421792445595E-3</v>
      </c>
      <c r="K92" s="134">
        <f>'POD Breezeway'!K92+'Express GL'!K92+'Starbucks GL-SBX Truck'!K92+'Miro''s'!K92+'Faculty Club'!K92+'Almazar &amp; Brand X'!K92+'Burger King'!K92+Bustelo!K92+Chilis!K92+Einstein!K92+Jamba!K92+'Pollo Tropical'!K92+'Subway GC'!K92+'Sushi Maki'!K92+Panda!K92+'Starbucks Mango'!K92+'Taco Bell'!K92+'Chick-fil-A'!K92+Dunkin!K92+Chipotle!K92+Sergios!K92+'Moes PG5'!K92+'Papa Johns'!K92+Salad!K92+'Half Moon &amp; Trop Smoothie'!K92+'Athletic Concessions -Kitchen'!K92+'Starbucks BBC'!K92+'Moes BBC'!K92+'Grille Works BBC &amp; Shipping'!K92+'Subway BBC'!K92+'Market Pavillion'!K92+'Chic Fil A BBC'!K92+Panera!K92+'Heritage Market'!K92</f>
        <v>113400.833874562</v>
      </c>
      <c r="L92" s="80">
        <f t="shared" si="34"/>
        <v>5.1390343763203601E-3</v>
      </c>
      <c r="M92" s="134">
        <f>'POD Breezeway'!M92+'Express GL'!M92+'Starbucks GL-SBX Truck'!M92+'Miro''s'!M92+'Faculty Club'!M92+'Almazar &amp; Brand X'!M92+'Burger King'!M92+Bustelo!M92+Chilis!M92+Einstein!M92+Jamba!M92+'Pollo Tropical'!M92+'Subway GC'!M92+'Sushi Maki'!M92+Panda!M92+'Starbucks Mango'!M92+'Taco Bell'!M92+'Chick-fil-A'!M92+Dunkin!M92+Chipotle!M92+Sergios!M92+'Moes PG5'!M92+'Papa Johns'!M92+Salad!M92+'Half Moon &amp; Trop Smoothie'!M92+'Athletic Concessions -Kitchen'!M92+'Starbucks BBC'!M92+'Moes BBC'!M92+'Grille Works BBC &amp; Shipping'!M92+'Subway BBC'!M92+'Market Pavillion'!M92+'Chic Fil A BBC'!M92+Panera!M92+'Heritage Market'!M92</f>
        <v>116888.69228018622</v>
      </c>
      <c r="N92" s="80">
        <f t="shared" si="35"/>
        <v>5.1396632266980215E-3</v>
      </c>
      <c r="O92" s="134">
        <f>'POD Breezeway'!O92+'Express GL'!O92+'Starbucks GL-SBX Truck'!O92+'Miro''s'!O92+'Faculty Club'!O92+'Almazar &amp; Brand X'!O92+'Burger King'!O92+Bustelo!O92+Chilis!O92+Einstein!O92+Jamba!O92+'Pollo Tropical'!O92+'Subway GC'!O92+'Sushi Maki'!O92+Panda!O92+'Starbucks Mango'!O92+'Taco Bell'!O92+'Chick-fil-A'!O92+Dunkin!O92+Chipotle!O92+Sergios!O92+'Moes PG5'!O92+'Papa Johns'!O92+Salad!O92+'Half Moon &amp; Trop Smoothie'!O92+'Athletic Concessions -Kitchen'!O92+'Starbucks BBC'!O92+'Moes BBC'!O92+'Grille Works BBC &amp; Shipping'!O92+'Subway BBC'!O92+'Market Pavillion'!O92+'Chic Fil A BBC'!O92+Panera!O92+'Heritage Market'!O92</f>
        <v>120577.8306032659</v>
      </c>
      <c r="P92" s="80">
        <f t="shared" si="36"/>
        <v>5.140331685911481E-3</v>
      </c>
      <c r="Q92" s="134">
        <f>'POD Breezeway'!Q92+'Express GL'!Q92+'Starbucks GL-SBX Truck'!Q92+'Miro''s'!Q92+'Faculty Club'!Q92+'Almazar &amp; Brand X'!Q92+'Burger King'!Q92+Bustelo!Q92+Chilis!Q92+Einstein!Q92+Jamba!Q92+'Pollo Tropical'!Q92+'Subway GC'!Q92+'Sushi Maki'!Q92+Panda!Q92+'Starbucks Mango'!Q92+'Taco Bell'!Q92+'Chick-fil-A'!Q92+Dunkin!Q92+Chipotle!Q92+Sergios!Q92+'Moes PG5'!Q92+'Papa Johns'!Q92+Salad!Q92+'Half Moon &amp; Trop Smoothie'!Q92+'Athletic Concessions -Kitchen'!Q92+'Starbucks BBC'!Q92+'Moes BBC'!Q92+'Grille Works BBC &amp; Shipping'!Q92+'Subway BBC'!Q92+'Market Pavillion'!Q92+'Chic Fil A BBC'!Q92+Panera!Q92+'Heritage Market'!Q92</f>
        <v>124445.56891198082</v>
      </c>
      <c r="R92" s="80">
        <f t="shared" si="37"/>
        <v>5.1410219670608272E-3</v>
      </c>
      <c r="S92" s="134">
        <f>'POD Breezeway'!S92+'Express GL'!S92+'Starbucks GL-SBX Truck'!S92+'Miro''s'!S92+'Faculty Club'!S92+'Almazar &amp; Brand X'!S92+'Burger King'!S92+Bustelo!S92+Chilis!S92+Einstein!S92+Jamba!S92+'Pollo Tropical'!S92+'Subway GC'!S92+'Sushi Maki'!S92+Panda!S92+'Starbucks Mango'!S92+'Taco Bell'!S92+'Chick-fil-A'!S92+Dunkin!S92+Chipotle!S92+Sergios!S92+'Moes PG5'!S92+'Papa Johns'!S92+Salad!S92+'Half Moon &amp; Trop Smoothie'!S92+'Athletic Concessions -Kitchen'!S92+'Starbucks BBC'!S92+'Moes BBC'!S92+'Grille Works BBC &amp; Shipping'!S92+'Subway BBC'!S92+'Market Pavillion'!S92+'Chic Fil A BBC'!S92+Panera!S92+'Heritage Market'!S92</f>
        <v>128469.88080721679</v>
      </c>
      <c r="T92" s="80">
        <f t="shared" si="38"/>
        <v>5.1417189395477243E-3</v>
      </c>
      <c r="U92" s="134">
        <f>'POD Breezeway'!U92+'Express GL'!U92+'Starbucks GL-SBX Truck'!U92+'Miro''s'!U92+'Faculty Club'!U92+'Almazar &amp; Brand X'!U92+'Burger King'!U92+Bustelo!U92+Chilis!U92+Einstein!U92+Jamba!U92+'Pollo Tropical'!U92+'Subway GC'!U92+'Sushi Maki'!U92+Panda!U92+'Starbucks Mango'!U92+'Taco Bell'!U92+'Chick-fil-A'!U92+Dunkin!U92+Chipotle!U92+Sergios!U92+'Moes PG5'!U92+'Papa Johns'!U92+Salad!U92+'Half Moon &amp; Trop Smoothie'!U92+'Athletic Concessions -Kitchen'!U92+'Starbucks BBC'!U92+'Moes BBC'!U92+'Grille Works BBC &amp; Shipping'!U92+'Subway BBC'!U92+'Market Pavillion'!U92+'Chic Fil A BBC'!U92+Panera!U92+'Heritage Market'!U92</f>
        <v>132652.47815221566</v>
      </c>
      <c r="V92" s="80">
        <f t="shared" si="29"/>
        <v>5.1424198530175503E-3</v>
      </c>
    </row>
    <row r="93" spans="1:22" ht="12.75" customHeight="1">
      <c r="A93" s="2" t="s">
        <v>437</v>
      </c>
      <c r="B93" s="35"/>
      <c r="C93" s="134">
        <f>'POD Breezeway'!C93+'Express GL'!C93+'Starbucks GL-SBX Truck'!C93+'Miro''s'!C93+'Faculty Club'!C93+'Almazar &amp; Brand X'!C93+'Burger King'!C93+Bustelo!C93+Chilis!C93+Einstein!C93+Jamba!C93+'Pollo Tropical'!C93+'Subway GC'!C93+'Sushi Maki'!C93+Panda!C93+'Starbucks Mango'!C93+'Taco Bell'!C93+'Chick-fil-A'!C93+Dunkin!C93+Chipotle!C93+Sergios!C93+'Moes PG5'!C93+'Papa Johns'!C93+Salad!C93+'Half Moon &amp; Trop Smoothie'!C93+'Athletic Concessions -Kitchen'!C93+'Starbucks BBC'!C93+'Moes BBC'!C93+'Grille Works BBC &amp; Shipping'!C93+'Subway BBC'!C93+'Market Pavillion'!C93+'Chic Fil A BBC'!C93+Panera!C93+'Heritage Market'!C93</f>
        <v>0</v>
      </c>
      <c r="D93" s="80">
        <f t="shared" si="30"/>
        <v>0</v>
      </c>
      <c r="E93" s="134">
        <f>'POD Breezeway'!E93+'Express GL'!E93+'Starbucks GL-SBX Truck'!E93+'Miro''s'!E93+'Faculty Club'!E93+'Almazar &amp; Brand X'!E93+'Burger King'!E93+Bustelo!E93+Chilis!E93+Einstein!E93+Jamba!E93+'Pollo Tropical'!E93+'Subway GC'!E93+'Sushi Maki'!E93+Panda!E93+'Starbucks Mango'!E93+'Taco Bell'!E93+'Chick-fil-A'!E93+Dunkin!E93+Chipotle!E93+Sergios!E93+'Moes PG5'!E93+'Papa Johns'!E93+Salad!E93+'Half Moon &amp; Trop Smoothie'!E93+'Athletic Concessions -Kitchen'!E93+'Starbucks BBC'!E93+'Moes BBC'!E93+'Grille Works BBC &amp; Shipping'!E93+'Subway BBC'!E93+'Market Pavillion'!E93+'Chic Fil A BBC'!E93+Panera!E93+'Heritage Market'!E93</f>
        <v>0</v>
      </c>
      <c r="F93" s="80">
        <f t="shared" si="31"/>
        <v>0</v>
      </c>
      <c r="G93" s="134">
        <f>'POD Breezeway'!G93+'Express GL'!G93+'Starbucks GL-SBX Truck'!G93+'Miro''s'!G93+'Faculty Club'!G93+'Almazar &amp; Brand X'!G93+'Burger King'!G93+Bustelo!G93+Chilis!G93+Einstein!G93+Jamba!G93+'Pollo Tropical'!G93+'Subway GC'!G93+'Sushi Maki'!G93+Panda!G93+'Starbucks Mango'!G93+'Taco Bell'!G93+'Chick-fil-A'!G93+Dunkin!G93+Chipotle!G93+Sergios!G93+'Moes PG5'!G93+'Papa Johns'!G93+Salad!G93+'Half Moon &amp; Trop Smoothie'!G93+'Athletic Concessions -Kitchen'!G93+'Starbucks BBC'!G93+'Moes BBC'!G93+'Grille Works BBC &amp; Shipping'!G93+'Subway BBC'!G93+'Market Pavillion'!G93+'Chic Fil A BBC'!G93+Panera!G93+'Heritage Market'!G93</f>
        <v>0</v>
      </c>
      <c r="H93" s="80">
        <f t="shared" si="32"/>
        <v>0</v>
      </c>
      <c r="I93" s="134">
        <f>'POD Breezeway'!I93+'Express GL'!I93+'Starbucks GL-SBX Truck'!I93+'Miro''s'!I93+'Faculty Club'!I93+'Almazar &amp; Brand X'!I93+'Burger King'!I93+Bustelo!I93+Chilis!I93+Einstein!I93+Jamba!I93+'Pollo Tropical'!I93+'Subway GC'!I93+'Sushi Maki'!I93+Panda!I93+'Starbucks Mango'!I93+'Taco Bell'!I93+'Chick-fil-A'!I93+Dunkin!I93+Chipotle!I93+Sergios!I93+'Moes PG5'!I93+'Papa Johns'!I93+Salad!I93+'Half Moon &amp; Trop Smoothie'!I93+'Athletic Concessions -Kitchen'!I93+'Starbucks BBC'!I93+'Moes BBC'!I93+'Grille Works BBC &amp; Shipping'!I93+'Subway BBC'!I93+'Market Pavillion'!I93+'Chic Fil A BBC'!I93+Panera!I93+'Heritage Market'!I93</f>
        <v>0</v>
      </c>
      <c r="J93" s="80">
        <f t="shared" si="33"/>
        <v>0</v>
      </c>
      <c r="K93" s="134">
        <f>'POD Breezeway'!K93+'Express GL'!K93+'Starbucks GL-SBX Truck'!K93+'Miro''s'!K93+'Faculty Club'!K93+'Almazar &amp; Brand X'!K93+'Burger King'!K93+Bustelo!K93+Chilis!K93+Einstein!K93+Jamba!K93+'Pollo Tropical'!K93+'Subway GC'!K93+'Sushi Maki'!K93+Panda!K93+'Starbucks Mango'!K93+'Taco Bell'!K93+'Chick-fil-A'!K93+Dunkin!K93+Chipotle!K93+Sergios!K93+'Moes PG5'!K93+'Papa Johns'!K93+Salad!K93+'Half Moon &amp; Trop Smoothie'!K93+'Athletic Concessions -Kitchen'!K93+'Starbucks BBC'!K93+'Moes BBC'!K93+'Grille Works BBC &amp; Shipping'!K93+'Subway BBC'!K93+'Market Pavillion'!K93+'Chic Fil A BBC'!K93+Panera!K93+'Heritage Market'!K93</f>
        <v>0</v>
      </c>
      <c r="L93" s="80">
        <f t="shared" si="34"/>
        <v>0</v>
      </c>
      <c r="M93" s="134">
        <f>'POD Breezeway'!M93+'Express GL'!M93+'Starbucks GL-SBX Truck'!M93+'Miro''s'!M93+'Faculty Club'!M93+'Almazar &amp; Brand X'!M93+'Burger King'!M93+Bustelo!M93+Chilis!M93+Einstein!M93+Jamba!M93+'Pollo Tropical'!M93+'Subway GC'!M93+'Sushi Maki'!M93+Panda!M93+'Starbucks Mango'!M93+'Taco Bell'!M93+'Chick-fil-A'!M93+Dunkin!M93+Chipotle!M93+Sergios!M93+'Moes PG5'!M93+'Papa Johns'!M93+Salad!M93+'Half Moon &amp; Trop Smoothie'!M93+'Athletic Concessions -Kitchen'!M93+'Starbucks BBC'!M93+'Moes BBC'!M93+'Grille Works BBC &amp; Shipping'!M93+'Subway BBC'!M93+'Market Pavillion'!M93+'Chic Fil A BBC'!M93+Panera!M93+'Heritage Market'!M93</f>
        <v>0</v>
      </c>
      <c r="N93" s="80">
        <f t="shared" si="35"/>
        <v>0</v>
      </c>
      <c r="O93" s="134">
        <f>'POD Breezeway'!O93+'Express GL'!O93+'Starbucks GL-SBX Truck'!O93+'Miro''s'!O93+'Faculty Club'!O93+'Almazar &amp; Brand X'!O93+'Burger King'!O93+Bustelo!O93+Chilis!O93+Einstein!O93+Jamba!O93+'Pollo Tropical'!O93+'Subway GC'!O93+'Sushi Maki'!O93+Panda!O93+'Starbucks Mango'!O93+'Taco Bell'!O93+'Chick-fil-A'!O93+Dunkin!O93+Chipotle!O93+Sergios!O93+'Moes PG5'!O93+'Papa Johns'!O93+Salad!O93+'Half Moon &amp; Trop Smoothie'!O93+'Athletic Concessions -Kitchen'!O93+'Starbucks BBC'!O93+'Moes BBC'!O93+'Grille Works BBC &amp; Shipping'!O93+'Subway BBC'!O93+'Market Pavillion'!O93+'Chic Fil A BBC'!O93+Panera!O93+'Heritage Market'!O93</f>
        <v>0</v>
      </c>
      <c r="P93" s="80">
        <f t="shared" si="36"/>
        <v>0</v>
      </c>
      <c r="Q93" s="134">
        <f>'POD Breezeway'!Q93+'Express GL'!Q93+'Starbucks GL-SBX Truck'!Q93+'Miro''s'!Q93+'Faculty Club'!Q93+'Almazar &amp; Brand X'!Q93+'Burger King'!Q93+Bustelo!Q93+Chilis!Q93+Einstein!Q93+Jamba!Q93+'Pollo Tropical'!Q93+'Subway GC'!Q93+'Sushi Maki'!Q93+Panda!Q93+'Starbucks Mango'!Q93+'Taco Bell'!Q93+'Chick-fil-A'!Q93+Dunkin!Q93+Chipotle!Q93+Sergios!Q93+'Moes PG5'!Q93+'Papa Johns'!Q93+Salad!Q93+'Half Moon &amp; Trop Smoothie'!Q93+'Athletic Concessions -Kitchen'!Q93+'Starbucks BBC'!Q93+'Moes BBC'!Q93+'Grille Works BBC &amp; Shipping'!Q93+'Subway BBC'!Q93+'Market Pavillion'!Q93+'Chic Fil A BBC'!Q93+Panera!Q93+'Heritage Market'!Q93</f>
        <v>0</v>
      </c>
      <c r="R93" s="80">
        <f t="shared" si="37"/>
        <v>0</v>
      </c>
      <c r="S93" s="134">
        <f>'POD Breezeway'!S93+'Express GL'!S93+'Starbucks GL-SBX Truck'!S93+'Miro''s'!S93+'Faculty Club'!S93+'Almazar &amp; Brand X'!S93+'Burger King'!S93+Bustelo!S93+Chilis!S93+Einstein!S93+Jamba!S93+'Pollo Tropical'!S93+'Subway GC'!S93+'Sushi Maki'!S93+Panda!S93+'Starbucks Mango'!S93+'Taco Bell'!S93+'Chick-fil-A'!S93+Dunkin!S93+Chipotle!S93+Sergios!S93+'Moes PG5'!S93+'Papa Johns'!S93+Salad!S93+'Half Moon &amp; Trop Smoothie'!S93+'Athletic Concessions -Kitchen'!S93+'Starbucks BBC'!S93+'Moes BBC'!S93+'Grille Works BBC &amp; Shipping'!S93+'Subway BBC'!S93+'Market Pavillion'!S93+'Chic Fil A BBC'!S93+Panera!S93+'Heritage Market'!S93</f>
        <v>0</v>
      </c>
      <c r="T93" s="80">
        <f t="shared" si="38"/>
        <v>0</v>
      </c>
      <c r="U93" s="134">
        <f>'POD Breezeway'!U93+'Express GL'!U93+'Starbucks GL-SBX Truck'!U93+'Miro''s'!U93+'Faculty Club'!U93+'Almazar &amp; Brand X'!U93+'Burger King'!U93+Bustelo!U93+Chilis!U93+Einstein!U93+Jamba!U93+'Pollo Tropical'!U93+'Subway GC'!U93+'Sushi Maki'!U93+Panda!U93+'Starbucks Mango'!U93+'Taco Bell'!U93+'Chick-fil-A'!U93+Dunkin!U93+Chipotle!U93+Sergios!U93+'Moes PG5'!U93+'Papa Johns'!U93+Salad!U93+'Half Moon &amp; Trop Smoothie'!U93+'Athletic Concessions -Kitchen'!U93+'Starbucks BBC'!U93+'Moes BBC'!U93+'Grille Works BBC &amp; Shipping'!U93+'Subway BBC'!U93+'Market Pavillion'!U93+'Chic Fil A BBC'!U93+Panera!U93+'Heritage Market'!U93</f>
        <v>0</v>
      </c>
      <c r="V93" s="80">
        <f t="shared" si="29"/>
        <v>0</v>
      </c>
    </row>
    <row r="94" spans="1:22" ht="12.75" customHeight="1">
      <c r="A94" s="2" t="s">
        <v>438</v>
      </c>
      <c r="B94" s="35"/>
      <c r="C94" s="134">
        <f>'POD Breezeway'!C94+'Express GL'!C94+'Starbucks GL-SBX Truck'!C94+'Miro''s'!C94+'Faculty Club'!C94+'Almazar &amp; Brand X'!C94+'Burger King'!C94+Bustelo!C94+Chilis!C94+Einstein!C94+Jamba!C94+'Pollo Tropical'!C94+'Subway GC'!C94+'Sushi Maki'!C94+Panda!C94+'Starbucks Mango'!C94+'Taco Bell'!C94+'Chick-fil-A'!C94+Dunkin!C94+Chipotle!C94+Sergios!C94+'Moes PG5'!C94+'Papa Johns'!C94+Salad!C94+'Half Moon &amp; Trop Smoothie'!C94+'Athletic Concessions -Kitchen'!C94+'Starbucks BBC'!C94+'Moes BBC'!C94+'Grille Works BBC &amp; Shipping'!C94+'Subway BBC'!C94+'Market Pavillion'!C94+'Chic Fil A BBC'!C94+Panera!C94+'Heritage Market'!C94</f>
        <v>0</v>
      </c>
      <c r="D94" s="80">
        <f t="shared" si="30"/>
        <v>0</v>
      </c>
      <c r="E94" s="134">
        <f>'POD Breezeway'!E94+'Express GL'!E94+'Starbucks GL-SBX Truck'!E94+'Miro''s'!E94+'Faculty Club'!E94+'Almazar &amp; Brand X'!E94+'Burger King'!E94+Bustelo!E94+Chilis!E94+Einstein!E94+Jamba!E94+'Pollo Tropical'!E94+'Subway GC'!E94+'Sushi Maki'!E94+Panda!E94+'Starbucks Mango'!E94+'Taco Bell'!E94+'Chick-fil-A'!E94+Dunkin!E94+Chipotle!E94+Sergios!E94+'Moes PG5'!E94+'Papa Johns'!E94+Salad!E94+'Half Moon &amp; Trop Smoothie'!E94+'Athletic Concessions -Kitchen'!E94+'Starbucks BBC'!E94+'Moes BBC'!E94+'Grille Works BBC &amp; Shipping'!E94+'Subway BBC'!E94+'Market Pavillion'!E94+'Chic Fil A BBC'!E94+Panera!E94+'Heritage Market'!E94</f>
        <v>0</v>
      </c>
      <c r="F94" s="80">
        <f t="shared" si="31"/>
        <v>0</v>
      </c>
      <c r="G94" s="134">
        <f>'POD Breezeway'!G94+'Express GL'!G94+'Starbucks GL-SBX Truck'!G94+'Miro''s'!G94+'Faculty Club'!G94+'Almazar &amp; Brand X'!G94+'Burger King'!G94+Bustelo!G94+Chilis!G94+Einstein!G94+Jamba!G94+'Pollo Tropical'!G94+'Subway GC'!G94+'Sushi Maki'!G94+Panda!G94+'Starbucks Mango'!G94+'Taco Bell'!G94+'Chick-fil-A'!G94+Dunkin!G94+Chipotle!G94+Sergios!G94+'Moes PG5'!G94+'Papa Johns'!G94+Salad!G94+'Half Moon &amp; Trop Smoothie'!G94+'Athletic Concessions -Kitchen'!G94+'Starbucks BBC'!G94+'Moes BBC'!G94+'Grille Works BBC &amp; Shipping'!G94+'Subway BBC'!G94+'Market Pavillion'!G94+'Chic Fil A BBC'!G94+Panera!G94+'Heritage Market'!G94</f>
        <v>0</v>
      </c>
      <c r="H94" s="80">
        <f t="shared" si="32"/>
        <v>0</v>
      </c>
      <c r="I94" s="134">
        <f>'POD Breezeway'!I94+'Express GL'!I94+'Starbucks GL-SBX Truck'!I94+'Miro''s'!I94+'Faculty Club'!I94+'Almazar &amp; Brand X'!I94+'Burger King'!I94+Bustelo!I94+Chilis!I94+Einstein!I94+Jamba!I94+'Pollo Tropical'!I94+'Subway GC'!I94+'Sushi Maki'!I94+Panda!I94+'Starbucks Mango'!I94+'Taco Bell'!I94+'Chick-fil-A'!I94+Dunkin!I94+Chipotle!I94+Sergios!I94+'Moes PG5'!I94+'Papa Johns'!I94+Salad!I94+'Half Moon &amp; Trop Smoothie'!I94+'Athletic Concessions -Kitchen'!I94+'Starbucks BBC'!I94+'Moes BBC'!I94+'Grille Works BBC &amp; Shipping'!I94+'Subway BBC'!I94+'Market Pavillion'!I94+'Chic Fil A BBC'!I94+Panera!I94+'Heritage Market'!I94</f>
        <v>0</v>
      </c>
      <c r="J94" s="80">
        <f t="shared" si="33"/>
        <v>0</v>
      </c>
      <c r="K94" s="134">
        <f>'POD Breezeway'!K94+'Express GL'!K94+'Starbucks GL-SBX Truck'!K94+'Miro''s'!K94+'Faculty Club'!K94+'Almazar &amp; Brand X'!K94+'Burger King'!K94+Bustelo!K94+Chilis!K94+Einstein!K94+Jamba!K94+'Pollo Tropical'!K94+'Subway GC'!K94+'Sushi Maki'!K94+Panda!K94+'Starbucks Mango'!K94+'Taco Bell'!K94+'Chick-fil-A'!K94+Dunkin!K94+Chipotle!K94+Sergios!K94+'Moes PG5'!K94+'Papa Johns'!K94+Salad!K94+'Half Moon &amp; Trop Smoothie'!K94+'Athletic Concessions -Kitchen'!K94+'Starbucks BBC'!K94+'Moes BBC'!K94+'Grille Works BBC &amp; Shipping'!K94+'Subway BBC'!K94+'Market Pavillion'!K94+'Chic Fil A BBC'!K94+Panera!K94+'Heritage Market'!K94</f>
        <v>0</v>
      </c>
      <c r="L94" s="80">
        <f t="shared" si="34"/>
        <v>0</v>
      </c>
      <c r="M94" s="134">
        <f>'POD Breezeway'!M94+'Express GL'!M94+'Starbucks GL-SBX Truck'!M94+'Miro''s'!M94+'Faculty Club'!M94+'Almazar &amp; Brand X'!M94+'Burger King'!M94+Bustelo!M94+Chilis!M94+Einstein!M94+Jamba!M94+'Pollo Tropical'!M94+'Subway GC'!M94+'Sushi Maki'!M94+Panda!M94+'Starbucks Mango'!M94+'Taco Bell'!M94+'Chick-fil-A'!M94+Dunkin!M94+Chipotle!M94+Sergios!M94+'Moes PG5'!M94+'Papa Johns'!M94+Salad!M94+'Half Moon &amp; Trop Smoothie'!M94+'Athletic Concessions -Kitchen'!M94+'Starbucks BBC'!M94+'Moes BBC'!M94+'Grille Works BBC &amp; Shipping'!M94+'Subway BBC'!M94+'Market Pavillion'!M94+'Chic Fil A BBC'!M94+Panera!M94+'Heritage Market'!M94</f>
        <v>0</v>
      </c>
      <c r="N94" s="80">
        <f t="shared" si="35"/>
        <v>0</v>
      </c>
      <c r="O94" s="134">
        <f>'POD Breezeway'!O94+'Express GL'!O94+'Starbucks GL-SBX Truck'!O94+'Miro''s'!O94+'Faculty Club'!O94+'Almazar &amp; Brand X'!O94+'Burger King'!O94+Bustelo!O94+Chilis!O94+Einstein!O94+Jamba!O94+'Pollo Tropical'!O94+'Subway GC'!O94+'Sushi Maki'!O94+Panda!O94+'Starbucks Mango'!O94+'Taco Bell'!O94+'Chick-fil-A'!O94+Dunkin!O94+Chipotle!O94+Sergios!O94+'Moes PG5'!O94+'Papa Johns'!O94+Salad!O94+'Half Moon &amp; Trop Smoothie'!O94+'Athletic Concessions -Kitchen'!O94+'Starbucks BBC'!O94+'Moes BBC'!O94+'Grille Works BBC &amp; Shipping'!O94+'Subway BBC'!O94+'Market Pavillion'!O94+'Chic Fil A BBC'!O94+Panera!O94+'Heritage Market'!O94</f>
        <v>0</v>
      </c>
      <c r="P94" s="80">
        <f t="shared" si="36"/>
        <v>0</v>
      </c>
      <c r="Q94" s="134">
        <f>'POD Breezeway'!Q94+'Express GL'!Q94+'Starbucks GL-SBX Truck'!Q94+'Miro''s'!Q94+'Faculty Club'!Q94+'Almazar &amp; Brand X'!Q94+'Burger King'!Q94+Bustelo!Q94+Chilis!Q94+Einstein!Q94+Jamba!Q94+'Pollo Tropical'!Q94+'Subway GC'!Q94+'Sushi Maki'!Q94+Panda!Q94+'Starbucks Mango'!Q94+'Taco Bell'!Q94+'Chick-fil-A'!Q94+Dunkin!Q94+Chipotle!Q94+Sergios!Q94+'Moes PG5'!Q94+'Papa Johns'!Q94+Salad!Q94+'Half Moon &amp; Trop Smoothie'!Q94+'Athletic Concessions -Kitchen'!Q94+'Starbucks BBC'!Q94+'Moes BBC'!Q94+'Grille Works BBC &amp; Shipping'!Q94+'Subway BBC'!Q94+'Market Pavillion'!Q94+'Chic Fil A BBC'!Q94+Panera!Q94+'Heritage Market'!Q94</f>
        <v>0</v>
      </c>
      <c r="R94" s="80">
        <f t="shared" si="37"/>
        <v>0</v>
      </c>
      <c r="S94" s="134">
        <f>'POD Breezeway'!S94+'Express GL'!S94+'Starbucks GL-SBX Truck'!S94+'Miro''s'!S94+'Faculty Club'!S94+'Almazar &amp; Brand X'!S94+'Burger King'!S94+Bustelo!S94+Chilis!S94+Einstein!S94+Jamba!S94+'Pollo Tropical'!S94+'Subway GC'!S94+'Sushi Maki'!S94+Panda!S94+'Starbucks Mango'!S94+'Taco Bell'!S94+'Chick-fil-A'!S94+Dunkin!S94+Chipotle!S94+Sergios!S94+'Moes PG5'!S94+'Papa Johns'!S94+Salad!S94+'Half Moon &amp; Trop Smoothie'!S94+'Athletic Concessions -Kitchen'!S94+'Starbucks BBC'!S94+'Moes BBC'!S94+'Grille Works BBC &amp; Shipping'!S94+'Subway BBC'!S94+'Market Pavillion'!S94+'Chic Fil A BBC'!S94+Panera!S94+'Heritage Market'!S94</f>
        <v>0</v>
      </c>
      <c r="T94" s="80">
        <f t="shared" si="38"/>
        <v>0</v>
      </c>
      <c r="U94" s="134">
        <f>'POD Breezeway'!U94+'Express GL'!U94+'Starbucks GL-SBX Truck'!U94+'Miro''s'!U94+'Faculty Club'!U94+'Almazar &amp; Brand X'!U94+'Burger King'!U94+Bustelo!U94+Chilis!U94+Einstein!U94+Jamba!U94+'Pollo Tropical'!U94+'Subway GC'!U94+'Sushi Maki'!U94+Panda!U94+'Starbucks Mango'!U94+'Taco Bell'!U94+'Chick-fil-A'!U94+Dunkin!U94+Chipotle!U94+Sergios!U94+'Moes PG5'!U94+'Papa Johns'!U94+Salad!U94+'Half Moon &amp; Trop Smoothie'!U94+'Athletic Concessions -Kitchen'!U94+'Starbucks BBC'!U94+'Moes BBC'!U94+'Grille Works BBC &amp; Shipping'!U94+'Subway BBC'!U94+'Market Pavillion'!U94+'Chic Fil A BBC'!U94+Panera!U94+'Heritage Market'!U94</f>
        <v>0</v>
      </c>
      <c r="V94" s="80">
        <f t="shared" si="29"/>
        <v>0</v>
      </c>
    </row>
    <row r="95" spans="1:22" ht="12.75" customHeight="1">
      <c r="A95" s="2" t="s">
        <v>439</v>
      </c>
      <c r="B95" s="35"/>
      <c r="C95" s="134">
        <f>'POD Breezeway'!C95+'Express GL'!C95+'Starbucks GL-SBX Truck'!C95+'Miro''s'!C95+'Faculty Club'!C95+'Almazar &amp; Brand X'!C95+'Burger King'!C95+Bustelo!C95+Chilis!C95+Einstein!C95+Jamba!C95+'Pollo Tropical'!C95+'Subway GC'!C95+'Sushi Maki'!C95+Panda!C95+'Starbucks Mango'!C95+'Taco Bell'!C95+'Chick-fil-A'!C95+Dunkin!C95+Chipotle!C95+Sergios!C95+'Moes PG5'!C95+'Papa Johns'!C95+Salad!C95+'Half Moon &amp; Trop Smoothie'!C95+'Athletic Concessions -Kitchen'!C95+'Starbucks BBC'!C95+'Moes BBC'!C95+'Grille Works BBC &amp; Shipping'!C95+'Subway BBC'!C95+'Market Pavillion'!C95+'Chic Fil A BBC'!C95+Panera!C95+'Heritage Market'!C95</f>
        <v>0</v>
      </c>
      <c r="D95" s="80">
        <f t="shared" si="30"/>
        <v>0</v>
      </c>
      <c r="E95" s="134">
        <f>'POD Breezeway'!E95+'Express GL'!E95+'Starbucks GL-SBX Truck'!E95+'Miro''s'!E95+'Faculty Club'!E95+'Almazar &amp; Brand X'!E95+'Burger King'!E95+Bustelo!E95+Chilis!E95+Einstein!E95+Jamba!E95+'Pollo Tropical'!E95+'Subway GC'!E95+'Sushi Maki'!E95+Panda!E95+'Starbucks Mango'!E95+'Taco Bell'!E95+'Chick-fil-A'!E95+Dunkin!E95+Chipotle!E95+Sergios!E95+'Moes PG5'!E95+'Papa Johns'!E95+Salad!E95+'Half Moon &amp; Trop Smoothie'!E95+'Athletic Concessions -Kitchen'!E95+'Starbucks BBC'!E95+'Moes BBC'!E95+'Grille Works BBC &amp; Shipping'!E95+'Subway BBC'!E95+'Market Pavillion'!E95+'Chic Fil A BBC'!E95+Panera!E95+'Heritage Market'!E95</f>
        <v>0</v>
      </c>
      <c r="F95" s="80">
        <f t="shared" si="31"/>
        <v>0</v>
      </c>
      <c r="G95" s="134">
        <f>'POD Breezeway'!G95+'Express GL'!G95+'Starbucks GL-SBX Truck'!G95+'Miro''s'!G95+'Faculty Club'!G95+'Almazar &amp; Brand X'!G95+'Burger King'!G95+Bustelo!G95+Chilis!G95+Einstein!G95+Jamba!G95+'Pollo Tropical'!G95+'Subway GC'!G95+'Sushi Maki'!G95+Panda!G95+'Starbucks Mango'!G95+'Taco Bell'!G95+'Chick-fil-A'!G95+Dunkin!G95+Chipotle!G95+Sergios!G95+'Moes PG5'!G95+'Papa Johns'!G95+Salad!G95+'Half Moon &amp; Trop Smoothie'!G95+'Athletic Concessions -Kitchen'!G95+'Starbucks BBC'!G95+'Moes BBC'!G95+'Grille Works BBC &amp; Shipping'!G95+'Subway BBC'!G95+'Market Pavillion'!G95+'Chic Fil A BBC'!G95+Panera!G95+'Heritage Market'!G95</f>
        <v>0</v>
      </c>
      <c r="H95" s="80">
        <f t="shared" si="32"/>
        <v>0</v>
      </c>
      <c r="I95" s="134">
        <f>'POD Breezeway'!I95+'Express GL'!I95+'Starbucks GL-SBX Truck'!I95+'Miro''s'!I95+'Faculty Club'!I95+'Almazar &amp; Brand X'!I95+'Burger King'!I95+Bustelo!I95+Chilis!I95+Einstein!I95+Jamba!I95+'Pollo Tropical'!I95+'Subway GC'!I95+'Sushi Maki'!I95+Panda!I95+'Starbucks Mango'!I95+'Taco Bell'!I95+'Chick-fil-A'!I95+Dunkin!I95+Chipotle!I95+Sergios!I95+'Moes PG5'!I95+'Papa Johns'!I95+Salad!I95+'Half Moon &amp; Trop Smoothie'!I95+'Athletic Concessions -Kitchen'!I95+'Starbucks BBC'!I95+'Moes BBC'!I95+'Grille Works BBC &amp; Shipping'!I95+'Subway BBC'!I95+'Market Pavillion'!I95+'Chic Fil A BBC'!I95+Panera!I95+'Heritage Market'!I95</f>
        <v>0</v>
      </c>
      <c r="J95" s="80">
        <f t="shared" si="33"/>
        <v>0</v>
      </c>
      <c r="K95" s="134">
        <f>'POD Breezeway'!K95+'Express GL'!K95+'Starbucks GL-SBX Truck'!K95+'Miro''s'!K95+'Faculty Club'!K95+'Almazar &amp; Brand X'!K95+'Burger King'!K95+Bustelo!K95+Chilis!K95+Einstein!K95+Jamba!K95+'Pollo Tropical'!K95+'Subway GC'!K95+'Sushi Maki'!K95+Panda!K95+'Starbucks Mango'!K95+'Taco Bell'!K95+'Chick-fil-A'!K95+Dunkin!K95+Chipotle!K95+Sergios!K95+'Moes PG5'!K95+'Papa Johns'!K95+Salad!K95+'Half Moon &amp; Trop Smoothie'!K95+'Athletic Concessions -Kitchen'!K95+'Starbucks BBC'!K95+'Moes BBC'!K95+'Grille Works BBC &amp; Shipping'!K95+'Subway BBC'!K95+'Market Pavillion'!K95+'Chic Fil A BBC'!K95+Panera!K95+'Heritage Market'!K95</f>
        <v>0</v>
      </c>
      <c r="L95" s="80">
        <f t="shared" si="34"/>
        <v>0</v>
      </c>
      <c r="M95" s="134">
        <f>'POD Breezeway'!M95+'Express GL'!M95+'Starbucks GL-SBX Truck'!M95+'Miro''s'!M95+'Faculty Club'!M95+'Almazar &amp; Brand X'!M95+'Burger King'!M95+Bustelo!M95+Chilis!M95+Einstein!M95+Jamba!M95+'Pollo Tropical'!M95+'Subway GC'!M95+'Sushi Maki'!M95+Panda!M95+'Starbucks Mango'!M95+'Taco Bell'!M95+'Chick-fil-A'!M95+Dunkin!M95+Chipotle!M95+Sergios!M95+'Moes PG5'!M95+'Papa Johns'!M95+Salad!M95+'Half Moon &amp; Trop Smoothie'!M95+'Athletic Concessions -Kitchen'!M95+'Starbucks BBC'!M95+'Moes BBC'!M95+'Grille Works BBC &amp; Shipping'!M95+'Subway BBC'!M95+'Market Pavillion'!M95+'Chic Fil A BBC'!M95+Panera!M95+'Heritage Market'!M95</f>
        <v>0</v>
      </c>
      <c r="N95" s="80">
        <f t="shared" si="35"/>
        <v>0</v>
      </c>
      <c r="O95" s="134">
        <f>'POD Breezeway'!O95+'Express GL'!O95+'Starbucks GL-SBX Truck'!O95+'Miro''s'!O95+'Faculty Club'!O95+'Almazar &amp; Brand X'!O95+'Burger King'!O95+Bustelo!O95+Chilis!O95+Einstein!O95+Jamba!O95+'Pollo Tropical'!O95+'Subway GC'!O95+'Sushi Maki'!O95+Panda!O95+'Starbucks Mango'!O95+'Taco Bell'!O95+'Chick-fil-A'!O95+Dunkin!O95+Chipotle!O95+Sergios!O95+'Moes PG5'!O95+'Papa Johns'!O95+Salad!O95+'Half Moon &amp; Trop Smoothie'!O95+'Athletic Concessions -Kitchen'!O95+'Starbucks BBC'!O95+'Moes BBC'!O95+'Grille Works BBC &amp; Shipping'!O95+'Subway BBC'!O95+'Market Pavillion'!O95+'Chic Fil A BBC'!O95+Panera!O95+'Heritage Market'!O95</f>
        <v>0</v>
      </c>
      <c r="P95" s="80">
        <f t="shared" si="36"/>
        <v>0</v>
      </c>
      <c r="Q95" s="134">
        <f>'POD Breezeway'!Q95+'Express GL'!Q95+'Starbucks GL-SBX Truck'!Q95+'Miro''s'!Q95+'Faculty Club'!Q95+'Almazar &amp; Brand X'!Q95+'Burger King'!Q95+Bustelo!Q95+Chilis!Q95+Einstein!Q95+Jamba!Q95+'Pollo Tropical'!Q95+'Subway GC'!Q95+'Sushi Maki'!Q95+Panda!Q95+'Starbucks Mango'!Q95+'Taco Bell'!Q95+'Chick-fil-A'!Q95+Dunkin!Q95+Chipotle!Q95+Sergios!Q95+'Moes PG5'!Q95+'Papa Johns'!Q95+Salad!Q95+'Half Moon &amp; Trop Smoothie'!Q95+'Athletic Concessions -Kitchen'!Q95+'Starbucks BBC'!Q95+'Moes BBC'!Q95+'Grille Works BBC &amp; Shipping'!Q95+'Subway BBC'!Q95+'Market Pavillion'!Q95+'Chic Fil A BBC'!Q95+Panera!Q95+'Heritage Market'!Q95</f>
        <v>0</v>
      </c>
      <c r="R95" s="80">
        <f t="shared" si="37"/>
        <v>0</v>
      </c>
      <c r="S95" s="134">
        <f>'POD Breezeway'!S95+'Express GL'!S95+'Starbucks GL-SBX Truck'!S95+'Miro''s'!S95+'Faculty Club'!S95+'Almazar &amp; Brand X'!S95+'Burger King'!S95+Bustelo!S95+Chilis!S95+Einstein!S95+Jamba!S95+'Pollo Tropical'!S95+'Subway GC'!S95+'Sushi Maki'!S95+Panda!S95+'Starbucks Mango'!S95+'Taco Bell'!S95+'Chick-fil-A'!S95+Dunkin!S95+Chipotle!S95+Sergios!S95+'Moes PG5'!S95+'Papa Johns'!S95+Salad!S95+'Half Moon &amp; Trop Smoothie'!S95+'Athletic Concessions -Kitchen'!S95+'Starbucks BBC'!S95+'Moes BBC'!S95+'Grille Works BBC &amp; Shipping'!S95+'Subway BBC'!S95+'Market Pavillion'!S95+'Chic Fil A BBC'!S95+Panera!S95+'Heritage Market'!S95</f>
        <v>0</v>
      </c>
      <c r="T95" s="80">
        <f t="shared" si="38"/>
        <v>0</v>
      </c>
      <c r="U95" s="134">
        <f>'POD Breezeway'!U95+'Express GL'!U95+'Starbucks GL-SBX Truck'!U95+'Miro''s'!U95+'Faculty Club'!U95+'Almazar &amp; Brand X'!U95+'Burger King'!U95+Bustelo!U95+Chilis!U95+Einstein!U95+Jamba!U95+'Pollo Tropical'!U95+'Subway GC'!U95+'Sushi Maki'!U95+Panda!U95+'Starbucks Mango'!U95+'Taco Bell'!U95+'Chick-fil-A'!U95+Dunkin!U95+Chipotle!U95+Sergios!U95+'Moes PG5'!U95+'Papa Johns'!U95+Salad!U95+'Half Moon &amp; Trop Smoothie'!U95+'Athletic Concessions -Kitchen'!U95+'Starbucks BBC'!U95+'Moes BBC'!U95+'Grille Works BBC &amp; Shipping'!U95+'Subway BBC'!U95+'Market Pavillion'!U95+'Chic Fil A BBC'!U95+Panera!U95+'Heritage Market'!U95</f>
        <v>0</v>
      </c>
      <c r="V95" s="80">
        <f t="shared" si="29"/>
        <v>0</v>
      </c>
    </row>
    <row r="96" spans="1:22" ht="12.75" customHeight="1">
      <c r="A96" s="2" t="s">
        <v>440</v>
      </c>
      <c r="B96" s="35"/>
      <c r="C96" s="134">
        <f>'POD Breezeway'!C96+'Express GL'!C96+'Starbucks GL-SBX Truck'!C96+'Miro''s'!C96+'Faculty Club'!C96+'Almazar &amp; Brand X'!C96+'Burger King'!C96+Bustelo!C96+Chilis!C96+Einstein!C96+Jamba!C96+'Pollo Tropical'!C96+'Subway GC'!C96+'Sushi Maki'!C96+Panda!C96+'Starbucks Mango'!C96+'Taco Bell'!C96+'Chick-fil-A'!C96+Dunkin!C96+Chipotle!C96+Sergios!C96+'Moes PG5'!C96+'Papa Johns'!C96+Salad!C96+'Half Moon &amp; Trop Smoothie'!C96+'Athletic Concessions -Kitchen'!C96+'Starbucks BBC'!C96+'Moes BBC'!C96+'Grille Works BBC &amp; Shipping'!C96+'Subway BBC'!C96+'Market Pavillion'!C96+'Chic Fil A BBC'!C96+Panera!C96+'Heritage Market'!C96</f>
        <v>0</v>
      </c>
      <c r="D96" s="80">
        <f t="shared" si="30"/>
        <v>0</v>
      </c>
      <c r="E96" s="134">
        <f>'POD Breezeway'!E96+'Express GL'!E96+'Starbucks GL-SBX Truck'!E96+'Miro''s'!E96+'Faculty Club'!E96+'Almazar &amp; Brand X'!E96+'Burger King'!E96+Bustelo!E96+Chilis!E96+Einstein!E96+Jamba!E96+'Pollo Tropical'!E96+'Subway GC'!E96+'Sushi Maki'!E96+Panda!E96+'Starbucks Mango'!E96+'Taco Bell'!E96+'Chick-fil-A'!E96+Dunkin!E96+Chipotle!E96+Sergios!E96+'Moes PG5'!E96+'Papa Johns'!E96+Salad!E96+'Half Moon &amp; Trop Smoothie'!E96+'Athletic Concessions -Kitchen'!E96+'Starbucks BBC'!E96+'Moes BBC'!E96+'Grille Works BBC &amp; Shipping'!E96+'Subway BBC'!E96+'Market Pavillion'!E96+'Chic Fil A BBC'!E96+Panera!E96+'Heritage Market'!E96</f>
        <v>0</v>
      </c>
      <c r="F96" s="80">
        <f t="shared" si="31"/>
        <v>0</v>
      </c>
      <c r="G96" s="134">
        <f>'POD Breezeway'!G96+'Express GL'!G96+'Starbucks GL-SBX Truck'!G96+'Miro''s'!G96+'Faculty Club'!G96+'Almazar &amp; Brand X'!G96+'Burger King'!G96+Bustelo!G96+Chilis!G96+Einstein!G96+Jamba!G96+'Pollo Tropical'!G96+'Subway GC'!G96+'Sushi Maki'!G96+Panda!G96+'Starbucks Mango'!G96+'Taco Bell'!G96+'Chick-fil-A'!G96+Dunkin!G96+Chipotle!G96+Sergios!G96+'Moes PG5'!G96+'Papa Johns'!G96+Salad!G96+'Half Moon &amp; Trop Smoothie'!G96+'Athletic Concessions -Kitchen'!G96+'Starbucks BBC'!G96+'Moes BBC'!G96+'Grille Works BBC &amp; Shipping'!G96+'Subway BBC'!G96+'Market Pavillion'!G96+'Chic Fil A BBC'!G96+Panera!G96+'Heritage Market'!G96</f>
        <v>0</v>
      </c>
      <c r="H96" s="80">
        <f t="shared" si="32"/>
        <v>0</v>
      </c>
      <c r="I96" s="134">
        <f>'POD Breezeway'!I96+'Express GL'!I96+'Starbucks GL-SBX Truck'!I96+'Miro''s'!I96+'Faculty Club'!I96+'Almazar &amp; Brand X'!I96+'Burger King'!I96+Bustelo!I96+Chilis!I96+Einstein!I96+Jamba!I96+'Pollo Tropical'!I96+'Subway GC'!I96+'Sushi Maki'!I96+Panda!I96+'Starbucks Mango'!I96+'Taco Bell'!I96+'Chick-fil-A'!I96+Dunkin!I96+Chipotle!I96+Sergios!I96+'Moes PG5'!I96+'Papa Johns'!I96+Salad!I96+'Half Moon &amp; Trop Smoothie'!I96+'Athletic Concessions -Kitchen'!I96+'Starbucks BBC'!I96+'Moes BBC'!I96+'Grille Works BBC &amp; Shipping'!I96+'Subway BBC'!I96+'Market Pavillion'!I96+'Chic Fil A BBC'!I96+Panera!I96+'Heritage Market'!I96</f>
        <v>0</v>
      </c>
      <c r="J96" s="80">
        <f t="shared" si="33"/>
        <v>0</v>
      </c>
      <c r="K96" s="134">
        <f>'POD Breezeway'!K96+'Express GL'!K96+'Starbucks GL-SBX Truck'!K96+'Miro''s'!K96+'Faculty Club'!K96+'Almazar &amp; Brand X'!K96+'Burger King'!K96+Bustelo!K96+Chilis!K96+Einstein!K96+Jamba!K96+'Pollo Tropical'!K96+'Subway GC'!K96+'Sushi Maki'!K96+Panda!K96+'Starbucks Mango'!K96+'Taco Bell'!K96+'Chick-fil-A'!K96+Dunkin!K96+Chipotle!K96+Sergios!K96+'Moes PG5'!K96+'Papa Johns'!K96+Salad!K96+'Half Moon &amp; Trop Smoothie'!K96+'Athletic Concessions -Kitchen'!K96+'Starbucks BBC'!K96+'Moes BBC'!K96+'Grille Works BBC &amp; Shipping'!K96+'Subway BBC'!K96+'Market Pavillion'!K96+'Chic Fil A BBC'!K96+Panera!K96+'Heritage Market'!K96</f>
        <v>0</v>
      </c>
      <c r="L96" s="80">
        <f t="shared" si="34"/>
        <v>0</v>
      </c>
      <c r="M96" s="134">
        <f>'POD Breezeway'!M96+'Express GL'!M96+'Starbucks GL-SBX Truck'!M96+'Miro''s'!M96+'Faculty Club'!M96+'Almazar &amp; Brand X'!M96+'Burger King'!M96+Bustelo!M96+Chilis!M96+Einstein!M96+Jamba!M96+'Pollo Tropical'!M96+'Subway GC'!M96+'Sushi Maki'!M96+Panda!M96+'Starbucks Mango'!M96+'Taco Bell'!M96+'Chick-fil-A'!M96+Dunkin!M96+Chipotle!M96+Sergios!M96+'Moes PG5'!M96+'Papa Johns'!M96+Salad!M96+'Half Moon &amp; Trop Smoothie'!M96+'Athletic Concessions -Kitchen'!M96+'Starbucks BBC'!M96+'Moes BBC'!M96+'Grille Works BBC &amp; Shipping'!M96+'Subway BBC'!M96+'Market Pavillion'!M96+'Chic Fil A BBC'!M96+Panera!M96+'Heritage Market'!M96</f>
        <v>0</v>
      </c>
      <c r="N96" s="80">
        <f t="shared" si="35"/>
        <v>0</v>
      </c>
      <c r="O96" s="134">
        <f>'POD Breezeway'!O96+'Express GL'!O96+'Starbucks GL-SBX Truck'!O96+'Miro''s'!O96+'Faculty Club'!O96+'Almazar &amp; Brand X'!O96+'Burger King'!O96+Bustelo!O96+Chilis!O96+Einstein!O96+Jamba!O96+'Pollo Tropical'!O96+'Subway GC'!O96+'Sushi Maki'!O96+Panda!O96+'Starbucks Mango'!O96+'Taco Bell'!O96+'Chick-fil-A'!O96+Dunkin!O96+Chipotle!O96+Sergios!O96+'Moes PG5'!O96+'Papa Johns'!O96+Salad!O96+'Half Moon &amp; Trop Smoothie'!O96+'Athletic Concessions -Kitchen'!O96+'Starbucks BBC'!O96+'Moes BBC'!O96+'Grille Works BBC &amp; Shipping'!O96+'Subway BBC'!O96+'Market Pavillion'!O96+'Chic Fil A BBC'!O96+Panera!O96+'Heritage Market'!O96</f>
        <v>0</v>
      </c>
      <c r="P96" s="80">
        <f t="shared" si="36"/>
        <v>0</v>
      </c>
      <c r="Q96" s="134">
        <f>'POD Breezeway'!Q96+'Express GL'!Q96+'Starbucks GL-SBX Truck'!Q96+'Miro''s'!Q96+'Faculty Club'!Q96+'Almazar &amp; Brand X'!Q96+'Burger King'!Q96+Bustelo!Q96+Chilis!Q96+Einstein!Q96+Jamba!Q96+'Pollo Tropical'!Q96+'Subway GC'!Q96+'Sushi Maki'!Q96+Panda!Q96+'Starbucks Mango'!Q96+'Taco Bell'!Q96+'Chick-fil-A'!Q96+Dunkin!Q96+Chipotle!Q96+Sergios!Q96+'Moes PG5'!Q96+'Papa Johns'!Q96+Salad!Q96+'Half Moon &amp; Trop Smoothie'!Q96+'Athletic Concessions -Kitchen'!Q96+'Starbucks BBC'!Q96+'Moes BBC'!Q96+'Grille Works BBC &amp; Shipping'!Q96+'Subway BBC'!Q96+'Market Pavillion'!Q96+'Chic Fil A BBC'!Q96+Panera!Q96+'Heritage Market'!Q96</f>
        <v>0</v>
      </c>
      <c r="R96" s="80">
        <f t="shared" si="37"/>
        <v>0</v>
      </c>
      <c r="S96" s="134">
        <f>'POD Breezeway'!S96+'Express GL'!S96+'Starbucks GL-SBX Truck'!S96+'Miro''s'!S96+'Faculty Club'!S96+'Almazar &amp; Brand X'!S96+'Burger King'!S96+Bustelo!S96+Chilis!S96+Einstein!S96+Jamba!S96+'Pollo Tropical'!S96+'Subway GC'!S96+'Sushi Maki'!S96+Panda!S96+'Starbucks Mango'!S96+'Taco Bell'!S96+'Chick-fil-A'!S96+Dunkin!S96+Chipotle!S96+Sergios!S96+'Moes PG5'!S96+'Papa Johns'!S96+Salad!S96+'Half Moon &amp; Trop Smoothie'!S96+'Athletic Concessions -Kitchen'!S96+'Starbucks BBC'!S96+'Moes BBC'!S96+'Grille Works BBC &amp; Shipping'!S96+'Subway BBC'!S96+'Market Pavillion'!S96+'Chic Fil A BBC'!S96+Panera!S96+'Heritage Market'!S96</f>
        <v>0</v>
      </c>
      <c r="T96" s="80">
        <f t="shared" si="38"/>
        <v>0</v>
      </c>
      <c r="U96" s="134">
        <f>'POD Breezeway'!U96+'Express GL'!U96+'Starbucks GL-SBX Truck'!U96+'Miro''s'!U96+'Faculty Club'!U96+'Almazar &amp; Brand X'!U96+'Burger King'!U96+Bustelo!U96+Chilis!U96+Einstein!U96+Jamba!U96+'Pollo Tropical'!U96+'Subway GC'!U96+'Sushi Maki'!U96+Panda!U96+'Starbucks Mango'!U96+'Taco Bell'!U96+'Chick-fil-A'!U96+Dunkin!U96+Chipotle!U96+Sergios!U96+'Moes PG5'!U96+'Papa Johns'!U96+Salad!U96+'Half Moon &amp; Trop Smoothie'!U96+'Athletic Concessions -Kitchen'!U96+'Starbucks BBC'!U96+'Moes BBC'!U96+'Grille Works BBC &amp; Shipping'!U96+'Subway BBC'!U96+'Market Pavillion'!U96+'Chic Fil A BBC'!U96+Panera!U96+'Heritage Market'!U96</f>
        <v>0</v>
      </c>
      <c r="V96" s="80">
        <f t="shared" si="29"/>
        <v>0</v>
      </c>
    </row>
    <row r="97" spans="1:22" ht="12.75" customHeight="1">
      <c r="A97" s="2" t="s">
        <v>441</v>
      </c>
      <c r="B97" s="35"/>
      <c r="C97" s="134">
        <f>'POD Breezeway'!C97+'Express GL'!C97+'Starbucks GL-SBX Truck'!C97+'Miro''s'!C97+'Faculty Club'!C97+'Almazar &amp; Brand X'!C97+'Burger King'!C97+Bustelo!C97+Chilis!C97+Einstein!C97+Jamba!C97+'Pollo Tropical'!C97+'Subway GC'!C97+'Sushi Maki'!C97+Panda!C97+'Starbucks Mango'!C97+'Taco Bell'!C97+'Chick-fil-A'!C97+Dunkin!C97+Chipotle!C97+Sergios!C97+'Moes PG5'!C97+'Papa Johns'!C97+Salad!C97+'Half Moon &amp; Trop Smoothie'!C97+'Athletic Concessions -Kitchen'!C97+'Starbucks BBC'!C97+'Moes BBC'!C97+'Grille Works BBC &amp; Shipping'!C97+'Subway BBC'!C97+'Market Pavillion'!C97+'Chic Fil A BBC'!C97+Panera!C97+'Heritage Market'!C97</f>
        <v>194150.64189999999</v>
      </c>
      <c r="D97" s="80">
        <f t="shared" si="30"/>
        <v>1.2248015941215391E-2</v>
      </c>
      <c r="E97" s="134">
        <f>'POD Breezeway'!E97+'Express GL'!E97+'Starbucks GL-SBX Truck'!E97+'Miro''s'!E97+'Faculty Club'!E97+'Almazar &amp; Brand X'!E97+'Burger King'!E97+Bustelo!E97+Chilis!E97+Einstein!E97+Jamba!E97+'Pollo Tropical'!E97+'Subway GC'!E97+'Sushi Maki'!E97+Panda!E97+'Starbucks Mango'!E97+'Taco Bell'!E97+'Chick-fil-A'!E97+Dunkin!E97+Chipotle!E97+Sergios!E97+'Moes PG5'!E97+'Papa Johns'!E97+Salad!E97+'Half Moon &amp; Trop Smoothie'!E97+'Athletic Concessions -Kitchen'!E97+'Starbucks BBC'!E97+'Moes BBC'!E97+'Grille Works BBC &amp; Shipping'!E97+'Subway BBC'!E97+'Market Pavillion'!E97+'Chic Fil A BBC'!E97+Panera!E97+'Heritage Market'!E97</f>
        <v>226974.56879330004</v>
      </c>
      <c r="F97" s="80">
        <f t="shared" si="31"/>
        <v>1.2066664188911558E-2</v>
      </c>
      <c r="G97" s="134">
        <f>'POD Breezeway'!G97+'Express GL'!G97+'Starbucks GL-SBX Truck'!G97+'Miro''s'!G97+'Faculty Club'!G97+'Almazar &amp; Brand X'!G97+'Burger King'!G97+Bustelo!G97+Chilis!G97+Einstein!G97+Jamba!G97+'Pollo Tropical'!G97+'Subway GC'!G97+'Sushi Maki'!G97+Panda!G97+'Starbucks Mango'!G97+'Taco Bell'!G97+'Chick-fil-A'!G97+Dunkin!G97+Chipotle!G97+Sergios!G97+'Moes PG5'!G97+'Papa Johns'!G97+Salad!G97+'Half Moon &amp; Trop Smoothie'!G97+'Athletic Concessions -Kitchen'!G97+'Starbucks BBC'!G97+'Moes BBC'!G97+'Grille Works BBC &amp; Shipping'!G97+'Subway BBC'!G97+'Market Pavillion'!G97+'Chic Fil A BBC'!G97+Panera!G97+'Heritage Market'!G97</f>
        <v>257928.72385605593</v>
      </c>
      <c r="H97" s="80">
        <f t="shared" si="32"/>
        <v>1.2497844136951946E-2</v>
      </c>
      <c r="I97" s="134">
        <f>'POD Breezeway'!I97+'Express GL'!I97+'Starbucks GL-SBX Truck'!I97+'Miro''s'!I97+'Faculty Club'!I97+'Almazar &amp; Brand X'!I97+'Burger King'!I97+Bustelo!I97+Chilis!I97+Einstein!I97+Jamba!I97+'Pollo Tropical'!I97+'Subway GC'!I97+'Sushi Maki'!I97+Panda!I97+'Starbucks Mango'!I97+'Taco Bell'!I97+'Chick-fil-A'!I97+Dunkin!I97+Chipotle!I97+Sergios!I97+'Moes PG5'!I97+'Papa Johns'!I97+Salad!I97+'Half Moon &amp; Trop Smoothie'!I97+'Athletic Concessions -Kitchen'!I97+'Starbucks BBC'!I97+'Moes BBC'!I97+'Grille Works BBC &amp; Shipping'!I97+'Subway BBC'!I97+'Market Pavillion'!I97+'Chic Fil A BBC'!I97+Panera!I97+'Heritage Market'!I97</f>
        <v>265930.33313118987</v>
      </c>
      <c r="J97" s="80">
        <f t="shared" si="33"/>
        <v>1.2415818241479346E-2</v>
      </c>
      <c r="K97" s="134">
        <f>'POD Breezeway'!K97+'Express GL'!K97+'Starbucks GL-SBX Truck'!K97+'Miro''s'!K97+'Faculty Club'!K97+'Almazar &amp; Brand X'!K97+'Burger King'!K97+Bustelo!K97+Chilis!K97+Einstein!K97+Jamba!K97+'Pollo Tropical'!K97+'Subway GC'!K97+'Sushi Maki'!K97+Panda!K97+'Starbucks Mango'!K97+'Taco Bell'!K97+'Chick-fil-A'!K97+Dunkin!K97+Chipotle!K97+Sergios!K97+'Moes PG5'!K97+'Papa Johns'!K97+Salad!K97+'Half Moon &amp; Trop Smoothie'!K97+'Athletic Concessions -Kitchen'!K97+'Starbucks BBC'!K97+'Moes BBC'!K97+'Grille Works BBC &amp; Shipping'!K97+'Subway BBC'!K97+'Market Pavillion'!K97+'Chic Fil A BBC'!K97+Panera!K97+'Heritage Market'!K97</f>
        <v>272188.50559083198</v>
      </c>
      <c r="L97" s="80">
        <f t="shared" si="34"/>
        <v>1.2334883609566886E-2</v>
      </c>
      <c r="M97" s="134">
        <f>'POD Breezeway'!M97+'Express GL'!M97+'Starbucks GL-SBX Truck'!M97+'Miro''s'!M97+'Faculty Club'!M97+'Almazar &amp; Brand X'!M97+'Burger King'!M97+Bustelo!M97+Chilis!M97+Einstein!M97+Jamba!M97+'Pollo Tropical'!M97+'Subway GC'!M97+'Sushi Maki'!M97+Panda!M97+'Starbucks Mango'!M97+'Taco Bell'!M97+'Chick-fil-A'!M97+Dunkin!M97+Chipotle!M97+Sergios!M97+'Moes PG5'!M97+'Papa Johns'!M97+Salad!M97+'Half Moon &amp; Trop Smoothie'!M97+'Athletic Concessions -Kitchen'!M97+'Starbucks BBC'!M97+'Moes BBC'!M97+'Grille Works BBC &amp; Shipping'!M97+'Subway BBC'!M97+'Market Pavillion'!M97+'Chic Fil A BBC'!M97+Panera!M97+'Heritage Market'!M97</f>
        <v>278842.780909458</v>
      </c>
      <c r="N97" s="80">
        <f t="shared" si="35"/>
        <v>1.2260877926799158E-2</v>
      </c>
      <c r="O97" s="134">
        <f>'POD Breezeway'!O97+'Express GL'!O97+'Starbucks GL-SBX Truck'!O97+'Miro''s'!O97+'Faculty Club'!O97+'Almazar &amp; Brand X'!O97+'Burger King'!O97+Bustelo!O97+Chilis!O97+Einstein!O97+Jamba!O97+'Pollo Tropical'!O97+'Subway GC'!O97+'Sushi Maki'!O97+Panda!O97+'Starbucks Mango'!O97+'Taco Bell'!O97+'Chick-fil-A'!O97+Dunkin!O97+Chipotle!O97+Sergios!O97+'Moes PG5'!O97+'Papa Johns'!O97+Salad!O97+'Half Moon &amp; Trop Smoothie'!O97+'Athletic Concessions -Kitchen'!O97+'Starbucks BBC'!O97+'Moes BBC'!O97+'Grille Works BBC &amp; Shipping'!O97+'Subway BBC'!O97+'Market Pavillion'!O97+'Chic Fil A BBC'!O97+Panera!O97+'Heritage Market'!O97</f>
        <v>285647.40770351735</v>
      </c>
      <c r="P97" s="80">
        <f t="shared" si="36"/>
        <v>1.217738296891448E-2</v>
      </c>
      <c r="Q97" s="134">
        <f>'POD Breezeway'!Q97+'Express GL'!Q97+'Starbucks GL-SBX Truck'!Q97+'Miro''s'!Q97+'Faculty Club'!Q97+'Almazar &amp; Brand X'!Q97+'Burger King'!Q97+Bustelo!Q97+Chilis!Q97+Einstein!Q97+Jamba!Q97+'Pollo Tropical'!Q97+'Subway GC'!Q97+'Sushi Maki'!Q97+Panda!Q97+'Starbucks Mango'!Q97+'Taco Bell'!Q97+'Chick-fil-A'!Q97+Dunkin!Q97+Chipotle!Q97+Sergios!Q97+'Moes PG5'!Q97+'Papa Johns'!Q97+Salad!Q97+'Half Moon &amp; Trop Smoothie'!Q97+'Athletic Concessions -Kitchen'!Q97+'Starbucks BBC'!Q97+'Moes BBC'!Q97+'Grille Works BBC &amp; Shipping'!Q97+'Subway BBC'!Q97+'Market Pavillion'!Q97+'Chic Fil A BBC'!Q97+Panera!Q97+'Heritage Market'!Q97</f>
        <v>292024.19932201522</v>
      </c>
      <c r="R97" s="80">
        <f t="shared" si="37"/>
        <v>1.2063931538532217E-2</v>
      </c>
      <c r="S97" s="134">
        <f>'POD Breezeway'!S97+'Express GL'!S97+'Starbucks GL-SBX Truck'!S97+'Miro''s'!S97+'Faculty Club'!S97+'Almazar &amp; Brand X'!S97+'Burger King'!S97+Bustelo!S97+Chilis!S97+Einstein!S97+Jamba!S97+'Pollo Tropical'!S97+'Subway GC'!S97+'Sushi Maki'!S97+Panda!S97+'Starbucks Mango'!S97+'Taco Bell'!S97+'Chick-fil-A'!S97+Dunkin!S97+Chipotle!S97+Sergios!S97+'Moes PG5'!S97+'Papa Johns'!S97+Salad!S97+'Half Moon &amp; Trop Smoothie'!S97+'Athletic Concessions -Kitchen'!S97+'Starbucks BBC'!S97+'Moes BBC'!S97+'Grille Works BBC &amp; Shipping'!S97+'Subway BBC'!S97+'Market Pavillion'!S97+'Chic Fil A BBC'!S97+Panera!S97+'Heritage Market'!S97</f>
        <v>298334.36119897297</v>
      </c>
      <c r="T97" s="80">
        <f t="shared" si="38"/>
        <v>1.1940163917459331E-2</v>
      </c>
      <c r="U97" s="134">
        <f>'POD Breezeway'!U97+'Express GL'!U97+'Starbucks GL-SBX Truck'!U97+'Miro''s'!U97+'Faculty Club'!U97+'Almazar &amp; Brand X'!U97+'Burger King'!U97+Bustelo!U97+Chilis!U97+Einstein!U97+Jamba!U97+'Pollo Tropical'!U97+'Subway GC'!U97+'Sushi Maki'!U97+Panda!U97+'Starbucks Mango'!U97+'Taco Bell'!U97+'Chick-fil-A'!U97+Dunkin!U97+Chipotle!U97+Sergios!U97+'Moes PG5'!U97+'Papa Johns'!U97+Salad!U97+'Half Moon &amp; Trop Smoothie'!U97+'Athletic Concessions -Kitchen'!U97+'Starbucks BBC'!U97+'Moes BBC'!U97+'Grille Works BBC &amp; Shipping'!U97+'Subway BBC'!U97+'Market Pavillion'!U97+'Chic Fil A BBC'!U97+Panera!U97+'Heritage Market'!U97</f>
        <v>305744.84350953111</v>
      </c>
      <c r="V97" s="80">
        <f t="shared" si="29"/>
        <v>1.1852536606342291E-2</v>
      </c>
    </row>
    <row r="98" spans="1:22" ht="12.75" customHeight="1">
      <c r="A98" s="216" t="s">
        <v>444</v>
      </c>
      <c r="B98" s="215"/>
      <c r="C98" s="134">
        <f>'POD Breezeway'!C98+'Express GL'!C98+'Starbucks GL-SBX Truck'!C98+'Miro''s'!C98+'Faculty Club'!C98+'Almazar &amp; Brand X'!C98+'Burger King'!C98+Bustelo!C98+Chilis!C98+Einstein!C98+Jamba!C98+'Pollo Tropical'!C98+'Subway GC'!C98+'Sushi Maki'!C98+Panda!C98+'Starbucks Mango'!C98+'Taco Bell'!C98+'Chick-fil-A'!C98+Dunkin!C98+Chipotle!C98+Sergios!C98+'Moes PG5'!C98+'Papa Johns'!C98+Salad!C98+'Half Moon &amp; Trop Smoothie'!C98+'Athletic Concessions -Kitchen'!C98+'Starbucks BBC'!C98+'Moes BBC'!C98+'Grille Works BBC &amp; Shipping'!C98+'Subway BBC'!C98+'Market Pavillion'!C98+'Chic Fil A BBC'!C98+Panera!C98+'Heritage Market'!C98</f>
        <v>18690.359255999992</v>
      </c>
      <c r="D98" s="80">
        <f t="shared" si="30"/>
        <v>1.1790834986393653E-3</v>
      </c>
      <c r="E98" s="134">
        <f>'POD Breezeway'!E98+'Express GL'!E98+'Starbucks GL-SBX Truck'!E98+'Miro''s'!E98+'Faculty Club'!E98+'Almazar &amp; Brand X'!E98+'Burger King'!E98+Bustelo!E98+Chilis!E98+Einstein!E98+Jamba!E98+'Pollo Tropical'!E98+'Subway GC'!E98+'Sushi Maki'!E98+Panda!E98+'Starbucks Mango'!E98+'Taco Bell'!E98+'Chick-fil-A'!E98+Dunkin!E98+Chipotle!E98+Sergios!E98+'Moes PG5'!E98+'Papa Johns'!E98+Salad!E98+'Half Moon &amp; Trop Smoothie'!E98+'Athletic Concessions -Kitchen'!E98+'Starbucks BBC'!E98+'Moes BBC'!E98+'Grille Works BBC &amp; Shipping'!E98+'Subway BBC'!E98+'Market Pavillion'!E98+'Chic Fil A BBC'!E98+Panera!E98+'Heritage Market'!E98</f>
        <v>22228.35</v>
      </c>
      <c r="F98" s="80">
        <f t="shared" si="31"/>
        <v>1.1817272584747377E-3</v>
      </c>
      <c r="G98" s="134">
        <f>'POD Breezeway'!G98+'Express GL'!G98+'Starbucks GL-SBX Truck'!G98+'Miro''s'!G98+'Faculty Club'!G98+'Almazar &amp; Brand X'!G98+'Burger King'!G98+Bustelo!G98+Chilis!G98+Einstein!G98+Jamba!G98+'Pollo Tropical'!G98+'Subway GC'!G98+'Sushi Maki'!G98+Panda!G98+'Starbucks Mango'!G98+'Taco Bell'!G98+'Chick-fil-A'!G98+Dunkin!G98+Chipotle!G98+Sergios!G98+'Moes PG5'!G98+'Papa Johns'!G98+Salad!G98+'Half Moon &amp; Trop Smoothie'!G98+'Athletic Concessions -Kitchen'!G98+'Starbucks BBC'!G98+'Moes BBC'!G98+'Grille Works BBC &amp; Shipping'!G98+'Subway BBC'!G98+'Market Pavillion'!G98+'Chic Fil A BBC'!G98+Panera!G98+'Heritage Market'!G98</f>
        <v>24467.029799999997</v>
      </c>
      <c r="H98" s="80">
        <f t="shared" si="32"/>
        <v>1.1855411850337776E-3</v>
      </c>
      <c r="I98" s="134">
        <f>'POD Breezeway'!I98+'Express GL'!I98+'Starbucks GL-SBX Truck'!I98+'Miro''s'!I98+'Faculty Club'!I98+'Almazar &amp; Brand X'!I98+'Burger King'!I98+Bustelo!I98+Chilis!I98+Einstein!I98+Jamba!I98+'Pollo Tropical'!I98+'Subway GC'!I98+'Sushi Maki'!I98+Panda!I98+'Starbucks Mango'!I98+'Taco Bell'!I98+'Chick-fil-A'!I98+Dunkin!I98+Chipotle!I98+Sergios!I98+'Moes PG5'!I98+'Papa Johns'!I98+Salad!I98+'Half Moon &amp; Trop Smoothie'!I98+'Athletic Concessions -Kitchen'!I98+'Starbucks BBC'!I98+'Moes BBC'!I98+'Grille Works BBC &amp; Shipping'!I98+'Subway BBC'!I98+'Market Pavillion'!I98+'Chic Fil A BBC'!I98+Panera!I98+'Heritage Market'!I98</f>
        <v>25398.038939399994</v>
      </c>
      <c r="J98" s="80">
        <f t="shared" si="33"/>
        <v>1.1857896444105217E-3</v>
      </c>
      <c r="K98" s="134">
        <f>'POD Breezeway'!K98+'Express GL'!K98+'Starbucks GL-SBX Truck'!K98+'Miro''s'!K98+'Faculty Club'!K98+'Almazar &amp; Brand X'!K98+'Burger King'!K98+Bustelo!K98+Chilis!K98+Einstein!K98+Jamba!K98+'Pollo Tropical'!K98+'Subway GC'!K98+'Sushi Maki'!K98+Panda!K98+'Starbucks Mango'!K98+'Taco Bell'!K98+'Chick-fil-A'!K98+Dunkin!K98+Chipotle!K98+Sergios!K98+'Moes PG5'!K98+'Papa Johns'!K98+Salad!K98+'Half Moon &amp; Trop Smoothie'!K98+'Athletic Concessions -Kitchen'!K98+'Starbucks BBC'!K98+'Moes BBC'!K98+'Grille Works BBC &amp; Shipping'!K98+'Subway BBC'!K98+'Market Pavillion'!K98+'Chic Fil A BBC'!K98+Panera!K98+'Heritage Market'!K98</f>
        <v>26169.423201821999</v>
      </c>
      <c r="L98" s="80">
        <f t="shared" si="34"/>
        <v>1.1859310099200831E-3</v>
      </c>
      <c r="M98" s="134">
        <f>'POD Breezeway'!M98+'Express GL'!M98+'Starbucks GL-SBX Truck'!M98+'Miro''s'!M98+'Faculty Club'!M98+'Almazar &amp; Brand X'!M98+'Burger King'!M98+Bustelo!M98+Chilis!M98+Einstein!M98+Jamba!M98+'Pollo Tropical'!M98+'Subway GC'!M98+'Sushi Maki'!M98+Panda!M98+'Starbucks Mango'!M98+'Taco Bell'!M98+'Chick-fil-A'!M98+Dunkin!M98+Chipotle!M98+Sergios!M98+'Moes PG5'!M98+'Papa Johns'!M98+Salad!M98+'Half Moon &amp; Trop Smoothie'!M98+'Athletic Concessions -Kitchen'!M98+'Starbucks BBC'!M98+'Moes BBC'!M98+'Grille Works BBC &amp; Shipping'!M98+'Subway BBC'!M98+'Market Pavillion'!M98+'Chic Fil A BBC'!M98+Panera!M98+'Heritage Market'!M98</f>
        <v>26974.313603119899</v>
      </c>
      <c r="N98" s="80">
        <f t="shared" si="35"/>
        <v>1.1860761292380052E-3</v>
      </c>
      <c r="O98" s="134">
        <f>'POD Breezeway'!O98+'Express GL'!O98+'Starbucks GL-SBX Truck'!O98+'Miro''s'!O98+'Faculty Club'!O98+'Almazar &amp; Brand X'!O98+'Burger King'!O98+Bustelo!O98+Chilis!O98+Einstein!O98+Jamba!O98+'Pollo Tropical'!O98+'Subway GC'!O98+'Sushi Maki'!O98+Panda!O98+'Starbucks Mango'!O98+'Taco Bell'!O98+'Chick-fil-A'!O98+Dunkin!O98+Chipotle!O98+Sergios!O98+'Moes PG5'!O98+'Papa Johns'!O98+Salad!O98+'Half Moon &amp; Trop Smoothie'!O98+'Athletic Concessions -Kitchen'!O98+'Starbucks BBC'!O98+'Moes BBC'!O98+'Grille Works BBC &amp; Shipping'!O98+'Subway BBC'!O98+'Market Pavillion'!O98+'Chic Fil A BBC'!O98+Panera!O98+'Heritage Market'!O98</f>
        <v>27825.653216138289</v>
      </c>
      <c r="P98" s="80">
        <f t="shared" si="36"/>
        <v>1.1862303890564957E-3</v>
      </c>
      <c r="Q98" s="134">
        <f>'POD Breezeway'!Q98+'Express GL'!Q98+'Starbucks GL-SBX Truck'!Q98+'Miro''s'!Q98+'Faculty Club'!Q98+'Almazar &amp; Brand X'!Q98+'Burger King'!Q98+Bustelo!Q98+Chilis!Q98+Einstein!Q98+Jamba!Q98+'Pollo Tropical'!Q98+'Subway GC'!Q98+'Sushi Maki'!Q98+Panda!Q98+'Starbucks Mango'!Q98+'Taco Bell'!Q98+'Chick-fil-A'!Q98+Dunkin!Q98+Chipotle!Q98+Sergios!Q98+'Moes PG5'!Q98+'Papa Johns'!Q98+Salad!Q98+'Half Moon &amp; Trop Smoothie'!Q98+'Athletic Concessions -Kitchen'!Q98+'Starbucks BBC'!Q98+'Moes BBC'!Q98+'Grille Works BBC &amp; Shipping'!Q98+'Subway BBC'!Q98+'Market Pavillion'!Q98+'Chic Fil A BBC'!Q98+Panera!Q98+'Heritage Market'!Q98</f>
        <v>28718.208210457116</v>
      </c>
      <c r="R98" s="80">
        <f t="shared" si="37"/>
        <v>1.1863896847063449E-3</v>
      </c>
      <c r="S98" s="134">
        <f>'POD Breezeway'!S98+'Express GL'!S98+'Starbucks GL-SBX Truck'!S98+'Miro''s'!S98+'Faculty Club'!S98+'Almazar &amp; Brand X'!S98+'Burger King'!S98+Bustelo!S98+Chilis!S98+Einstein!S98+Jamba!S98+'Pollo Tropical'!S98+'Subway GC'!S98+'Sushi Maki'!S98+Panda!S98+'Starbucks Mango'!S98+'Taco Bell'!S98+'Chick-fil-A'!S98+Dunkin!S98+Chipotle!S98+Sergios!S98+'Moes PG5'!S98+'Papa Johns'!S98+Salad!S98+'Half Moon &amp; Trop Smoothie'!S98+'Athletic Concessions -Kitchen'!S98+'Starbucks BBC'!S98+'Moes BBC'!S98+'Grille Works BBC &amp; Shipping'!S98+'Subway BBC'!S98+'Market Pavillion'!S98+'Chic Fil A BBC'!S98+Panera!S98+'Heritage Market'!S98</f>
        <v>29646.895570896191</v>
      </c>
      <c r="T98" s="80">
        <f t="shared" si="38"/>
        <v>1.1865505245110136E-3</v>
      </c>
      <c r="U98" s="134">
        <f>'POD Breezeway'!U98+'Express GL'!U98+'Starbucks GL-SBX Truck'!U98+'Miro''s'!U98+'Faculty Club'!U98+'Almazar &amp; Brand X'!U98+'Burger King'!U98+Bustelo!U98+Chilis!U98+Einstein!U98+Jamba!U98+'Pollo Tropical'!U98+'Subway GC'!U98+'Sushi Maki'!U98+Panda!U98+'Starbucks Mango'!U98+'Taco Bell'!U98+'Chick-fil-A'!U98+Dunkin!U98+Chipotle!U98+Sergios!U98+'Moes PG5'!U98+'Papa Johns'!U98+Salad!U98+'Half Moon &amp; Trop Smoothie'!U98+'Athletic Concessions -Kitchen'!U98+'Starbucks BBC'!U98+'Moes BBC'!U98+'Grille Works BBC &amp; Shipping'!U98+'Subway BBC'!U98+'Market Pavillion'!U98+'Chic Fil A BBC'!U98+Panera!U98+'Heritage Market'!U98</f>
        <v>30612.110342819007</v>
      </c>
      <c r="V98" s="80">
        <f t="shared" si="29"/>
        <v>1.1867122737732813E-3</v>
      </c>
    </row>
    <row r="99" spans="1:22" ht="12.75" customHeight="1">
      <c r="A99" s="216" t="s">
        <v>444</v>
      </c>
      <c r="B99" s="215"/>
      <c r="C99" s="134">
        <f>'POD Breezeway'!C99+'Express GL'!C99+'Starbucks GL-SBX Truck'!C99+'Miro''s'!C99+'Faculty Club'!C99+'Almazar &amp; Brand X'!C99+'Burger King'!C99+Bustelo!C99+Chilis!C99+Einstein!C99+Jamba!C99+'Pollo Tropical'!C99+'Subway GC'!C99+'Sushi Maki'!C99+Panda!C99+'Starbucks Mango'!C99+'Taco Bell'!C99+'Chick-fil-A'!C99+Dunkin!C99+Chipotle!C99+Sergios!C99+'Moes PG5'!C99+'Papa Johns'!C99+Salad!C99+'Half Moon &amp; Trop Smoothie'!C99+'Athletic Concessions -Kitchen'!C99+'Starbucks BBC'!C99+'Moes BBC'!C99+'Grille Works BBC &amp; Shipping'!C99+'Subway BBC'!C99+'Market Pavillion'!C99+'Chic Fil A BBC'!C99+Panera!C99+'Heritage Market'!C99</f>
        <v>0</v>
      </c>
      <c r="D99" s="80">
        <f t="shared" si="30"/>
        <v>0</v>
      </c>
      <c r="E99" s="134">
        <f>'POD Breezeway'!E99+'Express GL'!E99+'Starbucks GL-SBX Truck'!E99+'Miro''s'!E99+'Faculty Club'!E99+'Almazar &amp; Brand X'!E99+'Burger King'!E99+Bustelo!E99+Chilis!E99+Einstein!E99+Jamba!E99+'Pollo Tropical'!E99+'Subway GC'!E99+'Sushi Maki'!E99+Panda!E99+'Starbucks Mango'!E99+'Taco Bell'!E99+'Chick-fil-A'!E99+Dunkin!E99+Chipotle!E99+Sergios!E99+'Moes PG5'!E99+'Papa Johns'!E99+Salad!E99+'Half Moon &amp; Trop Smoothie'!E99+'Athletic Concessions -Kitchen'!E99+'Starbucks BBC'!E99+'Moes BBC'!E99+'Grille Works BBC &amp; Shipping'!E99+'Subway BBC'!E99+'Market Pavillion'!E99+'Chic Fil A BBC'!E99+Panera!E99+'Heritage Market'!E99</f>
        <v>0</v>
      </c>
      <c r="F99" s="80">
        <f t="shared" si="31"/>
        <v>0</v>
      </c>
      <c r="G99" s="134">
        <f>'POD Breezeway'!G99+'Express GL'!G99+'Starbucks GL-SBX Truck'!G99+'Miro''s'!G99+'Faculty Club'!G99+'Almazar &amp; Brand X'!G99+'Burger King'!G99+Bustelo!G99+Chilis!G99+Einstein!G99+Jamba!G99+'Pollo Tropical'!G99+'Subway GC'!G99+'Sushi Maki'!G99+Panda!G99+'Starbucks Mango'!G99+'Taco Bell'!G99+'Chick-fil-A'!G99+Dunkin!G99+Chipotle!G99+Sergios!G99+'Moes PG5'!G99+'Papa Johns'!G99+Salad!G99+'Half Moon &amp; Trop Smoothie'!G99+'Athletic Concessions -Kitchen'!G99+'Starbucks BBC'!G99+'Moes BBC'!G99+'Grille Works BBC &amp; Shipping'!G99+'Subway BBC'!G99+'Market Pavillion'!G99+'Chic Fil A BBC'!G99+Panera!G99+'Heritage Market'!G99</f>
        <v>0</v>
      </c>
      <c r="H99" s="80">
        <f t="shared" si="32"/>
        <v>0</v>
      </c>
      <c r="I99" s="134">
        <f>'POD Breezeway'!I99+'Express GL'!I99+'Starbucks GL-SBX Truck'!I99+'Miro''s'!I99+'Faculty Club'!I99+'Almazar &amp; Brand X'!I99+'Burger King'!I99+Bustelo!I99+Chilis!I99+Einstein!I99+Jamba!I99+'Pollo Tropical'!I99+'Subway GC'!I99+'Sushi Maki'!I99+Panda!I99+'Starbucks Mango'!I99+'Taco Bell'!I99+'Chick-fil-A'!I99+Dunkin!I99+Chipotle!I99+Sergios!I99+'Moes PG5'!I99+'Papa Johns'!I99+Salad!I99+'Half Moon &amp; Trop Smoothie'!I99+'Athletic Concessions -Kitchen'!I99+'Starbucks BBC'!I99+'Moes BBC'!I99+'Grille Works BBC &amp; Shipping'!I99+'Subway BBC'!I99+'Market Pavillion'!I99+'Chic Fil A BBC'!I99+Panera!I99+'Heritage Market'!I99</f>
        <v>0</v>
      </c>
      <c r="J99" s="80">
        <f t="shared" si="33"/>
        <v>0</v>
      </c>
      <c r="K99" s="134">
        <f>'POD Breezeway'!K99+'Express GL'!K99+'Starbucks GL-SBX Truck'!K99+'Miro''s'!K99+'Faculty Club'!K99+'Almazar &amp; Brand X'!K99+'Burger King'!K99+Bustelo!K99+Chilis!K99+Einstein!K99+Jamba!K99+'Pollo Tropical'!K99+'Subway GC'!K99+'Sushi Maki'!K99+Panda!K99+'Starbucks Mango'!K99+'Taco Bell'!K99+'Chick-fil-A'!K99+Dunkin!K99+Chipotle!K99+Sergios!K99+'Moes PG5'!K99+'Papa Johns'!K99+Salad!K99+'Half Moon &amp; Trop Smoothie'!K99+'Athletic Concessions -Kitchen'!K99+'Starbucks BBC'!K99+'Moes BBC'!K99+'Grille Works BBC &amp; Shipping'!K99+'Subway BBC'!K99+'Market Pavillion'!K99+'Chic Fil A BBC'!K99+Panera!K99+'Heritage Market'!K99</f>
        <v>0</v>
      </c>
      <c r="L99" s="80">
        <f t="shared" si="34"/>
        <v>0</v>
      </c>
      <c r="M99" s="134">
        <f>'POD Breezeway'!M99+'Express GL'!M99+'Starbucks GL-SBX Truck'!M99+'Miro''s'!M99+'Faculty Club'!M99+'Almazar &amp; Brand X'!M99+'Burger King'!M99+Bustelo!M99+Chilis!M99+Einstein!M99+Jamba!M99+'Pollo Tropical'!M99+'Subway GC'!M99+'Sushi Maki'!M99+Panda!M99+'Starbucks Mango'!M99+'Taco Bell'!M99+'Chick-fil-A'!M99+Dunkin!M99+Chipotle!M99+Sergios!M99+'Moes PG5'!M99+'Papa Johns'!M99+Salad!M99+'Half Moon &amp; Trop Smoothie'!M99+'Athletic Concessions -Kitchen'!M99+'Starbucks BBC'!M99+'Moes BBC'!M99+'Grille Works BBC &amp; Shipping'!M99+'Subway BBC'!M99+'Market Pavillion'!M99+'Chic Fil A BBC'!M99+Panera!M99+'Heritage Market'!M99</f>
        <v>0</v>
      </c>
      <c r="N99" s="80">
        <f t="shared" si="35"/>
        <v>0</v>
      </c>
      <c r="O99" s="134">
        <f>'POD Breezeway'!O99+'Express GL'!O99+'Starbucks GL-SBX Truck'!O99+'Miro''s'!O99+'Faculty Club'!O99+'Almazar &amp; Brand X'!O99+'Burger King'!O99+Bustelo!O99+Chilis!O99+Einstein!O99+Jamba!O99+'Pollo Tropical'!O99+'Subway GC'!O99+'Sushi Maki'!O99+Panda!O99+'Starbucks Mango'!O99+'Taco Bell'!O99+'Chick-fil-A'!O99+Dunkin!O99+Chipotle!O99+Sergios!O99+'Moes PG5'!O99+'Papa Johns'!O99+Salad!O99+'Half Moon &amp; Trop Smoothie'!O99+'Athletic Concessions -Kitchen'!O99+'Starbucks BBC'!O99+'Moes BBC'!O99+'Grille Works BBC &amp; Shipping'!O99+'Subway BBC'!O99+'Market Pavillion'!O99+'Chic Fil A BBC'!O99+Panera!O99+'Heritage Market'!O99</f>
        <v>0</v>
      </c>
      <c r="P99" s="80">
        <f t="shared" si="36"/>
        <v>0</v>
      </c>
      <c r="Q99" s="134">
        <f>'POD Breezeway'!Q99+'Express GL'!Q99+'Starbucks GL-SBX Truck'!Q99+'Miro''s'!Q99+'Faculty Club'!Q99+'Almazar &amp; Brand X'!Q99+'Burger King'!Q99+Bustelo!Q99+Chilis!Q99+Einstein!Q99+Jamba!Q99+'Pollo Tropical'!Q99+'Subway GC'!Q99+'Sushi Maki'!Q99+Panda!Q99+'Starbucks Mango'!Q99+'Taco Bell'!Q99+'Chick-fil-A'!Q99+Dunkin!Q99+Chipotle!Q99+Sergios!Q99+'Moes PG5'!Q99+'Papa Johns'!Q99+Salad!Q99+'Half Moon &amp; Trop Smoothie'!Q99+'Athletic Concessions -Kitchen'!Q99+'Starbucks BBC'!Q99+'Moes BBC'!Q99+'Grille Works BBC &amp; Shipping'!Q99+'Subway BBC'!Q99+'Market Pavillion'!Q99+'Chic Fil A BBC'!Q99+Panera!Q99+'Heritage Market'!Q99</f>
        <v>0</v>
      </c>
      <c r="R99" s="80">
        <f t="shared" si="37"/>
        <v>0</v>
      </c>
      <c r="S99" s="134">
        <f>'POD Breezeway'!S99+'Express GL'!S99+'Starbucks GL-SBX Truck'!S99+'Miro''s'!S99+'Faculty Club'!S99+'Almazar &amp; Brand X'!S99+'Burger King'!S99+Bustelo!S99+Chilis!S99+Einstein!S99+Jamba!S99+'Pollo Tropical'!S99+'Subway GC'!S99+'Sushi Maki'!S99+Panda!S99+'Starbucks Mango'!S99+'Taco Bell'!S99+'Chick-fil-A'!S99+Dunkin!S99+Chipotle!S99+Sergios!S99+'Moes PG5'!S99+'Papa Johns'!S99+Salad!S99+'Half Moon &amp; Trop Smoothie'!S99+'Athletic Concessions -Kitchen'!S99+'Starbucks BBC'!S99+'Moes BBC'!S99+'Grille Works BBC &amp; Shipping'!S99+'Subway BBC'!S99+'Market Pavillion'!S99+'Chic Fil A BBC'!S99+Panera!S99+'Heritage Market'!S99</f>
        <v>0</v>
      </c>
      <c r="T99" s="80">
        <f t="shared" si="38"/>
        <v>0</v>
      </c>
      <c r="U99" s="134">
        <f>'POD Breezeway'!U99+'Express GL'!U99+'Starbucks GL-SBX Truck'!U99+'Miro''s'!U99+'Faculty Club'!U99+'Almazar &amp; Brand X'!U99+'Burger King'!U99+Bustelo!U99+Chilis!U99+Einstein!U99+Jamba!U99+'Pollo Tropical'!U99+'Subway GC'!U99+'Sushi Maki'!U99+Panda!U99+'Starbucks Mango'!U99+'Taco Bell'!U99+'Chick-fil-A'!U99+Dunkin!U99+Chipotle!U99+Sergios!U99+'Moes PG5'!U99+'Papa Johns'!U99+Salad!U99+'Half Moon &amp; Trop Smoothie'!U99+'Athletic Concessions -Kitchen'!U99+'Starbucks BBC'!U99+'Moes BBC'!U99+'Grille Works BBC &amp; Shipping'!U99+'Subway BBC'!U99+'Market Pavillion'!U99+'Chic Fil A BBC'!U99+Panera!U99+'Heritage Market'!U99</f>
        <v>0</v>
      </c>
      <c r="V99" s="80">
        <f t="shared" si="29"/>
        <v>0</v>
      </c>
    </row>
    <row r="100" spans="1:22" ht="12.75" customHeight="1">
      <c r="A100" s="216" t="s">
        <v>444</v>
      </c>
      <c r="B100" s="215"/>
      <c r="C100" s="134">
        <f>'POD Breezeway'!C100+'Express GL'!C100+'Starbucks GL-SBX Truck'!C100+'Miro''s'!C100+'Faculty Club'!C100+'Almazar &amp; Brand X'!C100+'Burger King'!C100+Bustelo!C100+Chilis!C100+Einstein!C100+Jamba!C100+'Pollo Tropical'!C100+'Subway GC'!C100+'Sushi Maki'!C100+Panda!C100+'Starbucks Mango'!C100+'Taco Bell'!C100+'Chick-fil-A'!C100+Dunkin!C100+Chipotle!C100+Sergios!C100+'Moes PG5'!C100+'Papa Johns'!C100+Salad!C100+'Half Moon &amp; Trop Smoothie'!C100+'Athletic Concessions -Kitchen'!C100+'Starbucks BBC'!C100+'Moes BBC'!C100+'Grille Works BBC &amp; Shipping'!C100+'Subway BBC'!C100+'Market Pavillion'!C100+'Chic Fil A BBC'!C100+Panera!C100+'Heritage Market'!C100</f>
        <v>0</v>
      </c>
      <c r="D100" s="80">
        <f t="shared" si="30"/>
        <v>0</v>
      </c>
      <c r="E100" s="134">
        <f>'POD Breezeway'!E100+'Express GL'!E100+'Starbucks GL-SBX Truck'!E100+'Miro''s'!E100+'Faculty Club'!E100+'Almazar &amp; Brand X'!E100+'Burger King'!E100+Bustelo!E100+Chilis!E100+Einstein!E100+Jamba!E100+'Pollo Tropical'!E100+'Subway GC'!E100+'Sushi Maki'!E100+Panda!E100+'Starbucks Mango'!E100+'Taco Bell'!E100+'Chick-fil-A'!E100+Dunkin!E100+Chipotle!E100+Sergios!E100+'Moes PG5'!E100+'Papa Johns'!E100+Salad!E100+'Half Moon &amp; Trop Smoothie'!E100+'Athletic Concessions -Kitchen'!E100+'Starbucks BBC'!E100+'Moes BBC'!E100+'Grille Works BBC &amp; Shipping'!E100+'Subway BBC'!E100+'Market Pavillion'!E100+'Chic Fil A BBC'!E100+Panera!E100+'Heritage Market'!E100</f>
        <v>0</v>
      </c>
      <c r="F100" s="80">
        <f t="shared" si="31"/>
        <v>0</v>
      </c>
      <c r="G100" s="134">
        <f>'POD Breezeway'!G100+'Express GL'!G100+'Starbucks GL-SBX Truck'!G100+'Miro''s'!G100+'Faculty Club'!G100+'Almazar &amp; Brand X'!G100+'Burger King'!G100+Bustelo!G100+Chilis!G100+Einstein!G100+Jamba!G100+'Pollo Tropical'!G100+'Subway GC'!G100+'Sushi Maki'!G100+Panda!G100+'Starbucks Mango'!G100+'Taco Bell'!G100+'Chick-fil-A'!G100+Dunkin!G100+Chipotle!G100+Sergios!G100+'Moes PG5'!G100+'Papa Johns'!G100+Salad!G100+'Half Moon &amp; Trop Smoothie'!G100+'Athletic Concessions -Kitchen'!G100+'Starbucks BBC'!G100+'Moes BBC'!G100+'Grille Works BBC &amp; Shipping'!G100+'Subway BBC'!G100+'Market Pavillion'!G100+'Chic Fil A BBC'!G100+Panera!G100+'Heritage Market'!G100</f>
        <v>0</v>
      </c>
      <c r="H100" s="80">
        <f t="shared" si="32"/>
        <v>0</v>
      </c>
      <c r="I100" s="134">
        <f>'POD Breezeway'!I100+'Express GL'!I100+'Starbucks GL-SBX Truck'!I100+'Miro''s'!I100+'Faculty Club'!I100+'Almazar &amp; Brand X'!I100+'Burger King'!I100+Bustelo!I100+Chilis!I100+Einstein!I100+Jamba!I100+'Pollo Tropical'!I100+'Subway GC'!I100+'Sushi Maki'!I100+Panda!I100+'Starbucks Mango'!I100+'Taco Bell'!I100+'Chick-fil-A'!I100+Dunkin!I100+Chipotle!I100+Sergios!I100+'Moes PG5'!I100+'Papa Johns'!I100+Salad!I100+'Half Moon &amp; Trop Smoothie'!I100+'Athletic Concessions -Kitchen'!I100+'Starbucks BBC'!I100+'Moes BBC'!I100+'Grille Works BBC &amp; Shipping'!I100+'Subway BBC'!I100+'Market Pavillion'!I100+'Chic Fil A BBC'!I100+Panera!I100+'Heritage Market'!I100</f>
        <v>0</v>
      </c>
      <c r="J100" s="80">
        <f t="shared" si="33"/>
        <v>0</v>
      </c>
      <c r="K100" s="134">
        <f>'POD Breezeway'!K100+'Express GL'!K100+'Starbucks GL-SBX Truck'!K100+'Miro''s'!K100+'Faculty Club'!K100+'Almazar &amp; Brand X'!K100+'Burger King'!K100+Bustelo!K100+Chilis!K100+Einstein!K100+Jamba!K100+'Pollo Tropical'!K100+'Subway GC'!K100+'Sushi Maki'!K100+Panda!K100+'Starbucks Mango'!K100+'Taco Bell'!K100+'Chick-fil-A'!K100+Dunkin!K100+Chipotle!K100+Sergios!K100+'Moes PG5'!K100+'Papa Johns'!K100+Salad!K100+'Half Moon &amp; Trop Smoothie'!K100+'Athletic Concessions -Kitchen'!K100+'Starbucks BBC'!K100+'Moes BBC'!K100+'Grille Works BBC &amp; Shipping'!K100+'Subway BBC'!K100+'Market Pavillion'!K100+'Chic Fil A BBC'!K100+Panera!K100+'Heritage Market'!K100</f>
        <v>0</v>
      </c>
      <c r="L100" s="80">
        <f t="shared" si="34"/>
        <v>0</v>
      </c>
      <c r="M100" s="134">
        <f>'POD Breezeway'!M100+'Express GL'!M100+'Starbucks GL-SBX Truck'!M100+'Miro''s'!M100+'Faculty Club'!M100+'Almazar &amp; Brand X'!M100+'Burger King'!M100+Bustelo!M100+Chilis!M100+Einstein!M100+Jamba!M100+'Pollo Tropical'!M100+'Subway GC'!M100+'Sushi Maki'!M100+Panda!M100+'Starbucks Mango'!M100+'Taco Bell'!M100+'Chick-fil-A'!M100+Dunkin!M100+Chipotle!M100+Sergios!M100+'Moes PG5'!M100+'Papa Johns'!M100+Salad!M100+'Half Moon &amp; Trop Smoothie'!M100+'Athletic Concessions -Kitchen'!M100+'Starbucks BBC'!M100+'Moes BBC'!M100+'Grille Works BBC &amp; Shipping'!M100+'Subway BBC'!M100+'Market Pavillion'!M100+'Chic Fil A BBC'!M100+Panera!M100+'Heritage Market'!M100</f>
        <v>0</v>
      </c>
      <c r="N100" s="80">
        <f t="shared" si="35"/>
        <v>0</v>
      </c>
      <c r="O100" s="134">
        <f>'POD Breezeway'!O100+'Express GL'!O100+'Starbucks GL-SBX Truck'!O100+'Miro''s'!O100+'Faculty Club'!O100+'Almazar &amp; Brand X'!O100+'Burger King'!O100+Bustelo!O100+Chilis!O100+Einstein!O100+Jamba!O100+'Pollo Tropical'!O100+'Subway GC'!O100+'Sushi Maki'!O100+Panda!O100+'Starbucks Mango'!O100+'Taco Bell'!O100+'Chick-fil-A'!O100+Dunkin!O100+Chipotle!O100+Sergios!O100+'Moes PG5'!O100+'Papa Johns'!O100+Salad!O100+'Half Moon &amp; Trop Smoothie'!O100+'Athletic Concessions -Kitchen'!O100+'Starbucks BBC'!O100+'Moes BBC'!O100+'Grille Works BBC &amp; Shipping'!O100+'Subway BBC'!O100+'Market Pavillion'!O100+'Chic Fil A BBC'!O100+Panera!O100+'Heritage Market'!O100</f>
        <v>0</v>
      </c>
      <c r="P100" s="80">
        <f t="shared" si="36"/>
        <v>0</v>
      </c>
      <c r="Q100" s="134">
        <f>'POD Breezeway'!Q100+'Express GL'!Q100+'Starbucks GL-SBX Truck'!Q100+'Miro''s'!Q100+'Faculty Club'!Q100+'Almazar &amp; Brand X'!Q100+'Burger King'!Q100+Bustelo!Q100+Chilis!Q100+Einstein!Q100+Jamba!Q100+'Pollo Tropical'!Q100+'Subway GC'!Q100+'Sushi Maki'!Q100+Panda!Q100+'Starbucks Mango'!Q100+'Taco Bell'!Q100+'Chick-fil-A'!Q100+Dunkin!Q100+Chipotle!Q100+Sergios!Q100+'Moes PG5'!Q100+'Papa Johns'!Q100+Salad!Q100+'Half Moon &amp; Trop Smoothie'!Q100+'Athletic Concessions -Kitchen'!Q100+'Starbucks BBC'!Q100+'Moes BBC'!Q100+'Grille Works BBC &amp; Shipping'!Q100+'Subway BBC'!Q100+'Market Pavillion'!Q100+'Chic Fil A BBC'!Q100+Panera!Q100+'Heritage Market'!Q100</f>
        <v>0</v>
      </c>
      <c r="R100" s="80">
        <f t="shared" si="37"/>
        <v>0</v>
      </c>
      <c r="S100" s="134">
        <f>'POD Breezeway'!S100+'Express GL'!S100+'Starbucks GL-SBX Truck'!S100+'Miro''s'!S100+'Faculty Club'!S100+'Almazar &amp; Brand X'!S100+'Burger King'!S100+Bustelo!S100+Chilis!S100+Einstein!S100+Jamba!S100+'Pollo Tropical'!S100+'Subway GC'!S100+'Sushi Maki'!S100+Panda!S100+'Starbucks Mango'!S100+'Taco Bell'!S100+'Chick-fil-A'!S100+Dunkin!S100+Chipotle!S100+Sergios!S100+'Moes PG5'!S100+'Papa Johns'!S100+Salad!S100+'Half Moon &amp; Trop Smoothie'!S100+'Athletic Concessions -Kitchen'!S100+'Starbucks BBC'!S100+'Moes BBC'!S100+'Grille Works BBC &amp; Shipping'!S100+'Subway BBC'!S100+'Market Pavillion'!S100+'Chic Fil A BBC'!S100+Panera!S100+'Heritage Market'!S100</f>
        <v>0</v>
      </c>
      <c r="T100" s="80">
        <f t="shared" si="38"/>
        <v>0</v>
      </c>
      <c r="U100" s="134">
        <f>'POD Breezeway'!U100+'Express GL'!U100+'Starbucks GL-SBX Truck'!U100+'Miro''s'!U100+'Faculty Club'!U100+'Almazar &amp; Brand X'!U100+'Burger King'!U100+Bustelo!U100+Chilis!U100+Einstein!U100+Jamba!U100+'Pollo Tropical'!U100+'Subway GC'!U100+'Sushi Maki'!U100+Panda!U100+'Starbucks Mango'!U100+'Taco Bell'!U100+'Chick-fil-A'!U100+Dunkin!U100+Chipotle!U100+Sergios!U100+'Moes PG5'!U100+'Papa Johns'!U100+Salad!U100+'Half Moon &amp; Trop Smoothie'!U100+'Athletic Concessions -Kitchen'!U100+'Starbucks BBC'!U100+'Moes BBC'!U100+'Grille Works BBC &amp; Shipping'!U100+'Subway BBC'!U100+'Market Pavillion'!U100+'Chic Fil A BBC'!U100+Panera!U100+'Heritage Market'!U100</f>
        <v>0</v>
      </c>
      <c r="V100" s="80">
        <f t="shared" si="29"/>
        <v>0</v>
      </c>
    </row>
    <row r="101" spans="1:22" ht="12.75" customHeight="1">
      <c r="A101" s="214" t="s">
        <v>445</v>
      </c>
      <c r="B101" s="215"/>
      <c r="C101" s="134">
        <f>'POD Breezeway'!C101+'Express GL'!C101+'Starbucks GL-SBX Truck'!C101+'Miro''s'!C101+'Faculty Club'!C101+'Almazar &amp; Brand X'!C101+'Burger King'!C101+Bustelo!C101+Chilis!C101+Einstein!C101+Jamba!C101+'Pollo Tropical'!C101+'Subway GC'!C101+'Sushi Maki'!C101+Panda!C101+'Starbucks Mango'!C101+'Taco Bell'!C101+'Chick-fil-A'!C101+Dunkin!C101+Chipotle!C101+Sergios!C101+'Moes PG5'!C101+'Papa Johns'!C101+Salad!C101+'Half Moon &amp; Trop Smoothie'!C101+'Athletic Concessions -Kitchen'!C101+'Starbucks BBC'!C101+'Moes BBC'!C101+'Grille Works BBC &amp; Shipping'!C101+'Subway BBC'!C101+'Market Pavillion'!C101+'Chic Fil A BBC'!C101+Panera!C101+'Heritage Market'!C101</f>
        <v>0</v>
      </c>
      <c r="D101" s="80">
        <f t="shared" si="30"/>
        <v>0</v>
      </c>
      <c r="E101" s="134">
        <f>'POD Breezeway'!E101+'Express GL'!E101+'Starbucks GL-SBX Truck'!E101+'Miro''s'!E101+'Faculty Club'!E101+'Almazar &amp; Brand X'!E101+'Burger King'!E101+Bustelo!E101+Chilis!E101+Einstein!E101+Jamba!E101+'Pollo Tropical'!E101+'Subway GC'!E101+'Sushi Maki'!E101+Panda!E101+'Starbucks Mango'!E101+'Taco Bell'!E101+'Chick-fil-A'!E101+Dunkin!E101+Chipotle!E101+Sergios!E101+'Moes PG5'!E101+'Papa Johns'!E101+Salad!E101+'Half Moon &amp; Trop Smoothie'!E101+'Athletic Concessions -Kitchen'!E101+'Starbucks BBC'!E101+'Moes BBC'!E101+'Grille Works BBC &amp; Shipping'!E101+'Subway BBC'!E101+'Market Pavillion'!E101+'Chic Fil A BBC'!E101+Panera!E101+'Heritage Market'!E101</f>
        <v>0</v>
      </c>
      <c r="F101" s="80">
        <f t="shared" si="31"/>
        <v>0</v>
      </c>
      <c r="G101" s="134">
        <f>'POD Breezeway'!G101+'Express GL'!G101+'Starbucks GL-SBX Truck'!G101+'Miro''s'!G101+'Faculty Club'!G101+'Almazar &amp; Brand X'!G101+'Burger King'!G101+Bustelo!G101+Chilis!G101+Einstein!G101+Jamba!G101+'Pollo Tropical'!G101+'Subway GC'!G101+'Sushi Maki'!G101+Panda!G101+'Starbucks Mango'!G101+'Taco Bell'!G101+'Chick-fil-A'!G101+Dunkin!G101+Chipotle!G101+Sergios!G101+'Moes PG5'!G101+'Papa Johns'!G101+Salad!G101+'Half Moon &amp; Trop Smoothie'!G101+'Athletic Concessions -Kitchen'!G101+'Starbucks BBC'!G101+'Moes BBC'!G101+'Grille Works BBC &amp; Shipping'!G101+'Subway BBC'!G101+'Market Pavillion'!G101+'Chic Fil A BBC'!G101+Panera!G101+'Heritage Market'!G101</f>
        <v>0</v>
      </c>
      <c r="H101" s="80">
        <f t="shared" si="32"/>
        <v>0</v>
      </c>
      <c r="I101" s="134">
        <f>'POD Breezeway'!I101+'Express GL'!I101+'Starbucks GL-SBX Truck'!I101+'Miro''s'!I101+'Faculty Club'!I101+'Almazar &amp; Brand X'!I101+'Burger King'!I101+Bustelo!I101+Chilis!I101+Einstein!I101+Jamba!I101+'Pollo Tropical'!I101+'Subway GC'!I101+'Sushi Maki'!I101+Panda!I101+'Starbucks Mango'!I101+'Taco Bell'!I101+'Chick-fil-A'!I101+Dunkin!I101+Chipotle!I101+Sergios!I101+'Moes PG5'!I101+'Papa Johns'!I101+Salad!I101+'Half Moon &amp; Trop Smoothie'!I101+'Athletic Concessions -Kitchen'!I101+'Starbucks BBC'!I101+'Moes BBC'!I101+'Grille Works BBC &amp; Shipping'!I101+'Subway BBC'!I101+'Market Pavillion'!I101+'Chic Fil A BBC'!I101+Panera!I101+'Heritage Market'!I101</f>
        <v>0</v>
      </c>
      <c r="J101" s="80">
        <f t="shared" si="33"/>
        <v>0</v>
      </c>
      <c r="K101" s="134">
        <f>'POD Breezeway'!K101+'Express GL'!K101+'Starbucks GL-SBX Truck'!K101+'Miro''s'!K101+'Faculty Club'!K101+'Almazar &amp; Brand X'!K101+'Burger King'!K101+Bustelo!K101+Chilis!K101+Einstein!K101+Jamba!K101+'Pollo Tropical'!K101+'Subway GC'!K101+'Sushi Maki'!K101+Panda!K101+'Starbucks Mango'!K101+'Taco Bell'!K101+'Chick-fil-A'!K101+Dunkin!K101+Chipotle!K101+Sergios!K101+'Moes PG5'!K101+'Papa Johns'!K101+Salad!K101+'Half Moon &amp; Trop Smoothie'!K101+'Athletic Concessions -Kitchen'!K101+'Starbucks BBC'!K101+'Moes BBC'!K101+'Grille Works BBC &amp; Shipping'!K101+'Subway BBC'!K101+'Market Pavillion'!K101+'Chic Fil A BBC'!K101+Panera!K101+'Heritage Market'!K101</f>
        <v>0</v>
      </c>
      <c r="L101" s="80">
        <f t="shared" si="34"/>
        <v>0</v>
      </c>
      <c r="M101" s="134">
        <f>'POD Breezeway'!M101+'Express GL'!M101+'Starbucks GL-SBX Truck'!M101+'Miro''s'!M101+'Faculty Club'!M101+'Almazar &amp; Brand X'!M101+'Burger King'!M101+Bustelo!M101+Chilis!M101+Einstein!M101+Jamba!M101+'Pollo Tropical'!M101+'Subway GC'!M101+'Sushi Maki'!M101+Panda!M101+'Starbucks Mango'!M101+'Taco Bell'!M101+'Chick-fil-A'!M101+Dunkin!M101+Chipotle!M101+Sergios!M101+'Moes PG5'!M101+'Papa Johns'!M101+Salad!M101+'Half Moon &amp; Trop Smoothie'!M101+'Athletic Concessions -Kitchen'!M101+'Starbucks BBC'!M101+'Moes BBC'!M101+'Grille Works BBC &amp; Shipping'!M101+'Subway BBC'!M101+'Market Pavillion'!M101+'Chic Fil A BBC'!M101+Panera!M101+'Heritage Market'!M101</f>
        <v>0</v>
      </c>
      <c r="N101" s="80">
        <f t="shared" si="35"/>
        <v>0</v>
      </c>
      <c r="O101" s="134">
        <f>'POD Breezeway'!O101+'Express GL'!O101+'Starbucks GL-SBX Truck'!O101+'Miro''s'!O101+'Faculty Club'!O101+'Almazar &amp; Brand X'!O101+'Burger King'!O101+Bustelo!O101+Chilis!O101+Einstein!O101+Jamba!O101+'Pollo Tropical'!O101+'Subway GC'!O101+'Sushi Maki'!O101+Panda!O101+'Starbucks Mango'!O101+'Taco Bell'!O101+'Chick-fil-A'!O101+Dunkin!O101+Chipotle!O101+Sergios!O101+'Moes PG5'!O101+'Papa Johns'!O101+Salad!O101+'Half Moon &amp; Trop Smoothie'!O101+'Athletic Concessions -Kitchen'!O101+'Starbucks BBC'!O101+'Moes BBC'!O101+'Grille Works BBC &amp; Shipping'!O101+'Subway BBC'!O101+'Market Pavillion'!O101+'Chic Fil A BBC'!O101+Panera!O101+'Heritage Market'!O101</f>
        <v>0</v>
      </c>
      <c r="P101" s="80">
        <f t="shared" si="36"/>
        <v>0</v>
      </c>
      <c r="Q101" s="134">
        <f>'POD Breezeway'!Q101+'Express GL'!Q101+'Starbucks GL-SBX Truck'!Q101+'Miro''s'!Q101+'Faculty Club'!Q101+'Almazar &amp; Brand X'!Q101+'Burger King'!Q101+Bustelo!Q101+Chilis!Q101+Einstein!Q101+Jamba!Q101+'Pollo Tropical'!Q101+'Subway GC'!Q101+'Sushi Maki'!Q101+Panda!Q101+'Starbucks Mango'!Q101+'Taco Bell'!Q101+'Chick-fil-A'!Q101+Dunkin!Q101+Chipotle!Q101+Sergios!Q101+'Moes PG5'!Q101+'Papa Johns'!Q101+Salad!Q101+'Half Moon &amp; Trop Smoothie'!Q101+'Athletic Concessions -Kitchen'!Q101+'Starbucks BBC'!Q101+'Moes BBC'!Q101+'Grille Works BBC &amp; Shipping'!Q101+'Subway BBC'!Q101+'Market Pavillion'!Q101+'Chic Fil A BBC'!Q101+Panera!Q101+'Heritage Market'!Q101</f>
        <v>0</v>
      </c>
      <c r="R101" s="80">
        <f t="shared" si="37"/>
        <v>0</v>
      </c>
      <c r="S101" s="134">
        <f>'POD Breezeway'!S101+'Express GL'!S101+'Starbucks GL-SBX Truck'!S101+'Miro''s'!S101+'Faculty Club'!S101+'Almazar &amp; Brand X'!S101+'Burger King'!S101+Bustelo!S101+Chilis!S101+Einstein!S101+Jamba!S101+'Pollo Tropical'!S101+'Subway GC'!S101+'Sushi Maki'!S101+Panda!S101+'Starbucks Mango'!S101+'Taco Bell'!S101+'Chick-fil-A'!S101+Dunkin!S101+Chipotle!S101+Sergios!S101+'Moes PG5'!S101+'Papa Johns'!S101+Salad!S101+'Half Moon &amp; Trop Smoothie'!S101+'Athletic Concessions -Kitchen'!S101+'Starbucks BBC'!S101+'Moes BBC'!S101+'Grille Works BBC &amp; Shipping'!S101+'Subway BBC'!S101+'Market Pavillion'!S101+'Chic Fil A BBC'!S101+Panera!S101+'Heritage Market'!S101</f>
        <v>0</v>
      </c>
      <c r="T101" s="80">
        <f t="shared" si="38"/>
        <v>0</v>
      </c>
      <c r="U101" s="134">
        <f>'POD Breezeway'!U101+'Express GL'!U101+'Starbucks GL-SBX Truck'!U101+'Miro''s'!U101+'Faculty Club'!U101+'Almazar &amp; Brand X'!U101+'Burger King'!U101+Bustelo!U101+Chilis!U101+Einstein!U101+Jamba!U101+'Pollo Tropical'!U101+'Subway GC'!U101+'Sushi Maki'!U101+Panda!U101+'Starbucks Mango'!U101+'Taco Bell'!U101+'Chick-fil-A'!U101+Dunkin!U101+Chipotle!U101+Sergios!U101+'Moes PG5'!U101+'Papa Johns'!U101+Salad!U101+'Half Moon &amp; Trop Smoothie'!U101+'Athletic Concessions -Kitchen'!U101+'Starbucks BBC'!U101+'Moes BBC'!U101+'Grille Works BBC &amp; Shipping'!U101+'Subway BBC'!U101+'Market Pavillion'!U101+'Chic Fil A BBC'!U101+Panera!U101+'Heritage Market'!U101</f>
        <v>0</v>
      </c>
      <c r="V101" s="80">
        <f t="shared" si="29"/>
        <v>0</v>
      </c>
    </row>
    <row r="102" spans="1:22" ht="12.75" customHeight="1">
      <c r="A102" s="216" t="s">
        <v>446</v>
      </c>
      <c r="B102" s="215"/>
      <c r="C102" s="134">
        <f>'POD Breezeway'!C102+'Express GL'!C102+'Starbucks GL-SBX Truck'!C102+'Miro''s'!C102+'Faculty Club'!C102+'Almazar &amp; Brand X'!C102+'Burger King'!C102+Bustelo!C102+Chilis!C102+Einstein!C102+Jamba!C102+'Pollo Tropical'!C102+'Subway GC'!C102+'Sushi Maki'!C102+Panda!C102+'Starbucks Mango'!C102+'Taco Bell'!C102+'Chick-fil-A'!C102+Dunkin!C102+Chipotle!C102+Sergios!C102+'Moes PG5'!C102+'Papa Johns'!C102+Salad!C102+'Half Moon &amp; Trop Smoothie'!C102+'Athletic Concessions -Kitchen'!C102+'Starbucks BBC'!C102+'Moes BBC'!C102+'Grille Works BBC &amp; Shipping'!C102+'Subway BBC'!C102+'Market Pavillion'!C102+'Chic Fil A BBC'!C102+Panera!C102+'Heritage Market'!C102</f>
        <v>155752.9938</v>
      </c>
      <c r="D102" s="80">
        <f t="shared" si="30"/>
        <v>9.8256958219947142E-3</v>
      </c>
      <c r="E102" s="134">
        <f>'POD Breezeway'!E102+'Express GL'!E102+'Starbucks GL-SBX Truck'!E102+'Miro''s'!E102+'Faculty Club'!E102+'Almazar &amp; Brand X'!E102+'Burger King'!E102+Bustelo!E102+Chilis!E102+Einstein!E102+Jamba!E102+'Pollo Tropical'!E102+'Subway GC'!E102+'Sushi Maki'!E102+Panda!E102+'Starbucks Mango'!E102+'Taco Bell'!E102+'Chick-fil-A'!E102+Dunkin!E102+Chipotle!E102+Sergios!E102+'Moes PG5'!E102+'Papa Johns'!E102+Salad!E102+'Half Moon &amp; Trop Smoothie'!E102+'Athletic Concessions -Kitchen'!E102+'Starbucks BBC'!E102+'Moes BBC'!E102+'Grille Works BBC &amp; Shipping'!E102+'Subway BBC'!E102+'Market Pavillion'!E102+'Chic Fil A BBC'!E102+Panera!E102+'Heritage Market'!E102</f>
        <v>185236.25</v>
      </c>
      <c r="F102" s="80">
        <f t="shared" si="31"/>
        <v>9.8477271539561487E-3</v>
      </c>
      <c r="G102" s="134">
        <f>'POD Breezeway'!G102+'Express GL'!G102+'Starbucks GL-SBX Truck'!G102+'Miro''s'!G102+'Faculty Club'!G102+'Almazar &amp; Brand X'!G102+'Burger King'!G102+Bustelo!G102+Chilis!G102+Einstein!G102+Jamba!G102+'Pollo Tropical'!G102+'Subway GC'!G102+'Sushi Maki'!G102+Panda!G102+'Starbucks Mango'!G102+'Taco Bell'!G102+'Chick-fil-A'!G102+Dunkin!G102+Chipotle!G102+Sergios!G102+'Moes PG5'!G102+'Papa Johns'!G102+Salad!G102+'Half Moon &amp; Trop Smoothie'!G102+'Athletic Concessions -Kitchen'!G102+'Starbucks BBC'!G102+'Moes BBC'!G102+'Grille Works BBC &amp; Shipping'!G102+'Subway BBC'!G102+'Market Pavillion'!G102+'Chic Fil A BBC'!G102+Panera!G102+'Heritage Market'!G102</f>
        <v>203891.91500000001</v>
      </c>
      <c r="H102" s="80">
        <f t="shared" si="32"/>
        <v>9.8795098752814808E-3</v>
      </c>
      <c r="I102" s="134">
        <f>'POD Breezeway'!I102+'Express GL'!I102+'Starbucks GL-SBX Truck'!I102+'Miro''s'!I102+'Faculty Club'!I102+'Almazar &amp; Brand X'!I102+'Burger King'!I102+Bustelo!I102+Chilis!I102+Einstein!I102+Jamba!I102+'Pollo Tropical'!I102+'Subway GC'!I102+'Sushi Maki'!I102+Panda!I102+'Starbucks Mango'!I102+'Taco Bell'!I102+'Chick-fil-A'!I102+Dunkin!I102+Chipotle!I102+Sergios!I102+'Moes PG5'!I102+'Papa Johns'!I102+Salad!I102+'Half Moon &amp; Trop Smoothie'!I102+'Athletic Concessions -Kitchen'!I102+'Starbucks BBC'!I102+'Moes BBC'!I102+'Grille Works BBC &amp; Shipping'!I102+'Subway BBC'!I102+'Market Pavillion'!I102+'Chic Fil A BBC'!I102+Panera!I102+'Heritage Market'!I102</f>
        <v>211650.32449500001</v>
      </c>
      <c r="J102" s="80">
        <f t="shared" si="33"/>
        <v>9.8815803700876836E-3</v>
      </c>
      <c r="K102" s="134">
        <f>'POD Breezeway'!K102+'Express GL'!K102+'Starbucks GL-SBX Truck'!K102+'Miro''s'!K102+'Faculty Club'!K102+'Almazar &amp; Brand X'!K102+'Burger King'!K102+Bustelo!K102+Chilis!K102+Einstein!K102+Jamba!K102+'Pollo Tropical'!K102+'Subway GC'!K102+'Sushi Maki'!K102+Panda!K102+'Starbucks Mango'!K102+'Taco Bell'!K102+'Chick-fil-A'!K102+Dunkin!K102+Chipotle!K102+Sergios!K102+'Moes PG5'!K102+'Papa Johns'!K102+Salad!K102+'Half Moon &amp; Trop Smoothie'!K102+'Athletic Concessions -Kitchen'!K102+'Starbucks BBC'!K102+'Moes BBC'!K102+'Grille Works BBC &amp; Shipping'!K102+'Subway BBC'!K102+'Market Pavillion'!K102+'Chic Fil A BBC'!K102+Panera!K102+'Heritage Market'!K102</f>
        <v>218078.52668185002</v>
      </c>
      <c r="L102" s="80">
        <f t="shared" si="34"/>
        <v>9.8827584160006941E-3</v>
      </c>
      <c r="M102" s="134">
        <f>'POD Breezeway'!M102+'Express GL'!M102+'Starbucks GL-SBX Truck'!M102+'Miro''s'!M102+'Faculty Club'!M102+'Almazar &amp; Brand X'!M102+'Burger King'!M102+Bustelo!M102+Chilis!M102+Einstein!M102+Jamba!M102+'Pollo Tropical'!M102+'Subway GC'!M102+'Sushi Maki'!M102+Panda!M102+'Starbucks Mango'!M102+'Taco Bell'!M102+'Chick-fil-A'!M102+Dunkin!M102+Chipotle!M102+Sergios!M102+'Moes PG5'!M102+'Papa Johns'!M102+Salad!M102+'Half Moon &amp; Trop Smoothie'!M102+'Athletic Concessions -Kitchen'!M102+'Starbucks BBC'!M102+'Moes BBC'!M102+'Grille Works BBC &amp; Shipping'!M102+'Subway BBC'!M102+'Market Pavillion'!M102+'Chic Fil A BBC'!M102+Panera!M102+'Heritage Market'!M102</f>
        <v>224785.94669266578</v>
      </c>
      <c r="N102" s="80">
        <f t="shared" si="35"/>
        <v>9.8839677436500396E-3</v>
      </c>
      <c r="O102" s="134">
        <f>'POD Breezeway'!O102+'Express GL'!O102+'Starbucks GL-SBX Truck'!O102+'Miro''s'!O102+'Faculty Club'!O102+'Almazar &amp; Brand X'!O102+'Burger King'!O102+Bustelo!O102+Chilis!O102+Einstein!O102+Jamba!O102+'Pollo Tropical'!O102+'Subway GC'!O102+'Sushi Maki'!O102+Panda!O102+'Starbucks Mango'!O102+'Taco Bell'!O102+'Chick-fil-A'!O102+Dunkin!O102+Chipotle!O102+Sergios!O102+'Moes PG5'!O102+'Papa Johns'!O102+Salad!O102+'Half Moon &amp; Trop Smoothie'!O102+'Athletic Concessions -Kitchen'!O102+'Starbucks BBC'!O102+'Moes BBC'!O102+'Grille Works BBC &amp; Shipping'!O102+'Subway BBC'!O102+'Market Pavillion'!O102+'Chic Fil A BBC'!O102+Panera!O102+'Heritage Market'!O102</f>
        <v>231880.44346781913</v>
      </c>
      <c r="P102" s="80">
        <f t="shared" si="36"/>
        <v>9.8852532421374664E-3</v>
      </c>
      <c r="Q102" s="134">
        <f>'POD Breezeway'!Q102+'Express GL'!Q102+'Starbucks GL-SBX Truck'!Q102+'Miro''s'!Q102+'Faculty Club'!Q102+'Almazar &amp; Brand X'!Q102+'Burger King'!Q102+Bustelo!Q102+Chilis!Q102+Einstein!Q102+Jamba!Q102+'Pollo Tropical'!Q102+'Subway GC'!Q102+'Sushi Maki'!Q102+Panda!Q102+'Starbucks Mango'!Q102+'Taco Bell'!Q102+'Chick-fil-A'!Q102+Dunkin!Q102+Chipotle!Q102+Sergios!Q102+'Moes PG5'!Q102+'Papa Johns'!Q102+Salad!Q102+'Half Moon &amp; Trop Smoothie'!Q102+'Athletic Concessions -Kitchen'!Q102+'Starbucks BBC'!Q102+'Moes BBC'!Q102+'Grille Works BBC &amp; Shipping'!Q102+'Subway BBC'!Q102+'Market Pavillion'!Q102+'Chic Fil A BBC'!Q102+Panera!Q102+'Heritage Market'!Q102</f>
        <v>239318.40175380936</v>
      </c>
      <c r="R102" s="80">
        <f t="shared" si="37"/>
        <v>9.8865807058862096E-3</v>
      </c>
      <c r="S102" s="134">
        <f>'POD Breezeway'!S102+'Express GL'!S102+'Starbucks GL-SBX Truck'!S102+'Miro''s'!S102+'Faculty Club'!S102+'Almazar &amp; Brand X'!S102+'Burger King'!S102+Bustelo!S102+Chilis!S102+Einstein!S102+Jamba!S102+'Pollo Tropical'!S102+'Subway GC'!S102+'Sushi Maki'!S102+Panda!S102+'Starbucks Mango'!S102+'Taco Bell'!S102+'Chick-fil-A'!S102+Dunkin!S102+Chipotle!S102+Sergios!S102+'Moes PG5'!S102+'Papa Johns'!S102+Salad!S102+'Half Moon &amp; Trop Smoothie'!S102+'Athletic Concessions -Kitchen'!S102+'Starbucks BBC'!S102+'Moes BBC'!S102+'Grille Works BBC &amp; Shipping'!S102+'Subway BBC'!S102+'Market Pavillion'!S102+'Chic Fil A BBC'!S102+Panera!S102+'Heritage Market'!S102</f>
        <v>247057.46309080152</v>
      </c>
      <c r="T102" s="80">
        <f t="shared" si="38"/>
        <v>9.8879210375917778E-3</v>
      </c>
      <c r="U102" s="134">
        <f>'POD Breezeway'!U102+'Express GL'!U102+'Starbucks GL-SBX Truck'!U102+'Miro''s'!U102+'Faculty Club'!U102+'Almazar &amp; Brand X'!U102+'Burger King'!U102+Bustelo!U102+Chilis!U102+Einstein!U102+Jamba!U102+'Pollo Tropical'!U102+'Subway GC'!U102+'Sushi Maki'!U102+Panda!U102+'Starbucks Mango'!U102+'Taco Bell'!U102+'Chick-fil-A'!U102+Dunkin!U102+Chipotle!U102+Sergios!U102+'Moes PG5'!U102+'Papa Johns'!U102+Salad!U102+'Half Moon &amp; Trop Smoothie'!U102+'Athletic Concessions -Kitchen'!U102+'Starbucks BBC'!U102+'Moes BBC'!U102+'Grille Works BBC &amp; Shipping'!U102+'Subway BBC'!U102+'Market Pavillion'!U102+'Chic Fil A BBC'!U102+Panera!U102+'Heritage Market'!U102</f>
        <v>255100.9195234917</v>
      </c>
      <c r="V102" s="80">
        <f t="shared" si="29"/>
        <v>9.8892689481106764E-3</v>
      </c>
    </row>
    <row r="103" spans="1:22" ht="12.75" customHeight="1">
      <c r="A103" s="216" t="s">
        <v>446</v>
      </c>
      <c r="B103" s="215"/>
      <c r="C103" s="134">
        <f>'POD Breezeway'!C103+'Express GL'!C103+'Starbucks GL-SBX Truck'!C103+'Miro''s'!C103+'Faculty Club'!C103+'Almazar &amp; Brand X'!C103+'Burger King'!C103+Bustelo!C103+Chilis!C103+Einstein!C103+Jamba!C103+'Pollo Tropical'!C103+'Subway GC'!C103+'Sushi Maki'!C103+Panda!C103+'Starbucks Mango'!C103+'Taco Bell'!C103+'Chick-fil-A'!C103+Dunkin!C103+Chipotle!C103+Sergios!C103+'Moes PG5'!C103+'Papa Johns'!C103+Salad!C103+'Half Moon &amp; Trop Smoothie'!C103+'Athletic Concessions -Kitchen'!C103+'Starbucks BBC'!C103+'Moes BBC'!C103+'Grille Works BBC &amp; Shipping'!C103+'Subway BBC'!C103+'Market Pavillion'!C103+'Chic Fil A BBC'!C103+Panera!C103+'Heritage Market'!C103</f>
        <v>0</v>
      </c>
      <c r="D103" s="80">
        <f t="shared" si="30"/>
        <v>0</v>
      </c>
      <c r="E103" s="134">
        <f>'POD Breezeway'!E103+'Express GL'!E103+'Starbucks GL-SBX Truck'!E103+'Miro''s'!E103+'Faculty Club'!E103+'Almazar &amp; Brand X'!E103+'Burger King'!E103+Bustelo!E103+Chilis!E103+Einstein!E103+Jamba!E103+'Pollo Tropical'!E103+'Subway GC'!E103+'Sushi Maki'!E103+Panda!E103+'Starbucks Mango'!E103+'Taco Bell'!E103+'Chick-fil-A'!E103+Dunkin!E103+Chipotle!E103+Sergios!E103+'Moes PG5'!E103+'Papa Johns'!E103+Salad!E103+'Half Moon &amp; Trop Smoothie'!E103+'Athletic Concessions -Kitchen'!E103+'Starbucks BBC'!E103+'Moes BBC'!E103+'Grille Works BBC &amp; Shipping'!E103+'Subway BBC'!E103+'Market Pavillion'!E103+'Chic Fil A BBC'!E103+Panera!E103+'Heritage Market'!E103</f>
        <v>0</v>
      </c>
      <c r="F103" s="80">
        <f t="shared" si="31"/>
        <v>0</v>
      </c>
      <c r="G103" s="134">
        <f>'POD Breezeway'!G103+'Express GL'!G103+'Starbucks GL-SBX Truck'!G103+'Miro''s'!G103+'Faculty Club'!G103+'Almazar &amp; Brand X'!G103+'Burger King'!G103+Bustelo!G103+Chilis!G103+Einstein!G103+Jamba!G103+'Pollo Tropical'!G103+'Subway GC'!G103+'Sushi Maki'!G103+Panda!G103+'Starbucks Mango'!G103+'Taco Bell'!G103+'Chick-fil-A'!G103+Dunkin!G103+Chipotle!G103+Sergios!G103+'Moes PG5'!G103+'Papa Johns'!G103+Salad!G103+'Half Moon &amp; Trop Smoothie'!G103+'Athletic Concessions -Kitchen'!G103+'Starbucks BBC'!G103+'Moes BBC'!G103+'Grille Works BBC &amp; Shipping'!G103+'Subway BBC'!G103+'Market Pavillion'!G103+'Chic Fil A BBC'!G103+Panera!G103+'Heritage Market'!G103</f>
        <v>0</v>
      </c>
      <c r="H103" s="80">
        <f t="shared" si="32"/>
        <v>0</v>
      </c>
      <c r="I103" s="134">
        <f>'POD Breezeway'!I103+'Express GL'!I103+'Starbucks GL-SBX Truck'!I103+'Miro''s'!I103+'Faculty Club'!I103+'Almazar &amp; Brand X'!I103+'Burger King'!I103+Bustelo!I103+Chilis!I103+Einstein!I103+Jamba!I103+'Pollo Tropical'!I103+'Subway GC'!I103+'Sushi Maki'!I103+Panda!I103+'Starbucks Mango'!I103+'Taco Bell'!I103+'Chick-fil-A'!I103+Dunkin!I103+Chipotle!I103+Sergios!I103+'Moes PG5'!I103+'Papa Johns'!I103+Salad!I103+'Half Moon &amp; Trop Smoothie'!I103+'Athletic Concessions -Kitchen'!I103+'Starbucks BBC'!I103+'Moes BBC'!I103+'Grille Works BBC &amp; Shipping'!I103+'Subway BBC'!I103+'Market Pavillion'!I103+'Chic Fil A BBC'!I103+Panera!I103+'Heritage Market'!I103</f>
        <v>0</v>
      </c>
      <c r="J103" s="80">
        <f t="shared" si="33"/>
        <v>0</v>
      </c>
      <c r="K103" s="134">
        <f>'POD Breezeway'!K103+'Express GL'!K103+'Starbucks GL-SBX Truck'!K103+'Miro''s'!K103+'Faculty Club'!K103+'Almazar &amp; Brand X'!K103+'Burger King'!K103+Bustelo!K103+Chilis!K103+Einstein!K103+Jamba!K103+'Pollo Tropical'!K103+'Subway GC'!K103+'Sushi Maki'!K103+Panda!K103+'Starbucks Mango'!K103+'Taco Bell'!K103+'Chick-fil-A'!K103+Dunkin!K103+Chipotle!K103+Sergios!K103+'Moes PG5'!K103+'Papa Johns'!K103+Salad!K103+'Half Moon &amp; Trop Smoothie'!K103+'Athletic Concessions -Kitchen'!K103+'Starbucks BBC'!K103+'Moes BBC'!K103+'Grille Works BBC &amp; Shipping'!K103+'Subway BBC'!K103+'Market Pavillion'!K103+'Chic Fil A BBC'!K103+Panera!K103+'Heritage Market'!K103</f>
        <v>0</v>
      </c>
      <c r="L103" s="80">
        <f t="shared" si="34"/>
        <v>0</v>
      </c>
      <c r="M103" s="134">
        <f>'POD Breezeway'!M103+'Express GL'!M103+'Starbucks GL-SBX Truck'!M103+'Miro''s'!M103+'Faculty Club'!M103+'Almazar &amp; Brand X'!M103+'Burger King'!M103+Bustelo!M103+Chilis!M103+Einstein!M103+Jamba!M103+'Pollo Tropical'!M103+'Subway GC'!M103+'Sushi Maki'!M103+Panda!M103+'Starbucks Mango'!M103+'Taco Bell'!M103+'Chick-fil-A'!M103+Dunkin!M103+Chipotle!M103+Sergios!M103+'Moes PG5'!M103+'Papa Johns'!M103+Salad!M103+'Half Moon &amp; Trop Smoothie'!M103+'Athletic Concessions -Kitchen'!M103+'Starbucks BBC'!M103+'Moes BBC'!M103+'Grille Works BBC &amp; Shipping'!M103+'Subway BBC'!M103+'Market Pavillion'!M103+'Chic Fil A BBC'!M103+Panera!M103+'Heritage Market'!M103</f>
        <v>0</v>
      </c>
      <c r="N103" s="80">
        <f t="shared" si="35"/>
        <v>0</v>
      </c>
      <c r="O103" s="134">
        <f>'POD Breezeway'!O103+'Express GL'!O103+'Starbucks GL-SBX Truck'!O103+'Miro''s'!O103+'Faculty Club'!O103+'Almazar &amp; Brand X'!O103+'Burger King'!O103+Bustelo!O103+Chilis!O103+Einstein!O103+Jamba!O103+'Pollo Tropical'!O103+'Subway GC'!O103+'Sushi Maki'!O103+Panda!O103+'Starbucks Mango'!O103+'Taco Bell'!O103+'Chick-fil-A'!O103+Dunkin!O103+Chipotle!O103+Sergios!O103+'Moes PG5'!O103+'Papa Johns'!O103+Salad!O103+'Half Moon &amp; Trop Smoothie'!O103+'Athletic Concessions -Kitchen'!O103+'Starbucks BBC'!O103+'Moes BBC'!O103+'Grille Works BBC &amp; Shipping'!O103+'Subway BBC'!O103+'Market Pavillion'!O103+'Chic Fil A BBC'!O103+Panera!O103+'Heritage Market'!O103</f>
        <v>0</v>
      </c>
      <c r="P103" s="80">
        <f t="shared" si="36"/>
        <v>0</v>
      </c>
      <c r="Q103" s="134">
        <f>'POD Breezeway'!Q103+'Express GL'!Q103+'Starbucks GL-SBX Truck'!Q103+'Miro''s'!Q103+'Faculty Club'!Q103+'Almazar &amp; Brand X'!Q103+'Burger King'!Q103+Bustelo!Q103+Chilis!Q103+Einstein!Q103+Jamba!Q103+'Pollo Tropical'!Q103+'Subway GC'!Q103+'Sushi Maki'!Q103+Panda!Q103+'Starbucks Mango'!Q103+'Taco Bell'!Q103+'Chick-fil-A'!Q103+Dunkin!Q103+Chipotle!Q103+Sergios!Q103+'Moes PG5'!Q103+'Papa Johns'!Q103+Salad!Q103+'Half Moon &amp; Trop Smoothie'!Q103+'Athletic Concessions -Kitchen'!Q103+'Starbucks BBC'!Q103+'Moes BBC'!Q103+'Grille Works BBC &amp; Shipping'!Q103+'Subway BBC'!Q103+'Market Pavillion'!Q103+'Chic Fil A BBC'!Q103+Panera!Q103+'Heritage Market'!Q103</f>
        <v>0</v>
      </c>
      <c r="R103" s="80">
        <f t="shared" si="37"/>
        <v>0</v>
      </c>
      <c r="S103" s="134">
        <f>'POD Breezeway'!S103+'Express GL'!S103+'Starbucks GL-SBX Truck'!S103+'Miro''s'!S103+'Faculty Club'!S103+'Almazar &amp; Brand X'!S103+'Burger King'!S103+Bustelo!S103+Chilis!S103+Einstein!S103+Jamba!S103+'Pollo Tropical'!S103+'Subway GC'!S103+'Sushi Maki'!S103+Panda!S103+'Starbucks Mango'!S103+'Taco Bell'!S103+'Chick-fil-A'!S103+Dunkin!S103+Chipotle!S103+Sergios!S103+'Moes PG5'!S103+'Papa Johns'!S103+Salad!S103+'Half Moon &amp; Trop Smoothie'!S103+'Athletic Concessions -Kitchen'!S103+'Starbucks BBC'!S103+'Moes BBC'!S103+'Grille Works BBC &amp; Shipping'!S103+'Subway BBC'!S103+'Market Pavillion'!S103+'Chic Fil A BBC'!S103+Panera!S103+'Heritage Market'!S103</f>
        <v>0</v>
      </c>
      <c r="T103" s="80">
        <f t="shared" si="38"/>
        <v>0</v>
      </c>
      <c r="U103" s="134">
        <f>'POD Breezeway'!U103+'Express GL'!U103+'Starbucks GL-SBX Truck'!U103+'Miro''s'!U103+'Faculty Club'!U103+'Almazar &amp; Brand X'!U103+'Burger King'!U103+Bustelo!U103+Chilis!U103+Einstein!U103+Jamba!U103+'Pollo Tropical'!U103+'Subway GC'!U103+'Sushi Maki'!U103+Panda!U103+'Starbucks Mango'!U103+'Taco Bell'!U103+'Chick-fil-A'!U103+Dunkin!U103+Chipotle!U103+Sergios!U103+'Moes PG5'!U103+'Papa Johns'!U103+Salad!U103+'Half Moon &amp; Trop Smoothie'!U103+'Athletic Concessions -Kitchen'!U103+'Starbucks BBC'!U103+'Moes BBC'!U103+'Grille Works BBC &amp; Shipping'!U103+'Subway BBC'!U103+'Market Pavillion'!U103+'Chic Fil A BBC'!U103+Panera!U103+'Heritage Market'!U103</f>
        <v>0</v>
      </c>
      <c r="V103" s="80">
        <f t="shared" si="29"/>
        <v>0</v>
      </c>
    </row>
    <row r="104" spans="1:22" ht="12.75" customHeight="1">
      <c r="A104" s="216" t="s">
        <v>446</v>
      </c>
      <c r="B104" s="217"/>
      <c r="C104" s="152">
        <f>'POD Breezeway'!C104+'Express GL'!C104+'Starbucks GL-SBX Truck'!C104+'Miro''s'!C104+'Faculty Club'!C104+'Almazar &amp; Brand X'!C104+'Burger King'!C104+Bustelo!C104+Chilis!C104+Einstein!C104+Jamba!C104+'Pollo Tropical'!C104+'Subway GC'!C104+'Sushi Maki'!C104+Panda!C104+'Starbucks Mango'!C104+'Taco Bell'!C104+'Chick-fil-A'!C104+Dunkin!C104+Chipotle!C104+Sergios!C104+'Moes PG5'!C104+'Papa Johns'!C104+Salad!C104+'Half Moon &amp; Trop Smoothie'!C104+'Athletic Concessions -Kitchen'!C104+'Starbucks BBC'!C104+'Moes BBC'!C104+'Grille Works BBC &amp; Shipping'!C104+'Subway BBC'!C104+'Market Pavillion'!C104+'Chic Fil A BBC'!C104+Panera!C104+'Heritage Market'!C104</f>
        <v>0</v>
      </c>
      <c r="D104" s="80">
        <f t="shared" si="30"/>
        <v>0</v>
      </c>
      <c r="E104" s="152">
        <f>'POD Breezeway'!E104+'Express GL'!E104+'Starbucks GL-SBX Truck'!E104+'Miro''s'!E104+'Faculty Club'!E104+'Almazar &amp; Brand X'!E104+'Burger King'!E104+Bustelo!E104+Chilis!E104+Einstein!E104+Jamba!E104+'Pollo Tropical'!E104+'Subway GC'!E104+'Sushi Maki'!E104+Panda!E104+'Starbucks Mango'!E104+'Taco Bell'!E104+'Chick-fil-A'!E104+Dunkin!E104+Chipotle!E104+Sergios!E104+'Moes PG5'!E104+'Papa Johns'!E104+Salad!E104+'Half Moon &amp; Trop Smoothie'!E104+'Athletic Concessions -Kitchen'!E104+'Starbucks BBC'!E104+'Moes BBC'!E104+'Grille Works BBC &amp; Shipping'!E104+'Subway BBC'!E104+'Market Pavillion'!E104+'Chic Fil A BBC'!E104+Panera!E104+'Heritage Market'!E104</f>
        <v>0</v>
      </c>
      <c r="F104" s="80">
        <f t="shared" si="31"/>
        <v>0</v>
      </c>
      <c r="G104" s="152">
        <f>'POD Breezeway'!G104+'Express GL'!G104+'Starbucks GL-SBX Truck'!G104+'Miro''s'!G104+'Faculty Club'!G104+'Almazar &amp; Brand X'!G104+'Burger King'!G104+Bustelo!G104+Chilis!G104+Einstein!G104+Jamba!G104+'Pollo Tropical'!G104+'Subway GC'!G104+'Sushi Maki'!G104+Panda!G104+'Starbucks Mango'!G104+'Taco Bell'!G104+'Chick-fil-A'!G104+Dunkin!G104+Chipotle!G104+Sergios!G104+'Moes PG5'!G104+'Papa Johns'!G104+Salad!G104+'Half Moon &amp; Trop Smoothie'!G104+'Athletic Concessions -Kitchen'!G104+'Starbucks BBC'!G104+'Moes BBC'!G104+'Grille Works BBC &amp; Shipping'!G104+'Subway BBC'!G104+'Market Pavillion'!G104+'Chic Fil A BBC'!G104+Panera!G104+'Heritage Market'!G104</f>
        <v>0</v>
      </c>
      <c r="H104" s="80">
        <f t="shared" si="32"/>
        <v>0</v>
      </c>
      <c r="I104" s="152">
        <f>'POD Breezeway'!I104+'Express GL'!I104+'Starbucks GL-SBX Truck'!I104+'Miro''s'!I104+'Faculty Club'!I104+'Almazar &amp; Brand X'!I104+'Burger King'!I104+Bustelo!I104+Chilis!I104+Einstein!I104+Jamba!I104+'Pollo Tropical'!I104+'Subway GC'!I104+'Sushi Maki'!I104+Panda!I104+'Starbucks Mango'!I104+'Taco Bell'!I104+'Chick-fil-A'!I104+Dunkin!I104+Chipotle!I104+Sergios!I104+'Moes PG5'!I104+'Papa Johns'!I104+Salad!I104+'Half Moon &amp; Trop Smoothie'!I104+'Athletic Concessions -Kitchen'!I104+'Starbucks BBC'!I104+'Moes BBC'!I104+'Grille Works BBC &amp; Shipping'!I104+'Subway BBC'!I104+'Market Pavillion'!I104+'Chic Fil A BBC'!I104+Panera!I104+'Heritage Market'!I104</f>
        <v>0</v>
      </c>
      <c r="J104" s="80">
        <f t="shared" si="33"/>
        <v>0</v>
      </c>
      <c r="K104" s="152">
        <f>'POD Breezeway'!K104+'Express GL'!K104+'Starbucks GL-SBX Truck'!K104+'Miro''s'!K104+'Faculty Club'!K104+'Almazar &amp; Brand X'!K104+'Burger King'!K104+Bustelo!K104+Chilis!K104+Einstein!K104+Jamba!K104+'Pollo Tropical'!K104+'Subway GC'!K104+'Sushi Maki'!K104+Panda!K104+'Starbucks Mango'!K104+'Taco Bell'!K104+'Chick-fil-A'!K104+Dunkin!K104+Chipotle!K104+Sergios!K104+'Moes PG5'!K104+'Papa Johns'!K104+Salad!K104+'Half Moon &amp; Trop Smoothie'!K104+'Athletic Concessions -Kitchen'!K104+'Starbucks BBC'!K104+'Moes BBC'!K104+'Grille Works BBC &amp; Shipping'!K104+'Subway BBC'!K104+'Market Pavillion'!K104+'Chic Fil A BBC'!K104+Panera!K104+'Heritage Market'!K104</f>
        <v>0</v>
      </c>
      <c r="L104" s="80">
        <f t="shared" si="34"/>
        <v>0</v>
      </c>
      <c r="M104" s="152">
        <f>'POD Breezeway'!M104+'Express GL'!M104+'Starbucks GL-SBX Truck'!M104+'Miro''s'!M104+'Faculty Club'!M104+'Almazar &amp; Brand X'!M104+'Burger King'!M104+Bustelo!M104+Chilis!M104+Einstein!M104+Jamba!M104+'Pollo Tropical'!M104+'Subway GC'!M104+'Sushi Maki'!M104+Panda!M104+'Starbucks Mango'!M104+'Taco Bell'!M104+'Chick-fil-A'!M104+Dunkin!M104+Chipotle!M104+Sergios!M104+'Moes PG5'!M104+'Papa Johns'!M104+Salad!M104+'Half Moon &amp; Trop Smoothie'!M104+'Athletic Concessions -Kitchen'!M104+'Starbucks BBC'!M104+'Moes BBC'!M104+'Grille Works BBC &amp; Shipping'!M104+'Subway BBC'!M104+'Market Pavillion'!M104+'Chic Fil A BBC'!M104+Panera!M104+'Heritage Market'!M104</f>
        <v>0</v>
      </c>
      <c r="N104" s="80">
        <f t="shared" si="35"/>
        <v>0</v>
      </c>
      <c r="O104" s="152">
        <f>'POD Breezeway'!O104+'Express GL'!O104+'Starbucks GL-SBX Truck'!O104+'Miro''s'!O104+'Faculty Club'!O104+'Almazar &amp; Brand X'!O104+'Burger King'!O104+Bustelo!O104+Chilis!O104+Einstein!O104+Jamba!O104+'Pollo Tropical'!O104+'Subway GC'!O104+'Sushi Maki'!O104+Panda!O104+'Starbucks Mango'!O104+'Taco Bell'!O104+'Chick-fil-A'!O104+Dunkin!O104+Chipotle!O104+Sergios!O104+'Moes PG5'!O104+'Papa Johns'!O104+Salad!O104+'Half Moon &amp; Trop Smoothie'!O104+'Athletic Concessions -Kitchen'!O104+'Starbucks BBC'!O104+'Moes BBC'!O104+'Grille Works BBC &amp; Shipping'!O104+'Subway BBC'!O104+'Market Pavillion'!O104+'Chic Fil A BBC'!O104+Panera!O104+'Heritage Market'!O104</f>
        <v>0</v>
      </c>
      <c r="P104" s="80">
        <f t="shared" si="36"/>
        <v>0</v>
      </c>
      <c r="Q104" s="152">
        <f>'POD Breezeway'!Q104+'Express GL'!Q104+'Starbucks GL-SBX Truck'!Q104+'Miro''s'!Q104+'Faculty Club'!Q104+'Almazar &amp; Brand X'!Q104+'Burger King'!Q104+Bustelo!Q104+Chilis!Q104+Einstein!Q104+Jamba!Q104+'Pollo Tropical'!Q104+'Subway GC'!Q104+'Sushi Maki'!Q104+Panda!Q104+'Starbucks Mango'!Q104+'Taco Bell'!Q104+'Chick-fil-A'!Q104+Dunkin!Q104+Chipotle!Q104+Sergios!Q104+'Moes PG5'!Q104+'Papa Johns'!Q104+Salad!Q104+'Half Moon &amp; Trop Smoothie'!Q104+'Athletic Concessions -Kitchen'!Q104+'Starbucks BBC'!Q104+'Moes BBC'!Q104+'Grille Works BBC &amp; Shipping'!Q104+'Subway BBC'!Q104+'Market Pavillion'!Q104+'Chic Fil A BBC'!Q104+Panera!Q104+'Heritage Market'!Q104</f>
        <v>0</v>
      </c>
      <c r="R104" s="80">
        <f t="shared" si="37"/>
        <v>0</v>
      </c>
      <c r="S104" s="152">
        <f>'POD Breezeway'!S104+'Express GL'!S104+'Starbucks GL-SBX Truck'!S104+'Miro''s'!S104+'Faculty Club'!S104+'Almazar &amp; Brand X'!S104+'Burger King'!S104+Bustelo!S104+Chilis!S104+Einstein!S104+Jamba!S104+'Pollo Tropical'!S104+'Subway GC'!S104+'Sushi Maki'!S104+Panda!S104+'Starbucks Mango'!S104+'Taco Bell'!S104+'Chick-fil-A'!S104+Dunkin!S104+Chipotle!S104+Sergios!S104+'Moes PG5'!S104+'Papa Johns'!S104+Salad!S104+'Half Moon &amp; Trop Smoothie'!S104+'Athletic Concessions -Kitchen'!S104+'Starbucks BBC'!S104+'Moes BBC'!S104+'Grille Works BBC &amp; Shipping'!S104+'Subway BBC'!S104+'Market Pavillion'!S104+'Chic Fil A BBC'!S104+Panera!S104+'Heritage Market'!S104</f>
        <v>0</v>
      </c>
      <c r="T104" s="80">
        <f t="shared" si="38"/>
        <v>0</v>
      </c>
      <c r="U104" s="152">
        <f>'POD Breezeway'!U104+'Express GL'!U104+'Starbucks GL-SBX Truck'!U104+'Miro''s'!U104+'Faculty Club'!U104+'Almazar &amp; Brand X'!U104+'Burger King'!U104+Bustelo!U104+Chilis!U104+Einstein!U104+Jamba!U104+'Pollo Tropical'!U104+'Subway GC'!U104+'Sushi Maki'!U104+Panda!U104+'Starbucks Mango'!U104+'Taco Bell'!U104+'Chick-fil-A'!U104+Dunkin!U104+Chipotle!U104+Sergios!U104+'Moes PG5'!U104+'Papa Johns'!U104+Salad!U104+'Half Moon &amp; Trop Smoothie'!U104+'Athletic Concessions -Kitchen'!U104+'Starbucks BBC'!U104+'Moes BBC'!U104+'Grille Works BBC &amp; Shipping'!U104+'Subway BBC'!U104+'Market Pavillion'!U104+'Chic Fil A BBC'!U104+Panera!U104+'Heritage Market'!U104</f>
        <v>0</v>
      </c>
      <c r="V104" s="80">
        <f t="shared" si="29"/>
        <v>0</v>
      </c>
    </row>
    <row r="105" spans="1:22" ht="12.75" customHeight="1">
      <c r="A105" s="1" t="s">
        <v>447</v>
      </c>
      <c r="B105" s="53"/>
      <c r="C105" s="82">
        <f>SUM(C52:C104)</f>
        <v>2638783.7206195761</v>
      </c>
      <c r="D105" s="83">
        <f t="shared" si="30"/>
        <v>0.16646797949921291</v>
      </c>
      <c r="E105" s="82">
        <f>SUM(E52:E104)</f>
        <v>2991371.5965721617</v>
      </c>
      <c r="F105" s="83">
        <f t="shared" si="31"/>
        <v>0.15903048835817413</v>
      </c>
      <c r="G105" s="82">
        <f>SUM(G52:G104)</f>
        <v>3280584.8758140435</v>
      </c>
      <c r="H105" s="83">
        <f t="shared" si="32"/>
        <v>0.15895956775580783</v>
      </c>
      <c r="I105" s="82">
        <f>SUM(I52:I104)</f>
        <v>3409140.9755876297</v>
      </c>
      <c r="J105" s="83">
        <f t="shared" si="33"/>
        <v>0.15916677956250488</v>
      </c>
      <c r="K105" s="82">
        <f>SUM(K52:K104)</f>
        <v>3513864.6992768547</v>
      </c>
      <c r="L105" s="83">
        <f t="shared" si="34"/>
        <v>0.15923931832191837</v>
      </c>
      <c r="M105" s="82">
        <f>SUM(M52:M104)</f>
        <v>3624978.8698861343</v>
      </c>
      <c r="N105" s="83">
        <f t="shared" si="35"/>
        <v>0.159392411974732</v>
      </c>
      <c r="O105" s="82">
        <f>SUM(O52:O104)</f>
        <v>3742881.4359488576</v>
      </c>
      <c r="P105" s="83">
        <f t="shared" si="36"/>
        <v>0.15956210147055558</v>
      </c>
      <c r="Q105" s="82">
        <f>SUM(Q52:Q104)</f>
        <v>3866133.9034775486</v>
      </c>
      <c r="R105" s="83">
        <f t="shared" si="37"/>
        <v>0.15971544426330458</v>
      </c>
      <c r="S105" s="82">
        <f>SUM(S52:S104)</f>
        <v>3994572.4058042536</v>
      </c>
      <c r="T105" s="83">
        <f t="shared" si="38"/>
        <v>0.15987380439108084</v>
      </c>
      <c r="U105" s="82">
        <f>SUM(U52:U104)</f>
        <v>4089239.1240242436</v>
      </c>
      <c r="V105" s="83">
        <f t="shared" si="29"/>
        <v>0.15852387190979239</v>
      </c>
    </row>
    <row r="106" spans="1:22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2" ht="12.75" customHeight="1">
      <c r="A107" s="1" t="s">
        <v>448</v>
      </c>
      <c r="B107" s="53"/>
      <c r="C107" s="82">
        <f>C28-C33-C46-C105</f>
        <v>3059010.7897604238</v>
      </c>
      <c r="D107" s="83">
        <f>IFERROR(C107/C$28,0)</f>
        <v>0.1929780532821177</v>
      </c>
      <c r="E107" s="82">
        <f>E28-E33-E46-E105</f>
        <v>3775608.6326972665</v>
      </c>
      <c r="F107" s="83">
        <f>IFERROR(E107/E$28,0)</f>
        <v>0.20072293438743288</v>
      </c>
      <c r="G107" s="82">
        <f>G28-G33-G46-G105</f>
        <v>3673469.6357131577</v>
      </c>
      <c r="H107" s="83">
        <f>IFERROR(G107/G$28,0)</f>
        <v>0.17799665838920001</v>
      </c>
      <c r="I107" s="82">
        <f>I28-I33-I46-I105</f>
        <v>3884214.0194801111</v>
      </c>
      <c r="J107" s="83">
        <f>IFERROR(I107/I$28,0)</f>
        <v>0.18134710211143937</v>
      </c>
      <c r="K107" s="82">
        <f>K28-K33-K46-K105</f>
        <v>4021287.886828694</v>
      </c>
      <c r="L107" s="83">
        <f>IFERROR(K107/K$28,0)</f>
        <v>0.18223443321724106</v>
      </c>
      <c r="M107" s="82">
        <f>M28-M33-M46-M105</f>
        <v>4209747.411071457</v>
      </c>
      <c r="N107" s="83">
        <f>IFERROR(M107/M$28,0)</f>
        <v>0.18510502205386378</v>
      </c>
      <c r="O107" s="82">
        <f>O28-O33-O46-O105</f>
        <v>4412701.2138715722</v>
      </c>
      <c r="P107" s="83">
        <f>IFERROR(O107/O$28,0)</f>
        <v>0.18811706726385344</v>
      </c>
      <c r="Q107" s="82">
        <f>Q28-Q33-Q46-Q105</f>
        <v>4645917.2689457769</v>
      </c>
      <c r="R107" s="83">
        <f>IFERROR(Q107/Q$28,0)</f>
        <v>0.19192939488019017</v>
      </c>
      <c r="S107" s="82">
        <f>S28-S33-S46-S105</f>
        <v>4901787.4429850373</v>
      </c>
      <c r="T107" s="83">
        <f>IFERROR(S107/S$28,0)</f>
        <v>0.19618305220547511</v>
      </c>
      <c r="U107" s="82">
        <f>U28-U33-U46-U105</f>
        <v>5473469.615525594</v>
      </c>
      <c r="V107" s="83">
        <f>IFERROR(U107/U$28,0)</f>
        <v>0.21218509603317973</v>
      </c>
    </row>
    <row r="108" spans="1:22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2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2" ht="12.75" customHeight="1">
      <c r="A110" s="40" t="s">
        <v>449</v>
      </c>
      <c r="B110" s="40"/>
      <c r="C110" s="86" t="str">
        <f>C50</f>
        <v>FY 2018-19</v>
      </c>
      <c r="D110" s="86" t="s">
        <v>366</v>
      </c>
      <c r="E110" s="86" t="str">
        <f>E50</f>
        <v>FY 2019-20</v>
      </c>
      <c r="F110" s="86" t="s">
        <v>366</v>
      </c>
      <c r="G110" s="86" t="str">
        <f>G50</f>
        <v>FY 2020-21</v>
      </c>
      <c r="H110" s="86" t="s">
        <v>366</v>
      </c>
      <c r="I110" s="86" t="str">
        <f>I50</f>
        <v>FY 2021-22</v>
      </c>
      <c r="J110" s="86" t="s">
        <v>366</v>
      </c>
      <c r="K110" s="86" t="str">
        <f>K50</f>
        <v>FY 2022-23</v>
      </c>
      <c r="L110" s="86" t="s">
        <v>366</v>
      </c>
      <c r="M110" s="86" t="str">
        <f>M50</f>
        <v>FY 2023-24</v>
      </c>
      <c r="N110" s="86" t="s">
        <v>366</v>
      </c>
      <c r="O110" s="86" t="str">
        <f>O50</f>
        <v>FY 2024-25</v>
      </c>
      <c r="P110" s="86" t="s">
        <v>366</v>
      </c>
      <c r="Q110" s="86" t="str">
        <f>Q50</f>
        <v>FY 2025-26</v>
      </c>
      <c r="R110" s="86" t="s">
        <v>366</v>
      </c>
      <c r="S110" s="86" t="str">
        <f>S50</f>
        <v>FY 2026-27</v>
      </c>
      <c r="T110" s="86" t="s">
        <v>366</v>
      </c>
      <c r="U110" s="86" t="str">
        <f>U50</f>
        <v>FY 2027-28</v>
      </c>
      <c r="V110" s="86" t="s">
        <v>366</v>
      </c>
    </row>
    <row r="111" spans="1:22" ht="12.75" customHeight="1">
      <c r="A111" s="2" t="s">
        <v>403</v>
      </c>
      <c r="B111" s="35"/>
      <c r="C111" s="79">
        <f>'POD Breezeway'!C111+'Express GL'!C111+'Starbucks GL-SBX Truck'!C111+'Miro''s'!C111+'Faculty Club'!C111+'Almazar &amp; Brand X'!C111+'Burger King'!C111+Bustelo!C111+Chilis!C111+Einstein!C111+Jamba!C111+'Pollo Tropical'!C111+'Subway GC'!C111+'Sushi Maki'!C111+Panda!C111+'Starbucks Mango'!C111+'Taco Bell'!C111+'Chick-fil-A'!C111+Dunkin!C111+Chipotle!C111+Sergios!C111+'Moes PG5'!C111+'Papa Johns'!C111+Salad!C111+'Half Moon &amp; Trop Smoothie'!C111+'Athletic Concessions -Kitchen'!C111+'Starbucks BBC'!C111+'Moes BBC'!C111+'Grille Works BBC &amp; Shipping'!C111+'Subway BBC'!C111+'Market Pavillion'!C111+'Chic Fil A BBC'!C111+Panera!C111+'Heritage Market'!C111</f>
        <v>0</v>
      </c>
      <c r="D111" s="80">
        <f t="shared" ref="D111:D116" si="39">IFERROR(C111/C$28,0)</f>
        <v>0</v>
      </c>
      <c r="E111" s="79">
        <f>'POD Breezeway'!E111+'Express GL'!E111+'Starbucks GL-SBX Truck'!E111+'Miro''s'!E111+'Faculty Club'!E111+'Almazar &amp; Brand X'!E111+'Burger King'!E111+Bustelo!E111+Chilis!E111+Einstein!E111+Jamba!E111+'Pollo Tropical'!E111+'Subway GC'!E111+'Sushi Maki'!E111+Panda!E111+'Starbucks Mango'!E111+'Taco Bell'!E111+'Chick-fil-A'!E111+Dunkin!E111+Chipotle!E111+Sergios!E111+'Moes PG5'!E111+'Papa Johns'!E111+Salad!E111+'Half Moon &amp; Trop Smoothie'!E111+'Athletic Concessions -Kitchen'!E111+'Starbucks BBC'!E111+'Moes BBC'!E111+'Grille Works BBC &amp; Shipping'!E111+'Subway BBC'!E111+'Market Pavillion'!E111+'Chic Fil A BBC'!E111+Panera!E111+'Heritage Market'!E111</f>
        <v>0</v>
      </c>
      <c r="F111" s="80">
        <f t="shared" ref="F111:F116" si="40">IFERROR(E111/E$28,0)</f>
        <v>0</v>
      </c>
      <c r="G111" s="79">
        <f>'POD Breezeway'!G111+'Express GL'!G111+'Starbucks GL-SBX Truck'!G111+'Miro''s'!G111+'Faculty Club'!G111+'Almazar &amp; Brand X'!G111+'Burger King'!G111+Bustelo!G111+Chilis!G111+Einstein!G111+Jamba!G111+'Pollo Tropical'!G111+'Subway GC'!G111+'Sushi Maki'!G111+Panda!G111+'Starbucks Mango'!G111+'Taco Bell'!G111+'Chick-fil-A'!G111+Dunkin!G111+Chipotle!G111+Sergios!G111+'Moes PG5'!G111+'Papa Johns'!G111+Salad!G111+'Half Moon &amp; Trop Smoothie'!G111+'Athletic Concessions -Kitchen'!G111+'Starbucks BBC'!G111+'Moes BBC'!G111+'Grille Works BBC &amp; Shipping'!G111+'Subway BBC'!G111+'Market Pavillion'!G111+'Chic Fil A BBC'!G111+Panera!G111+'Heritage Market'!G111</f>
        <v>0</v>
      </c>
      <c r="H111" s="80">
        <f t="shared" ref="H111:H116" si="41">IFERROR(G111/G$28,0)</f>
        <v>0</v>
      </c>
      <c r="I111" s="79">
        <f>'POD Breezeway'!I111+'Express GL'!I111+'Starbucks GL-SBX Truck'!I111+'Miro''s'!I111+'Faculty Club'!I111+'Almazar &amp; Brand X'!I111+'Burger King'!I111+Bustelo!I111+Chilis!I111+Einstein!I111+Jamba!I111+'Pollo Tropical'!I111+'Subway GC'!I111+'Sushi Maki'!I111+Panda!I111+'Starbucks Mango'!I111+'Taco Bell'!I111+'Chick-fil-A'!I111+Dunkin!I111+Chipotle!I111+Sergios!I111+'Moes PG5'!I111+'Papa Johns'!I111+Salad!I111+'Half Moon &amp; Trop Smoothie'!I111+'Athletic Concessions -Kitchen'!I111+'Starbucks BBC'!I111+'Moes BBC'!I111+'Grille Works BBC &amp; Shipping'!I111+'Subway BBC'!I111+'Market Pavillion'!I111+'Chic Fil A BBC'!I111+Panera!I111+'Heritage Market'!I111</f>
        <v>0</v>
      </c>
      <c r="J111" s="80">
        <f t="shared" ref="J111:J116" si="42">IFERROR(I111/I$28,0)</f>
        <v>0</v>
      </c>
      <c r="K111" s="79">
        <f>'POD Breezeway'!K111+'Express GL'!K111+'Starbucks GL-SBX Truck'!K111+'Miro''s'!K111+'Faculty Club'!K111+'Almazar &amp; Brand X'!K111+'Burger King'!K111+Bustelo!K111+Chilis!K111+Einstein!K111+Jamba!K111+'Pollo Tropical'!K111+'Subway GC'!K111+'Sushi Maki'!K111+Panda!K111+'Starbucks Mango'!K111+'Taco Bell'!K111+'Chick-fil-A'!K111+Dunkin!K111+Chipotle!K111+Sergios!K111+'Moes PG5'!K111+'Papa Johns'!K111+Salad!K111+'Half Moon &amp; Trop Smoothie'!K111+'Athletic Concessions -Kitchen'!K111+'Starbucks BBC'!K111+'Moes BBC'!K111+'Grille Works BBC &amp; Shipping'!K111+'Subway BBC'!K111+'Market Pavillion'!K111+'Chic Fil A BBC'!K111+Panera!K111+'Heritage Market'!K111</f>
        <v>0</v>
      </c>
      <c r="L111" s="80">
        <f t="shared" ref="L111:L116" si="43">IFERROR(K111/K$28,0)</f>
        <v>0</v>
      </c>
      <c r="M111" s="79">
        <f>'POD Breezeway'!M111+'Express GL'!M111+'Starbucks GL-SBX Truck'!M111+'Miro''s'!M111+'Faculty Club'!M111+'Almazar &amp; Brand X'!M111+'Burger King'!M111+Bustelo!M111+Chilis!M111+Einstein!M111+Jamba!M111+'Pollo Tropical'!M111+'Subway GC'!M111+'Sushi Maki'!M111+Panda!M111+'Starbucks Mango'!M111+'Taco Bell'!M111+'Chick-fil-A'!M111+Dunkin!M111+Chipotle!M111+Sergios!M111+'Moes PG5'!M111+'Papa Johns'!M111+Salad!M111+'Half Moon &amp; Trop Smoothie'!M111+'Athletic Concessions -Kitchen'!M111+'Starbucks BBC'!M111+'Moes BBC'!M111+'Grille Works BBC &amp; Shipping'!M111+'Subway BBC'!M111+'Market Pavillion'!M111+'Chic Fil A BBC'!M111+Panera!M111+'Heritage Market'!M111</f>
        <v>0</v>
      </c>
      <c r="N111" s="80">
        <f t="shared" ref="N111:N116" si="44">IFERROR(M111/M$28,0)</f>
        <v>0</v>
      </c>
      <c r="O111" s="79">
        <f>'POD Breezeway'!O111+'Express GL'!O111+'Starbucks GL-SBX Truck'!O111+'Miro''s'!O111+'Faculty Club'!O111+'Almazar &amp; Brand X'!O111+'Burger King'!O111+Bustelo!O111+Chilis!O111+Einstein!O111+Jamba!O111+'Pollo Tropical'!O111+'Subway GC'!O111+'Sushi Maki'!O111+Panda!O111+'Starbucks Mango'!O111+'Taco Bell'!O111+'Chick-fil-A'!O111+Dunkin!O111+Chipotle!O111+Sergios!O111+'Moes PG5'!O111+'Papa Johns'!O111+Salad!O111+'Half Moon &amp; Trop Smoothie'!O111+'Athletic Concessions -Kitchen'!O111+'Starbucks BBC'!O111+'Moes BBC'!O111+'Grille Works BBC &amp; Shipping'!O111+'Subway BBC'!O111+'Market Pavillion'!O111+'Chic Fil A BBC'!O111+Panera!O111+'Heritage Market'!O111</f>
        <v>0</v>
      </c>
      <c r="P111" s="80">
        <f t="shared" ref="P111:P116" si="45">IFERROR(O111/O$28,0)</f>
        <v>0</v>
      </c>
      <c r="Q111" s="79">
        <f>'POD Breezeway'!Q111+'Express GL'!Q111+'Starbucks GL-SBX Truck'!Q111+'Miro''s'!Q111+'Faculty Club'!Q111+'Almazar &amp; Brand X'!Q111+'Burger King'!Q111+Bustelo!Q111+Chilis!Q111+Einstein!Q111+Jamba!Q111+'Pollo Tropical'!Q111+'Subway GC'!Q111+'Sushi Maki'!Q111+Panda!Q111+'Starbucks Mango'!Q111+'Taco Bell'!Q111+'Chick-fil-A'!Q111+Dunkin!Q111+Chipotle!Q111+Sergios!Q111+'Moes PG5'!Q111+'Papa Johns'!Q111+Salad!Q111+'Half Moon &amp; Trop Smoothie'!Q111+'Athletic Concessions -Kitchen'!Q111+'Starbucks BBC'!Q111+'Moes BBC'!Q111+'Grille Works BBC &amp; Shipping'!Q111+'Subway BBC'!Q111+'Market Pavillion'!Q111+'Chic Fil A BBC'!Q111+Panera!Q111+'Heritage Market'!Q111</f>
        <v>0</v>
      </c>
      <c r="R111" s="80">
        <f t="shared" ref="R111:R116" si="46">IFERROR(Q111/Q$28,0)</f>
        <v>0</v>
      </c>
      <c r="S111" s="79">
        <f>'POD Breezeway'!S111+'Express GL'!S111+'Starbucks GL-SBX Truck'!S111+'Miro''s'!S111+'Faculty Club'!S111+'Almazar &amp; Brand X'!S111+'Burger King'!S111+Bustelo!S111+Chilis!S111+Einstein!S111+Jamba!S111+'Pollo Tropical'!S111+'Subway GC'!S111+'Sushi Maki'!S111+Panda!S111+'Starbucks Mango'!S111+'Taco Bell'!S111+'Chick-fil-A'!S111+Dunkin!S111+Chipotle!S111+Sergios!S111+'Moes PG5'!S111+'Papa Johns'!S111+Salad!S111+'Half Moon &amp; Trop Smoothie'!S111+'Athletic Concessions -Kitchen'!S111+'Starbucks BBC'!S111+'Moes BBC'!S111+'Grille Works BBC &amp; Shipping'!S111+'Subway BBC'!S111+'Market Pavillion'!S111+'Chic Fil A BBC'!S111+Panera!S111+'Heritage Market'!S111</f>
        <v>0</v>
      </c>
      <c r="T111" s="80">
        <f t="shared" ref="T111:T116" si="47">IFERROR(S111/S$28,0)</f>
        <v>0</v>
      </c>
      <c r="U111" s="79">
        <f>'POD Breezeway'!U111+'Express GL'!U111+'Starbucks GL-SBX Truck'!U111+'Miro''s'!U111+'Faculty Club'!U111+'Almazar &amp; Brand X'!U111+'Burger King'!U111+Bustelo!U111+Chilis!U111+Einstein!U111+Jamba!U111+'Pollo Tropical'!U111+'Subway GC'!U111+'Sushi Maki'!U111+Panda!U111+'Starbucks Mango'!U111+'Taco Bell'!U111+'Chick-fil-A'!U111+Dunkin!U111+Chipotle!U111+Sergios!U111+'Moes PG5'!U111+'Papa Johns'!U111+Salad!U111+'Half Moon &amp; Trop Smoothie'!U111+'Athletic Concessions -Kitchen'!U111+'Starbucks BBC'!U111+'Moes BBC'!U111+'Grille Works BBC &amp; Shipping'!U111+'Subway BBC'!U111+'Market Pavillion'!U111+'Chic Fil A BBC'!U111+Panera!U111+'Heritage Market'!U111</f>
        <v>0</v>
      </c>
      <c r="V111" s="80">
        <f t="shared" ref="V111:V116" si="48">IFERROR(U111/U$28,0)</f>
        <v>0</v>
      </c>
    </row>
    <row r="112" spans="1:22" ht="12.75" customHeight="1">
      <c r="A112" s="2" t="s">
        <v>450</v>
      </c>
      <c r="B112" s="35"/>
      <c r="C112" s="79">
        <f>'POD Breezeway'!C112+'Express GL'!C112+'Starbucks GL-SBX Truck'!C112+'Miro''s'!C112+'Faculty Club'!C112+'Almazar &amp; Brand X'!C112+'Burger King'!C112+Bustelo!C112+Chilis!C112+Einstein!C112+Jamba!C112+'Pollo Tropical'!C112+'Subway GC'!C112+'Sushi Maki'!C112+Panda!C112+'Starbucks Mango'!C112+'Taco Bell'!C112+'Chick-fil-A'!C112+Dunkin!C112+Chipotle!C112+Sergios!C112+'Moes PG5'!C112+'Papa Johns'!C112+Salad!C112+'Half Moon &amp; Trop Smoothie'!C112+'Athletic Concessions -Kitchen'!C112+'Starbucks BBC'!C112+'Moes BBC'!C112+'Grille Works BBC &amp; Shipping'!C112+'Subway BBC'!C112+'Market Pavillion'!C112+'Chic Fil A BBC'!C112+Panera!C112+'Heritage Market'!C112</f>
        <v>0</v>
      </c>
      <c r="D112" s="80">
        <f t="shared" si="39"/>
        <v>0</v>
      </c>
      <c r="E112" s="79">
        <f>'POD Breezeway'!E112+'Express GL'!E112+'Starbucks GL-SBX Truck'!E112+'Miro''s'!E112+'Faculty Club'!E112+'Almazar &amp; Brand X'!E112+'Burger King'!E112+Bustelo!E112+Chilis!E112+Einstein!E112+Jamba!E112+'Pollo Tropical'!E112+'Subway GC'!E112+'Sushi Maki'!E112+Panda!E112+'Starbucks Mango'!E112+'Taco Bell'!E112+'Chick-fil-A'!E112+Dunkin!E112+Chipotle!E112+Sergios!E112+'Moes PG5'!E112+'Papa Johns'!E112+Salad!E112+'Half Moon &amp; Trop Smoothie'!E112+'Athletic Concessions -Kitchen'!E112+'Starbucks BBC'!E112+'Moes BBC'!E112+'Grille Works BBC &amp; Shipping'!E112+'Subway BBC'!E112+'Market Pavillion'!E112+'Chic Fil A BBC'!E112+Panera!E112+'Heritage Market'!E112</f>
        <v>0</v>
      </c>
      <c r="F112" s="80">
        <f t="shared" si="40"/>
        <v>0</v>
      </c>
      <c r="G112" s="79">
        <f>'POD Breezeway'!G112+'Express GL'!G112+'Starbucks GL-SBX Truck'!G112+'Miro''s'!G112+'Faculty Club'!G112+'Almazar &amp; Brand X'!G112+'Burger King'!G112+Bustelo!G112+Chilis!G112+Einstein!G112+Jamba!G112+'Pollo Tropical'!G112+'Subway GC'!G112+'Sushi Maki'!G112+Panda!G112+'Starbucks Mango'!G112+'Taco Bell'!G112+'Chick-fil-A'!G112+Dunkin!G112+Chipotle!G112+Sergios!G112+'Moes PG5'!G112+'Papa Johns'!G112+Salad!G112+'Half Moon &amp; Trop Smoothie'!G112+'Athletic Concessions -Kitchen'!G112+'Starbucks BBC'!G112+'Moes BBC'!G112+'Grille Works BBC &amp; Shipping'!G112+'Subway BBC'!G112+'Market Pavillion'!G112+'Chic Fil A BBC'!G112+Panera!G112+'Heritage Market'!G112</f>
        <v>0</v>
      </c>
      <c r="H112" s="80">
        <f t="shared" si="41"/>
        <v>0</v>
      </c>
      <c r="I112" s="79">
        <f>'POD Breezeway'!I112+'Express GL'!I112+'Starbucks GL-SBX Truck'!I112+'Miro''s'!I112+'Faculty Club'!I112+'Almazar &amp; Brand X'!I112+'Burger King'!I112+Bustelo!I112+Chilis!I112+Einstein!I112+Jamba!I112+'Pollo Tropical'!I112+'Subway GC'!I112+'Sushi Maki'!I112+Panda!I112+'Starbucks Mango'!I112+'Taco Bell'!I112+'Chick-fil-A'!I112+Dunkin!I112+Chipotle!I112+Sergios!I112+'Moes PG5'!I112+'Papa Johns'!I112+Salad!I112+'Half Moon &amp; Trop Smoothie'!I112+'Athletic Concessions -Kitchen'!I112+'Starbucks BBC'!I112+'Moes BBC'!I112+'Grille Works BBC &amp; Shipping'!I112+'Subway BBC'!I112+'Market Pavillion'!I112+'Chic Fil A BBC'!I112+Panera!I112+'Heritage Market'!I112</f>
        <v>0</v>
      </c>
      <c r="J112" s="80">
        <f t="shared" si="42"/>
        <v>0</v>
      </c>
      <c r="K112" s="79">
        <f>'POD Breezeway'!K112+'Express GL'!K112+'Starbucks GL-SBX Truck'!K112+'Miro''s'!K112+'Faculty Club'!K112+'Almazar &amp; Brand X'!K112+'Burger King'!K112+Bustelo!K112+Chilis!K112+Einstein!K112+Jamba!K112+'Pollo Tropical'!K112+'Subway GC'!K112+'Sushi Maki'!K112+Panda!K112+'Starbucks Mango'!K112+'Taco Bell'!K112+'Chick-fil-A'!K112+Dunkin!K112+Chipotle!K112+Sergios!K112+'Moes PG5'!K112+'Papa Johns'!K112+Salad!K112+'Half Moon &amp; Trop Smoothie'!K112+'Athletic Concessions -Kitchen'!K112+'Starbucks BBC'!K112+'Moes BBC'!K112+'Grille Works BBC &amp; Shipping'!K112+'Subway BBC'!K112+'Market Pavillion'!K112+'Chic Fil A BBC'!K112+Panera!K112+'Heritage Market'!K112</f>
        <v>0</v>
      </c>
      <c r="L112" s="80">
        <f t="shared" si="43"/>
        <v>0</v>
      </c>
      <c r="M112" s="79">
        <f>'POD Breezeway'!M112+'Express GL'!M112+'Starbucks GL-SBX Truck'!M112+'Miro''s'!M112+'Faculty Club'!M112+'Almazar &amp; Brand X'!M112+'Burger King'!M112+Bustelo!M112+Chilis!M112+Einstein!M112+Jamba!M112+'Pollo Tropical'!M112+'Subway GC'!M112+'Sushi Maki'!M112+Panda!M112+'Starbucks Mango'!M112+'Taco Bell'!M112+'Chick-fil-A'!M112+Dunkin!M112+Chipotle!M112+Sergios!M112+'Moes PG5'!M112+'Papa Johns'!M112+Salad!M112+'Half Moon &amp; Trop Smoothie'!M112+'Athletic Concessions -Kitchen'!M112+'Starbucks BBC'!M112+'Moes BBC'!M112+'Grille Works BBC &amp; Shipping'!M112+'Subway BBC'!M112+'Market Pavillion'!M112+'Chic Fil A BBC'!M112+Panera!M112+'Heritage Market'!M112</f>
        <v>0</v>
      </c>
      <c r="N112" s="80">
        <f t="shared" si="44"/>
        <v>0</v>
      </c>
      <c r="O112" s="79">
        <f>'POD Breezeway'!O112+'Express GL'!O112+'Starbucks GL-SBX Truck'!O112+'Miro''s'!O112+'Faculty Club'!O112+'Almazar &amp; Brand X'!O112+'Burger King'!O112+Bustelo!O112+Chilis!O112+Einstein!O112+Jamba!O112+'Pollo Tropical'!O112+'Subway GC'!O112+'Sushi Maki'!O112+Panda!O112+'Starbucks Mango'!O112+'Taco Bell'!O112+'Chick-fil-A'!O112+Dunkin!O112+Chipotle!O112+Sergios!O112+'Moes PG5'!O112+'Papa Johns'!O112+Salad!O112+'Half Moon &amp; Trop Smoothie'!O112+'Athletic Concessions -Kitchen'!O112+'Starbucks BBC'!O112+'Moes BBC'!O112+'Grille Works BBC &amp; Shipping'!O112+'Subway BBC'!O112+'Market Pavillion'!O112+'Chic Fil A BBC'!O112+Panera!O112+'Heritage Market'!O112</f>
        <v>0</v>
      </c>
      <c r="P112" s="80">
        <f t="shared" si="45"/>
        <v>0</v>
      </c>
      <c r="Q112" s="79">
        <f>'POD Breezeway'!Q112+'Express GL'!Q112+'Starbucks GL-SBX Truck'!Q112+'Miro''s'!Q112+'Faculty Club'!Q112+'Almazar &amp; Brand X'!Q112+'Burger King'!Q112+Bustelo!Q112+Chilis!Q112+Einstein!Q112+Jamba!Q112+'Pollo Tropical'!Q112+'Subway GC'!Q112+'Sushi Maki'!Q112+Panda!Q112+'Starbucks Mango'!Q112+'Taco Bell'!Q112+'Chick-fil-A'!Q112+Dunkin!Q112+Chipotle!Q112+Sergios!Q112+'Moes PG5'!Q112+'Papa Johns'!Q112+Salad!Q112+'Half Moon &amp; Trop Smoothie'!Q112+'Athletic Concessions -Kitchen'!Q112+'Starbucks BBC'!Q112+'Moes BBC'!Q112+'Grille Works BBC &amp; Shipping'!Q112+'Subway BBC'!Q112+'Market Pavillion'!Q112+'Chic Fil A BBC'!Q112+Panera!Q112+'Heritage Market'!Q112</f>
        <v>0</v>
      </c>
      <c r="R112" s="80">
        <f t="shared" si="46"/>
        <v>0</v>
      </c>
      <c r="S112" s="79">
        <f>'POD Breezeway'!S112+'Express GL'!S112+'Starbucks GL-SBX Truck'!S112+'Miro''s'!S112+'Faculty Club'!S112+'Almazar &amp; Brand X'!S112+'Burger King'!S112+Bustelo!S112+Chilis!S112+Einstein!S112+Jamba!S112+'Pollo Tropical'!S112+'Subway GC'!S112+'Sushi Maki'!S112+Panda!S112+'Starbucks Mango'!S112+'Taco Bell'!S112+'Chick-fil-A'!S112+Dunkin!S112+Chipotle!S112+Sergios!S112+'Moes PG5'!S112+'Papa Johns'!S112+Salad!S112+'Half Moon &amp; Trop Smoothie'!S112+'Athletic Concessions -Kitchen'!S112+'Starbucks BBC'!S112+'Moes BBC'!S112+'Grille Works BBC &amp; Shipping'!S112+'Subway BBC'!S112+'Market Pavillion'!S112+'Chic Fil A BBC'!S112+Panera!S112+'Heritage Market'!S112</f>
        <v>0</v>
      </c>
      <c r="T112" s="80">
        <f t="shared" si="47"/>
        <v>0</v>
      </c>
      <c r="U112" s="79">
        <f>'POD Breezeway'!U112+'Express GL'!U112+'Starbucks GL-SBX Truck'!U112+'Miro''s'!U112+'Faculty Club'!U112+'Almazar &amp; Brand X'!U112+'Burger King'!U112+Bustelo!U112+Chilis!U112+Einstein!U112+Jamba!U112+'Pollo Tropical'!U112+'Subway GC'!U112+'Sushi Maki'!U112+Panda!U112+'Starbucks Mango'!U112+'Taco Bell'!U112+'Chick-fil-A'!U112+Dunkin!U112+Chipotle!U112+Sergios!U112+'Moes PG5'!U112+'Papa Johns'!U112+Salad!U112+'Half Moon &amp; Trop Smoothie'!U112+'Athletic Concessions -Kitchen'!U112+'Starbucks BBC'!U112+'Moes BBC'!U112+'Grille Works BBC &amp; Shipping'!U112+'Subway BBC'!U112+'Market Pavillion'!U112+'Chic Fil A BBC'!U112+Panera!U112+'Heritage Market'!U112</f>
        <v>0</v>
      </c>
      <c r="V112" s="80">
        <f t="shared" si="48"/>
        <v>0</v>
      </c>
    </row>
    <row r="113" spans="1:22" ht="12.75" customHeight="1">
      <c r="A113" s="117" t="s">
        <v>446</v>
      </c>
      <c r="B113" s="41"/>
      <c r="C113" s="79">
        <f>'POD Breezeway'!C113+'Express GL'!C113+'Starbucks GL-SBX Truck'!C113+'Miro''s'!C113+'Faculty Club'!C113+'Almazar &amp; Brand X'!C113+'Burger King'!C113+Bustelo!C113+Chilis!C113+Einstein!C113+Jamba!C113+'Pollo Tropical'!C113+'Subway GC'!C113+'Sushi Maki'!C113+Panda!C113+'Starbucks Mango'!C113+'Taco Bell'!C113+'Chick-fil-A'!C113+Dunkin!C113+Chipotle!C113+Sergios!C113+'Moes PG5'!C113+'Papa Johns'!C113+Salad!C113+'Half Moon &amp; Trop Smoothie'!C113+'Athletic Concessions -Kitchen'!C113+'Starbucks BBC'!C113+'Moes BBC'!C113+'Grille Works BBC &amp; Shipping'!C113+'Subway BBC'!C113+'Market Pavillion'!C113+'Chic Fil A BBC'!C113+Panera!C113+'Heritage Market'!C113</f>
        <v>0</v>
      </c>
      <c r="D113" s="80">
        <f t="shared" si="39"/>
        <v>0</v>
      </c>
      <c r="E113" s="79">
        <f>'POD Breezeway'!E113+'Express GL'!E113+'Starbucks GL-SBX Truck'!E113+'Miro''s'!E113+'Faculty Club'!E113+'Almazar &amp; Brand X'!E113+'Burger King'!E113+Bustelo!E113+Chilis!E113+Einstein!E113+Jamba!E113+'Pollo Tropical'!E113+'Subway GC'!E113+'Sushi Maki'!E113+Panda!E113+'Starbucks Mango'!E113+'Taco Bell'!E113+'Chick-fil-A'!E113+Dunkin!E113+Chipotle!E113+Sergios!E113+'Moes PG5'!E113+'Papa Johns'!E113+Salad!E113+'Half Moon &amp; Trop Smoothie'!E113+'Athletic Concessions -Kitchen'!E113+'Starbucks BBC'!E113+'Moes BBC'!E113+'Grille Works BBC &amp; Shipping'!E113+'Subway BBC'!E113+'Market Pavillion'!E113+'Chic Fil A BBC'!E113+Panera!E113+'Heritage Market'!E113</f>
        <v>0</v>
      </c>
      <c r="F113" s="80">
        <f t="shared" si="40"/>
        <v>0</v>
      </c>
      <c r="G113" s="79">
        <f>'POD Breezeway'!G113+'Express GL'!G113+'Starbucks GL-SBX Truck'!G113+'Miro''s'!G113+'Faculty Club'!G113+'Almazar &amp; Brand X'!G113+'Burger King'!G113+Bustelo!G113+Chilis!G113+Einstein!G113+Jamba!G113+'Pollo Tropical'!G113+'Subway GC'!G113+'Sushi Maki'!G113+Panda!G113+'Starbucks Mango'!G113+'Taco Bell'!G113+'Chick-fil-A'!G113+Dunkin!G113+Chipotle!G113+Sergios!G113+'Moes PG5'!G113+'Papa Johns'!G113+Salad!G113+'Half Moon &amp; Trop Smoothie'!G113+'Athletic Concessions -Kitchen'!G113+'Starbucks BBC'!G113+'Moes BBC'!G113+'Grille Works BBC &amp; Shipping'!G113+'Subway BBC'!G113+'Market Pavillion'!G113+'Chic Fil A BBC'!G113+Panera!G113+'Heritage Market'!G113</f>
        <v>0</v>
      </c>
      <c r="H113" s="80">
        <f t="shared" si="41"/>
        <v>0</v>
      </c>
      <c r="I113" s="79">
        <f>'POD Breezeway'!I113+'Express GL'!I113+'Starbucks GL-SBX Truck'!I113+'Miro''s'!I113+'Faculty Club'!I113+'Almazar &amp; Brand X'!I113+'Burger King'!I113+Bustelo!I113+Chilis!I113+Einstein!I113+Jamba!I113+'Pollo Tropical'!I113+'Subway GC'!I113+'Sushi Maki'!I113+Panda!I113+'Starbucks Mango'!I113+'Taco Bell'!I113+'Chick-fil-A'!I113+Dunkin!I113+Chipotle!I113+Sergios!I113+'Moes PG5'!I113+'Papa Johns'!I113+Salad!I113+'Half Moon &amp; Trop Smoothie'!I113+'Athletic Concessions -Kitchen'!I113+'Starbucks BBC'!I113+'Moes BBC'!I113+'Grille Works BBC &amp; Shipping'!I113+'Subway BBC'!I113+'Market Pavillion'!I113+'Chic Fil A BBC'!I113+Panera!I113+'Heritage Market'!I113</f>
        <v>0</v>
      </c>
      <c r="J113" s="80">
        <f t="shared" si="42"/>
        <v>0</v>
      </c>
      <c r="K113" s="79">
        <f>'POD Breezeway'!K113+'Express GL'!K113+'Starbucks GL-SBX Truck'!K113+'Miro''s'!K113+'Faculty Club'!K113+'Almazar &amp; Brand X'!K113+'Burger King'!K113+Bustelo!K113+Chilis!K113+Einstein!K113+Jamba!K113+'Pollo Tropical'!K113+'Subway GC'!K113+'Sushi Maki'!K113+Panda!K113+'Starbucks Mango'!K113+'Taco Bell'!K113+'Chick-fil-A'!K113+Dunkin!K113+Chipotle!K113+Sergios!K113+'Moes PG5'!K113+'Papa Johns'!K113+Salad!K113+'Half Moon &amp; Trop Smoothie'!K113+'Athletic Concessions -Kitchen'!K113+'Starbucks BBC'!K113+'Moes BBC'!K113+'Grille Works BBC &amp; Shipping'!K113+'Subway BBC'!K113+'Market Pavillion'!K113+'Chic Fil A BBC'!K113+Panera!K113+'Heritage Market'!K113</f>
        <v>0</v>
      </c>
      <c r="L113" s="80">
        <f t="shared" si="43"/>
        <v>0</v>
      </c>
      <c r="M113" s="79">
        <f>'POD Breezeway'!M113+'Express GL'!M113+'Starbucks GL-SBX Truck'!M113+'Miro''s'!M113+'Faculty Club'!M113+'Almazar &amp; Brand X'!M113+'Burger King'!M113+Bustelo!M113+Chilis!M113+Einstein!M113+Jamba!M113+'Pollo Tropical'!M113+'Subway GC'!M113+'Sushi Maki'!M113+Panda!M113+'Starbucks Mango'!M113+'Taco Bell'!M113+'Chick-fil-A'!M113+Dunkin!M113+Chipotle!M113+Sergios!M113+'Moes PG5'!M113+'Papa Johns'!M113+Salad!M113+'Half Moon &amp; Trop Smoothie'!M113+'Athletic Concessions -Kitchen'!M113+'Starbucks BBC'!M113+'Moes BBC'!M113+'Grille Works BBC &amp; Shipping'!M113+'Subway BBC'!M113+'Market Pavillion'!M113+'Chic Fil A BBC'!M113+Panera!M113+'Heritage Market'!M113</f>
        <v>0</v>
      </c>
      <c r="N113" s="80">
        <f t="shared" si="44"/>
        <v>0</v>
      </c>
      <c r="O113" s="79">
        <f>'POD Breezeway'!O113+'Express GL'!O113+'Starbucks GL-SBX Truck'!O113+'Miro''s'!O113+'Faculty Club'!O113+'Almazar &amp; Brand X'!O113+'Burger King'!O113+Bustelo!O113+Chilis!O113+Einstein!O113+Jamba!O113+'Pollo Tropical'!O113+'Subway GC'!O113+'Sushi Maki'!O113+Panda!O113+'Starbucks Mango'!O113+'Taco Bell'!O113+'Chick-fil-A'!O113+Dunkin!O113+Chipotle!O113+Sergios!O113+'Moes PG5'!O113+'Papa Johns'!O113+Salad!O113+'Half Moon &amp; Trop Smoothie'!O113+'Athletic Concessions -Kitchen'!O113+'Starbucks BBC'!O113+'Moes BBC'!O113+'Grille Works BBC &amp; Shipping'!O113+'Subway BBC'!O113+'Market Pavillion'!O113+'Chic Fil A BBC'!O113+Panera!O113+'Heritage Market'!O113</f>
        <v>0</v>
      </c>
      <c r="P113" s="80">
        <f t="shared" si="45"/>
        <v>0</v>
      </c>
      <c r="Q113" s="79">
        <f>'POD Breezeway'!Q113+'Express GL'!Q113+'Starbucks GL-SBX Truck'!Q113+'Miro''s'!Q113+'Faculty Club'!Q113+'Almazar &amp; Brand X'!Q113+'Burger King'!Q113+Bustelo!Q113+Chilis!Q113+Einstein!Q113+Jamba!Q113+'Pollo Tropical'!Q113+'Subway GC'!Q113+'Sushi Maki'!Q113+Panda!Q113+'Starbucks Mango'!Q113+'Taco Bell'!Q113+'Chick-fil-A'!Q113+Dunkin!Q113+Chipotle!Q113+Sergios!Q113+'Moes PG5'!Q113+'Papa Johns'!Q113+Salad!Q113+'Half Moon &amp; Trop Smoothie'!Q113+'Athletic Concessions -Kitchen'!Q113+'Starbucks BBC'!Q113+'Moes BBC'!Q113+'Grille Works BBC &amp; Shipping'!Q113+'Subway BBC'!Q113+'Market Pavillion'!Q113+'Chic Fil A BBC'!Q113+Panera!Q113+'Heritage Market'!Q113</f>
        <v>0</v>
      </c>
      <c r="R113" s="80">
        <f t="shared" si="46"/>
        <v>0</v>
      </c>
      <c r="S113" s="79">
        <f>'POD Breezeway'!S113+'Express GL'!S113+'Starbucks GL-SBX Truck'!S113+'Miro''s'!S113+'Faculty Club'!S113+'Almazar &amp; Brand X'!S113+'Burger King'!S113+Bustelo!S113+Chilis!S113+Einstein!S113+Jamba!S113+'Pollo Tropical'!S113+'Subway GC'!S113+'Sushi Maki'!S113+Panda!S113+'Starbucks Mango'!S113+'Taco Bell'!S113+'Chick-fil-A'!S113+Dunkin!S113+Chipotle!S113+Sergios!S113+'Moes PG5'!S113+'Papa Johns'!S113+Salad!S113+'Half Moon &amp; Trop Smoothie'!S113+'Athletic Concessions -Kitchen'!S113+'Starbucks BBC'!S113+'Moes BBC'!S113+'Grille Works BBC &amp; Shipping'!S113+'Subway BBC'!S113+'Market Pavillion'!S113+'Chic Fil A BBC'!S113+Panera!S113+'Heritage Market'!S113</f>
        <v>0</v>
      </c>
      <c r="T113" s="80">
        <f t="shared" si="47"/>
        <v>0</v>
      </c>
      <c r="U113" s="79">
        <f>'POD Breezeway'!U113+'Express GL'!U113+'Starbucks GL-SBX Truck'!U113+'Miro''s'!U113+'Faculty Club'!U113+'Almazar &amp; Brand X'!U113+'Burger King'!U113+Bustelo!U113+Chilis!U113+Einstein!U113+Jamba!U113+'Pollo Tropical'!U113+'Subway GC'!U113+'Sushi Maki'!U113+Panda!U113+'Starbucks Mango'!U113+'Taco Bell'!U113+'Chick-fil-A'!U113+Dunkin!U113+Chipotle!U113+Sergios!U113+'Moes PG5'!U113+'Papa Johns'!U113+Salad!U113+'Half Moon &amp; Trop Smoothie'!U113+'Athletic Concessions -Kitchen'!U113+'Starbucks BBC'!U113+'Moes BBC'!U113+'Grille Works BBC &amp; Shipping'!U113+'Subway BBC'!U113+'Market Pavillion'!U113+'Chic Fil A BBC'!U113+Panera!U113+'Heritage Market'!U113</f>
        <v>0</v>
      </c>
      <c r="V113" s="80">
        <f t="shared" si="48"/>
        <v>0</v>
      </c>
    </row>
    <row r="114" spans="1:22" ht="12.75" customHeight="1">
      <c r="A114" s="117" t="s">
        <v>446</v>
      </c>
      <c r="B114" s="41"/>
      <c r="C114" s="79">
        <f>'POD Breezeway'!C114+'Express GL'!C114+'Starbucks GL-SBX Truck'!C114+'Miro''s'!C114+'Faculty Club'!C114+'Almazar &amp; Brand X'!C114+'Burger King'!C114+Bustelo!C114+Chilis!C114+Einstein!C114+Jamba!C114+'Pollo Tropical'!C114+'Subway GC'!C114+'Sushi Maki'!C114+Panda!C114+'Starbucks Mango'!C114+'Taco Bell'!C114+'Chick-fil-A'!C114+Dunkin!C114+Chipotle!C114+Sergios!C114+'Moes PG5'!C114+'Papa Johns'!C114+Salad!C114+'Half Moon &amp; Trop Smoothie'!C114+'Athletic Concessions -Kitchen'!C114+'Starbucks BBC'!C114+'Moes BBC'!C114+'Grille Works BBC &amp; Shipping'!C114+'Subway BBC'!C114+'Market Pavillion'!C114+'Chic Fil A BBC'!C114+Panera!C114+'Heritage Market'!C114</f>
        <v>0</v>
      </c>
      <c r="D114" s="80">
        <f t="shared" si="39"/>
        <v>0</v>
      </c>
      <c r="E114" s="79">
        <f>'POD Breezeway'!E114+'Express GL'!E114+'Starbucks GL-SBX Truck'!E114+'Miro''s'!E114+'Faculty Club'!E114+'Almazar &amp; Brand X'!E114+'Burger King'!E114+Bustelo!E114+Chilis!E114+Einstein!E114+Jamba!E114+'Pollo Tropical'!E114+'Subway GC'!E114+'Sushi Maki'!E114+Panda!E114+'Starbucks Mango'!E114+'Taco Bell'!E114+'Chick-fil-A'!E114+Dunkin!E114+Chipotle!E114+Sergios!E114+'Moes PG5'!E114+'Papa Johns'!E114+Salad!E114+'Half Moon &amp; Trop Smoothie'!E114+'Athletic Concessions -Kitchen'!E114+'Starbucks BBC'!E114+'Moes BBC'!E114+'Grille Works BBC &amp; Shipping'!E114+'Subway BBC'!E114+'Market Pavillion'!E114+'Chic Fil A BBC'!E114+Panera!E114+'Heritage Market'!E114</f>
        <v>0</v>
      </c>
      <c r="F114" s="80">
        <f t="shared" si="40"/>
        <v>0</v>
      </c>
      <c r="G114" s="79">
        <f>'POD Breezeway'!G114+'Express GL'!G114+'Starbucks GL-SBX Truck'!G114+'Miro''s'!G114+'Faculty Club'!G114+'Almazar &amp; Brand X'!G114+'Burger King'!G114+Bustelo!G114+Chilis!G114+Einstein!G114+Jamba!G114+'Pollo Tropical'!G114+'Subway GC'!G114+'Sushi Maki'!G114+Panda!G114+'Starbucks Mango'!G114+'Taco Bell'!G114+'Chick-fil-A'!G114+Dunkin!G114+Chipotle!G114+Sergios!G114+'Moes PG5'!G114+'Papa Johns'!G114+Salad!G114+'Half Moon &amp; Trop Smoothie'!G114+'Athletic Concessions -Kitchen'!G114+'Starbucks BBC'!G114+'Moes BBC'!G114+'Grille Works BBC &amp; Shipping'!G114+'Subway BBC'!G114+'Market Pavillion'!G114+'Chic Fil A BBC'!G114+Panera!G114+'Heritage Market'!G114</f>
        <v>0</v>
      </c>
      <c r="H114" s="80">
        <f t="shared" si="41"/>
        <v>0</v>
      </c>
      <c r="I114" s="79">
        <f>'POD Breezeway'!I114+'Express GL'!I114+'Starbucks GL-SBX Truck'!I114+'Miro''s'!I114+'Faculty Club'!I114+'Almazar &amp; Brand X'!I114+'Burger King'!I114+Bustelo!I114+Chilis!I114+Einstein!I114+Jamba!I114+'Pollo Tropical'!I114+'Subway GC'!I114+'Sushi Maki'!I114+Panda!I114+'Starbucks Mango'!I114+'Taco Bell'!I114+'Chick-fil-A'!I114+Dunkin!I114+Chipotle!I114+Sergios!I114+'Moes PG5'!I114+'Papa Johns'!I114+Salad!I114+'Half Moon &amp; Trop Smoothie'!I114+'Athletic Concessions -Kitchen'!I114+'Starbucks BBC'!I114+'Moes BBC'!I114+'Grille Works BBC &amp; Shipping'!I114+'Subway BBC'!I114+'Market Pavillion'!I114+'Chic Fil A BBC'!I114+Panera!I114+'Heritage Market'!I114</f>
        <v>0</v>
      </c>
      <c r="J114" s="80">
        <f t="shared" si="42"/>
        <v>0</v>
      </c>
      <c r="K114" s="79">
        <f>'POD Breezeway'!K114+'Express GL'!K114+'Starbucks GL-SBX Truck'!K114+'Miro''s'!K114+'Faculty Club'!K114+'Almazar &amp; Brand X'!K114+'Burger King'!K114+Bustelo!K114+Chilis!K114+Einstein!K114+Jamba!K114+'Pollo Tropical'!K114+'Subway GC'!K114+'Sushi Maki'!K114+Panda!K114+'Starbucks Mango'!K114+'Taco Bell'!K114+'Chick-fil-A'!K114+Dunkin!K114+Chipotle!K114+Sergios!K114+'Moes PG5'!K114+'Papa Johns'!K114+Salad!K114+'Half Moon &amp; Trop Smoothie'!K114+'Athletic Concessions -Kitchen'!K114+'Starbucks BBC'!K114+'Moes BBC'!K114+'Grille Works BBC &amp; Shipping'!K114+'Subway BBC'!K114+'Market Pavillion'!K114+'Chic Fil A BBC'!K114+Panera!K114+'Heritage Market'!K114</f>
        <v>0</v>
      </c>
      <c r="L114" s="80">
        <f t="shared" si="43"/>
        <v>0</v>
      </c>
      <c r="M114" s="79">
        <f>'POD Breezeway'!M114+'Express GL'!M114+'Starbucks GL-SBX Truck'!M114+'Miro''s'!M114+'Faculty Club'!M114+'Almazar &amp; Brand X'!M114+'Burger King'!M114+Bustelo!M114+Chilis!M114+Einstein!M114+Jamba!M114+'Pollo Tropical'!M114+'Subway GC'!M114+'Sushi Maki'!M114+Panda!M114+'Starbucks Mango'!M114+'Taco Bell'!M114+'Chick-fil-A'!M114+Dunkin!M114+Chipotle!M114+Sergios!M114+'Moes PG5'!M114+'Papa Johns'!M114+Salad!M114+'Half Moon &amp; Trop Smoothie'!M114+'Athletic Concessions -Kitchen'!M114+'Starbucks BBC'!M114+'Moes BBC'!M114+'Grille Works BBC &amp; Shipping'!M114+'Subway BBC'!M114+'Market Pavillion'!M114+'Chic Fil A BBC'!M114+Panera!M114+'Heritage Market'!M114</f>
        <v>0</v>
      </c>
      <c r="N114" s="80">
        <f t="shared" si="44"/>
        <v>0</v>
      </c>
      <c r="O114" s="79">
        <f>'POD Breezeway'!O114+'Express GL'!O114+'Starbucks GL-SBX Truck'!O114+'Miro''s'!O114+'Faculty Club'!O114+'Almazar &amp; Brand X'!O114+'Burger King'!O114+Bustelo!O114+Chilis!O114+Einstein!O114+Jamba!O114+'Pollo Tropical'!O114+'Subway GC'!O114+'Sushi Maki'!O114+Panda!O114+'Starbucks Mango'!O114+'Taco Bell'!O114+'Chick-fil-A'!O114+Dunkin!O114+Chipotle!O114+Sergios!O114+'Moes PG5'!O114+'Papa Johns'!O114+Salad!O114+'Half Moon &amp; Trop Smoothie'!O114+'Athletic Concessions -Kitchen'!O114+'Starbucks BBC'!O114+'Moes BBC'!O114+'Grille Works BBC &amp; Shipping'!O114+'Subway BBC'!O114+'Market Pavillion'!O114+'Chic Fil A BBC'!O114+Panera!O114+'Heritage Market'!O114</f>
        <v>0</v>
      </c>
      <c r="P114" s="80">
        <f t="shared" si="45"/>
        <v>0</v>
      </c>
      <c r="Q114" s="79">
        <f>'POD Breezeway'!Q114+'Express GL'!Q114+'Starbucks GL-SBX Truck'!Q114+'Miro''s'!Q114+'Faculty Club'!Q114+'Almazar &amp; Brand X'!Q114+'Burger King'!Q114+Bustelo!Q114+Chilis!Q114+Einstein!Q114+Jamba!Q114+'Pollo Tropical'!Q114+'Subway GC'!Q114+'Sushi Maki'!Q114+Panda!Q114+'Starbucks Mango'!Q114+'Taco Bell'!Q114+'Chick-fil-A'!Q114+Dunkin!Q114+Chipotle!Q114+Sergios!Q114+'Moes PG5'!Q114+'Papa Johns'!Q114+Salad!Q114+'Half Moon &amp; Trop Smoothie'!Q114+'Athletic Concessions -Kitchen'!Q114+'Starbucks BBC'!Q114+'Moes BBC'!Q114+'Grille Works BBC &amp; Shipping'!Q114+'Subway BBC'!Q114+'Market Pavillion'!Q114+'Chic Fil A BBC'!Q114+Panera!Q114+'Heritage Market'!Q114</f>
        <v>0</v>
      </c>
      <c r="R114" s="80">
        <f t="shared" si="46"/>
        <v>0</v>
      </c>
      <c r="S114" s="79">
        <f>'POD Breezeway'!S114+'Express GL'!S114+'Starbucks GL-SBX Truck'!S114+'Miro''s'!S114+'Faculty Club'!S114+'Almazar &amp; Brand X'!S114+'Burger King'!S114+Bustelo!S114+Chilis!S114+Einstein!S114+Jamba!S114+'Pollo Tropical'!S114+'Subway GC'!S114+'Sushi Maki'!S114+Panda!S114+'Starbucks Mango'!S114+'Taco Bell'!S114+'Chick-fil-A'!S114+Dunkin!S114+Chipotle!S114+Sergios!S114+'Moes PG5'!S114+'Papa Johns'!S114+Salad!S114+'Half Moon &amp; Trop Smoothie'!S114+'Athletic Concessions -Kitchen'!S114+'Starbucks BBC'!S114+'Moes BBC'!S114+'Grille Works BBC &amp; Shipping'!S114+'Subway BBC'!S114+'Market Pavillion'!S114+'Chic Fil A BBC'!S114+Panera!S114+'Heritage Market'!S114</f>
        <v>0</v>
      </c>
      <c r="T114" s="80">
        <f t="shared" si="47"/>
        <v>0</v>
      </c>
      <c r="U114" s="79">
        <f>'POD Breezeway'!U114+'Express GL'!U114+'Starbucks GL-SBX Truck'!U114+'Miro''s'!U114+'Faculty Club'!U114+'Almazar &amp; Brand X'!U114+'Burger King'!U114+Bustelo!U114+Chilis!U114+Einstein!U114+Jamba!U114+'Pollo Tropical'!U114+'Subway GC'!U114+'Sushi Maki'!U114+Panda!U114+'Starbucks Mango'!U114+'Taco Bell'!U114+'Chick-fil-A'!U114+Dunkin!U114+Chipotle!U114+Sergios!U114+'Moes PG5'!U114+'Papa Johns'!U114+Salad!U114+'Half Moon &amp; Trop Smoothie'!U114+'Athletic Concessions -Kitchen'!U114+'Starbucks BBC'!U114+'Moes BBC'!U114+'Grille Works BBC &amp; Shipping'!U114+'Subway BBC'!U114+'Market Pavillion'!U114+'Chic Fil A BBC'!U114+Panera!U114+'Heritage Market'!U114</f>
        <v>0</v>
      </c>
      <c r="V114" s="80">
        <f t="shared" si="48"/>
        <v>0</v>
      </c>
    </row>
    <row r="115" spans="1:22" ht="12.75" customHeight="1">
      <c r="A115" s="117" t="s">
        <v>446</v>
      </c>
      <c r="B115" s="41"/>
      <c r="C115" s="79">
        <f>'POD Breezeway'!C115+'Express GL'!C115+'Starbucks GL-SBX Truck'!C115+'Miro''s'!C115+'Faculty Club'!C115+'Almazar &amp; Brand X'!C115+'Burger King'!C115+Bustelo!C115+Chilis!C115+Einstein!C115+Jamba!C115+'Pollo Tropical'!C115+'Subway GC'!C115+'Sushi Maki'!C115+Panda!C115+'Starbucks Mango'!C115+'Taco Bell'!C115+'Chick-fil-A'!C115+Dunkin!C115+Chipotle!C115+Sergios!C115+'Moes PG5'!C115+'Papa Johns'!C115+Salad!C115+'Half Moon &amp; Trop Smoothie'!C115+'Athletic Concessions -Kitchen'!C115+'Starbucks BBC'!C115+'Moes BBC'!C115+'Grille Works BBC &amp; Shipping'!C115+'Subway BBC'!C115+'Market Pavillion'!C115+'Chic Fil A BBC'!C115+Panera!C115+'Heritage Market'!C115</f>
        <v>0</v>
      </c>
      <c r="D115" s="80">
        <f t="shared" si="39"/>
        <v>0</v>
      </c>
      <c r="E115" s="79">
        <f>'POD Breezeway'!E115+'Express GL'!E115+'Starbucks GL-SBX Truck'!E115+'Miro''s'!E115+'Faculty Club'!E115+'Almazar &amp; Brand X'!E115+'Burger King'!E115+Bustelo!E115+Chilis!E115+Einstein!E115+Jamba!E115+'Pollo Tropical'!E115+'Subway GC'!E115+'Sushi Maki'!E115+Panda!E115+'Starbucks Mango'!E115+'Taco Bell'!E115+'Chick-fil-A'!E115+Dunkin!E115+Chipotle!E115+Sergios!E115+'Moes PG5'!E115+'Papa Johns'!E115+Salad!E115+'Half Moon &amp; Trop Smoothie'!E115+'Athletic Concessions -Kitchen'!E115+'Starbucks BBC'!E115+'Moes BBC'!E115+'Grille Works BBC &amp; Shipping'!E115+'Subway BBC'!E115+'Market Pavillion'!E115+'Chic Fil A BBC'!E115+Panera!E115+'Heritage Market'!E115</f>
        <v>0</v>
      </c>
      <c r="F115" s="80">
        <f t="shared" si="40"/>
        <v>0</v>
      </c>
      <c r="G115" s="79">
        <f>'POD Breezeway'!G115+'Express GL'!G115+'Starbucks GL-SBX Truck'!G115+'Miro''s'!G115+'Faculty Club'!G115+'Almazar &amp; Brand X'!G115+'Burger King'!G115+Bustelo!G115+Chilis!G115+Einstein!G115+Jamba!G115+'Pollo Tropical'!G115+'Subway GC'!G115+'Sushi Maki'!G115+Panda!G115+'Starbucks Mango'!G115+'Taco Bell'!G115+'Chick-fil-A'!G115+Dunkin!G115+Chipotle!G115+Sergios!G115+'Moes PG5'!G115+'Papa Johns'!G115+Salad!G115+'Half Moon &amp; Trop Smoothie'!G115+'Athletic Concessions -Kitchen'!G115+'Starbucks BBC'!G115+'Moes BBC'!G115+'Grille Works BBC &amp; Shipping'!G115+'Subway BBC'!G115+'Market Pavillion'!G115+'Chic Fil A BBC'!G115+Panera!G115+'Heritage Market'!G115</f>
        <v>0</v>
      </c>
      <c r="H115" s="80">
        <f t="shared" si="41"/>
        <v>0</v>
      </c>
      <c r="I115" s="79">
        <f>'POD Breezeway'!I115+'Express GL'!I115+'Starbucks GL-SBX Truck'!I115+'Miro''s'!I115+'Faculty Club'!I115+'Almazar &amp; Brand X'!I115+'Burger King'!I115+Bustelo!I115+Chilis!I115+Einstein!I115+Jamba!I115+'Pollo Tropical'!I115+'Subway GC'!I115+'Sushi Maki'!I115+Panda!I115+'Starbucks Mango'!I115+'Taco Bell'!I115+'Chick-fil-A'!I115+Dunkin!I115+Chipotle!I115+Sergios!I115+'Moes PG5'!I115+'Papa Johns'!I115+Salad!I115+'Half Moon &amp; Trop Smoothie'!I115+'Athletic Concessions -Kitchen'!I115+'Starbucks BBC'!I115+'Moes BBC'!I115+'Grille Works BBC &amp; Shipping'!I115+'Subway BBC'!I115+'Market Pavillion'!I115+'Chic Fil A BBC'!I115+Panera!I115+'Heritage Market'!I115</f>
        <v>0</v>
      </c>
      <c r="J115" s="80">
        <f t="shared" si="42"/>
        <v>0</v>
      </c>
      <c r="K115" s="79">
        <f>'POD Breezeway'!K115+'Express GL'!K115+'Starbucks GL-SBX Truck'!K115+'Miro''s'!K115+'Faculty Club'!K115+'Almazar &amp; Brand X'!K115+'Burger King'!K115+Bustelo!K115+Chilis!K115+Einstein!K115+Jamba!K115+'Pollo Tropical'!K115+'Subway GC'!K115+'Sushi Maki'!K115+Panda!K115+'Starbucks Mango'!K115+'Taco Bell'!K115+'Chick-fil-A'!K115+Dunkin!K115+Chipotle!K115+Sergios!K115+'Moes PG5'!K115+'Papa Johns'!K115+Salad!K115+'Half Moon &amp; Trop Smoothie'!K115+'Athletic Concessions -Kitchen'!K115+'Starbucks BBC'!K115+'Moes BBC'!K115+'Grille Works BBC &amp; Shipping'!K115+'Subway BBC'!K115+'Market Pavillion'!K115+'Chic Fil A BBC'!K115+Panera!K115+'Heritage Market'!K115</f>
        <v>0</v>
      </c>
      <c r="L115" s="80">
        <f t="shared" si="43"/>
        <v>0</v>
      </c>
      <c r="M115" s="79">
        <f>'POD Breezeway'!M115+'Express GL'!M115+'Starbucks GL-SBX Truck'!M115+'Miro''s'!M115+'Faculty Club'!M115+'Almazar &amp; Brand X'!M115+'Burger King'!M115+Bustelo!M115+Chilis!M115+Einstein!M115+Jamba!M115+'Pollo Tropical'!M115+'Subway GC'!M115+'Sushi Maki'!M115+Panda!M115+'Starbucks Mango'!M115+'Taco Bell'!M115+'Chick-fil-A'!M115+Dunkin!M115+Chipotle!M115+Sergios!M115+'Moes PG5'!M115+'Papa Johns'!M115+Salad!M115+'Half Moon &amp; Trop Smoothie'!M115+'Athletic Concessions -Kitchen'!M115+'Starbucks BBC'!M115+'Moes BBC'!M115+'Grille Works BBC &amp; Shipping'!M115+'Subway BBC'!M115+'Market Pavillion'!M115+'Chic Fil A BBC'!M115+Panera!M115+'Heritage Market'!M115</f>
        <v>0</v>
      </c>
      <c r="N115" s="80">
        <f t="shared" si="44"/>
        <v>0</v>
      </c>
      <c r="O115" s="79">
        <f>'POD Breezeway'!O115+'Express GL'!O115+'Starbucks GL-SBX Truck'!O115+'Miro''s'!O115+'Faculty Club'!O115+'Almazar &amp; Brand X'!O115+'Burger King'!O115+Bustelo!O115+Chilis!O115+Einstein!O115+Jamba!O115+'Pollo Tropical'!O115+'Subway GC'!O115+'Sushi Maki'!O115+Panda!O115+'Starbucks Mango'!O115+'Taco Bell'!O115+'Chick-fil-A'!O115+Dunkin!O115+Chipotle!O115+Sergios!O115+'Moes PG5'!O115+'Papa Johns'!O115+Salad!O115+'Half Moon &amp; Trop Smoothie'!O115+'Athletic Concessions -Kitchen'!O115+'Starbucks BBC'!O115+'Moes BBC'!O115+'Grille Works BBC &amp; Shipping'!O115+'Subway BBC'!O115+'Market Pavillion'!O115+'Chic Fil A BBC'!O115+Panera!O115+'Heritage Market'!O115</f>
        <v>0</v>
      </c>
      <c r="P115" s="80">
        <f t="shared" si="45"/>
        <v>0</v>
      </c>
      <c r="Q115" s="79">
        <f>'POD Breezeway'!Q115+'Express GL'!Q115+'Starbucks GL-SBX Truck'!Q115+'Miro''s'!Q115+'Faculty Club'!Q115+'Almazar &amp; Brand X'!Q115+'Burger King'!Q115+Bustelo!Q115+Chilis!Q115+Einstein!Q115+Jamba!Q115+'Pollo Tropical'!Q115+'Subway GC'!Q115+'Sushi Maki'!Q115+Panda!Q115+'Starbucks Mango'!Q115+'Taco Bell'!Q115+'Chick-fil-A'!Q115+Dunkin!Q115+Chipotle!Q115+Sergios!Q115+'Moes PG5'!Q115+'Papa Johns'!Q115+Salad!Q115+'Half Moon &amp; Trop Smoothie'!Q115+'Athletic Concessions -Kitchen'!Q115+'Starbucks BBC'!Q115+'Moes BBC'!Q115+'Grille Works BBC &amp; Shipping'!Q115+'Subway BBC'!Q115+'Market Pavillion'!Q115+'Chic Fil A BBC'!Q115+Panera!Q115+'Heritage Market'!Q115</f>
        <v>0</v>
      </c>
      <c r="R115" s="80">
        <f t="shared" si="46"/>
        <v>0</v>
      </c>
      <c r="S115" s="79">
        <f>'POD Breezeway'!S115+'Express GL'!S115+'Starbucks GL-SBX Truck'!S115+'Miro''s'!S115+'Faculty Club'!S115+'Almazar &amp; Brand X'!S115+'Burger King'!S115+Bustelo!S115+Chilis!S115+Einstein!S115+Jamba!S115+'Pollo Tropical'!S115+'Subway GC'!S115+'Sushi Maki'!S115+Panda!S115+'Starbucks Mango'!S115+'Taco Bell'!S115+'Chick-fil-A'!S115+Dunkin!S115+Chipotle!S115+Sergios!S115+'Moes PG5'!S115+'Papa Johns'!S115+Salad!S115+'Half Moon &amp; Trop Smoothie'!S115+'Athletic Concessions -Kitchen'!S115+'Starbucks BBC'!S115+'Moes BBC'!S115+'Grille Works BBC &amp; Shipping'!S115+'Subway BBC'!S115+'Market Pavillion'!S115+'Chic Fil A BBC'!S115+Panera!S115+'Heritage Market'!S115</f>
        <v>0</v>
      </c>
      <c r="T115" s="80">
        <f t="shared" si="47"/>
        <v>0</v>
      </c>
      <c r="U115" s="79">
        <f>'POD Breezeway'!U115+'Express GL'!U115+'Starbucks GL-SBX Truck'!U115+'Miro''s'!U115+'Faculty Club'!U115+'Almazar &amp; Brand X'!U115+'Burger King'!U115+Bustelo!U115+Chilis!U115+Einstein!U115+Jamba!U115+'Pollo Tropical'!U115+'Subway GC'!U115+'Sushi Maki'!U115+Panda!U115+'Starbucks Mango'!U115+'Taco Bell'!U115+'Chick-fil-A'!U115+Dunkin!U115+Chipotle!U115+Sergios!U115+'Moes PG5'!U115+'Papa Johns'!U115+Salad!U115+'Half Moon &amp; Trop Smoothie'!U115+'Athletic Concessions -Kitchen'!U115+'Starbucks BBC'!U115+'Moes BBC'!U115+'Grille Works BBC &amp; Shipping'!U115+'Subway BBC'!U115+'Market Pavillion'!U115+'Chic Fil A BBC'!U115+Panera!U115+'Heritage Market'!U115</f>
        <v>0</v>
      </c>
      <c r="V115" s="80">
        <f t="shared" si="48"/>
        <v>0</v>
      </c>
    </row>
    <row r="116" spans="1:22" ht="12.75" customHeight="1">
      <c r="A116" s="40" t="s">
        <v>451</v>
      </c>
      <c r="B116" s="42"/>
      <c r="C116" s="85">
        <f>SUM(C111:C115)</f>
        <v>0</v>
      </c>
      <c r="D116" s="83">
        <f t="shared" si="39"/>
        <v>0</v>
      </c>
      <c r="E116" s="85">
        <f>SUM(E111:E115)</f>
        <v>0</v>
      </c>
      <c r="F116" s="83">
        <f t="shared" si="40"/>
        <v>0</v>
      </c>
      <c r="G116" s="85">
        <f>SUM(G111:G115)</f>
        <v>0</v>
      </c>
      <c r="H116" s="83">
        <f t="shared" si="41"/>
        <v>0</v>
      </c>
      <c r="I116" s="85">
        <f>SUM(I111:I115)</f>
        <v>0</v>
      </c>
      <c r="J116" s="83">
        <f t="shared" si="42"/>
        <v>0</v>
      </c>
      <c r="K116" s="85">
        <f>SUM(K111:K115)</f>
        <v>0</v>
      </c>
      <c r="L116" s="83">
        <f t="shared" si="43"/>
        <v>0</v>
      </c>
      <c r="M116" s="85">
        <f>SUM(M111:M115)</f>
        <v>0</v>
      </c>
      <c r="N116" s="83">
        <f t="shared" si="44"/>
        <v>0</v>
      </c>
      <c r="O116" s="85">
        <f>SUM(O111:O115)</f>
        <v>0</v>
      </c>
      <c r="P116" s="83">
        <f t="shared" si="45"/>
        <v>0</v>
      </c>
      <c r="Q116" s="85">
        <f>SUM(Q111:Q115)</f>
        <v>0</v>
      </c>
      <c r="R116" s="83">
        <f t="shared" si="46"/>
        <v>0</v>
      </c>
      <c r="S116" s="85">
        <f>SUM(S111:S115)</f>
        <v>0</v>
      </c>
      <c r="T116" s="83">
        <f t="shared" si="47"/>
        <v>0</v>
      </c>
      <c r="U116" s="85">
        <f>SUM(U111:U115)</f>
        <v>0</v>
      </c>
      <c r="V116" s="83">
        <f t="shared" si="48"/>
        <v>0</v>
      </c>
    </row>
    <row r="118" spans="1:22" ht="12.75" customHeight="1">
      <c r="A118" s="43" t="s">
        <v>452</v>
      </c>
      <c r="B118" s="43"/>
    </row>
    <row r="119" spans="1:22" ht="12.75" customHeight="1">
      <c r="A119" s="47" t="s">
        <v>453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9" tint="0.39997558519241921"/>
  </sheetPr>
  <dimension ref="A1:X119"/>
  <sheetViews>
    <sheetView topLeftCell="A39" zoomScale="70" zoomScaleNormal="70" workbookViewId="0" xr3:uid="{F1DDE993-1B6C-5616-88E6-1BE0F5D2AD08}">
      <selection activeCell="W59" sqref="W59"/>
    </sheetView>
  </sheetViews>
  <sheetFormatPr defaultColWidth="9.140625" defaultRowHeight="12.75" customHeight="1"/>
  <cols>
    <col min="1" max="1" width="9.5703125" style="2" customWidth="1"/>
    <col min="2" max="2" width="45.5703125" style="2" customWidth="1"/>
    <col min="3" max="3" width="12.7109375" style="2" customWidth="1"/>
    <col min="4" max="4" width="8.7109375" style="2" customWidth="1"/>
    <col min="5" max="5" width="12.7109375" style="2" customWidth="1"/>
    <col min="6" max="6" width="8.7109375" style="2" customWidth="1"/>
    <col min="7" max="7" width="12.710937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513</v>
      </c>
      <c r="B1" s="1"/>
    </row>
    <row r="2" spans="1:22" ht="12.75" customHeight="1">
      <c r="A2" s="1" t="s">
        <v>1</v>
      </c>
      <c r="B2" s="1"/>
      <c r="D2" s="118" t="s">
        <v>355</v>
      </c>
      <c r="G2" s="33" t="s">
        <v>515</v>
      </c>
      <c r="H2" s="34"/>
      <c r="I2" s="34"/>
      <c r="V2" s="32"/>
    </row>
    <row r="3" spans="1:22" ht="12.75" customHeight="1">
      <c r="A3" s="1" t="s">
        <v>357</v>
      </c>
      <c r="D3" s="118" t="s">
        <v>358</v>
      </c>
      <c r="G3" s="115" t="str">
        <f>+G2</f>
        <v>Catering Services (MMC)</v>
      </c>
      <c r="H3" s="116"/>
      <c r="I3" s="116"/>
      <c r="V3" s="32"/>
    </row>
    <row r="4" spans="1:22" ht="12.75" customHeight="1">
      <c r="A4" s="1" t="s">
        <v>359</v>
      </c>
      <c r="B4" s="109" t="s">
        <v>221</v>
      </c>
      <c r="D4" s="118" t="s">
        <v>360</v>
      </c>
      <c r="G4" s="115" t="s">
        <v>65</v>
      </c>
      <c r="H4" s="116"/>
      <c r="I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89" t="s">
        <v>361</v>
      </c>
      <c r="B7" s="89"/>
      <c r="C7" s="90"/>
      <c r="D7" s="90"/>
      <c r="E7" s="90"/>
      <c r="F7" s="90"/>
      <c r="G7" s="90"/>
      <c r="H7" s="90"/>
      <c r="I7" s="90"/>
      <c r="J7" s="90"/>
      <c r="K7" s="90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</row>
    <row r="8" spans="1:22" ht="12.75" customHeight="1">
      <c r="A8" s="90" t="s">
        <v>362</v>
      </c>
      <c r="B8" s="90"/>
      <c r="C8" s="91"/>
      <c r="D8" s="90"/>
      <c r="E8" s="91"/>
      <c r="F8" s="90"/>
      <c r="G8" s="91"/>
      <c r="H8" s="90"/>
      <c r="I8" s="91"/>
      <c r="J8" s="90"/>
      <c r="K8" s="91"/>
      <c r="L8" s="90"/>
      <c r="M8" s="91"/>
      <c r="N8" s="90"/>
      <c r="O8" s="91"/>
      <c r="P8" s="90"/>
      <c r="Q8" s="91"/>
      <c r="R8" s="90"/>
      <c r="S8" s="91"/>
      <c r="T8" s="90"/>
      <c r="U8" s="91"/>
      <c r="V8" s="90"/>
    </row>
    <row r="9" spans="1:22" ht="12.75" customHeight="1">
      <c r="A9" s="90"/>
      <c r="B9" s="90"/>
      <c r="C9" s="90"/>
      <c r="D9" s="90"/>
      <c r="E9" s="90"/>
      <c r="F9" s="90"/>
      <c r="G9" s="90"/>
      <c r="H9" s="90"/>
      <c r="I9" s="90"/>
      <c r="J9" s="90"/>
      <c r="K9" s="90"/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</row>
    <row r="10" spans="1:22" ht="12.75" customHeight="1">
      <c r="A10" s="90" t="s">
        <v>462</v>
      </c>
      <c r="B10" s="90"/>
      <c r="C10" s="91"/>
      <c r="D10" s="90"/>
      <c r="E10" s="91"/>
      <c r="F10" s="90"/>
      <c r="G10" s="91"/>
      <c r="H10" s="90"/>
      <c r="I10" s="91"/>
      <c r="J10" s="90"/>
      <c r="K10" s="91"/>
      <c r="L10" s="90"/>
      <c r="M10" s="91"/>
      <c r="N10" s="90"/>
      <c r="O10" s="91"/>
      <c r="P10" s="90"/>
      <c r="Q10" s="91"/>
      <c r="R10" s="90"/>
      <c r="S10" s="91"/>
      <c r="T10" s="90"/>
      <c r="U10" s="91"/>
      <c r="V10" s="90"/>
    </row>
    <row r="11" spans="1:22" ht="12.75" customHeight="1">
      <c r="A11" s="90"/>
      <c r="B11" s="90"/>
      <c r="C11" s="90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1:22" ht="12.75" customHeight="1">
      <c r="A12" s="90" t="s">
        <v>463</v>
      </c>
      <c r="B12" s="90"/>
      <c r="C12" s="92"/>
      <c r="D12" s="90"/>
      <c r="E12" s="92"/>
      <c r="F12" s="90"/>
      <c r="G12" s="92"/>
      <c r="H12" s="90"/>
      <c r="I12" s="92"/>
      <c r="J12" s="90"/>
      <c r="K12" s="92"/>
      <c r="L12" s="90"/>
      <c r="M12" s="92"/>
      <c r="N12" s="90"/>
      <c r="O12" s="92"/>
      <c r="P12" s="90"/>
      <c r="Q12" s="92"/>
      <c r="R12" s="90"/>
      <c r="S12" s="92"/>
      <c r="T12" s="90"/>
      <c r="U12" s="92"/>
      <c r="V12" s="90"/>
    </row>
    <row r="13" spans="1:22" ht="12.75" customHeight="1">
      <c r="A13" s="90"/>
      <c r="B13" s="90"/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1:22" ht="12.75" customHeight="1">
      <c r="A14" s="90" t="s">
        <v>464</v>
      </c>
      <c r="B14" s="90"/>
      <c r="C14" s="124">
        <f>C12*C10*C8</f>
        <v>0</v>
      </c>
      <c r="D14" s="90"/>
      <c r="E14" s="124">
        <f>E12*E10*E8</f>
        <v>0</v>
      </c>
      <c r="F14" s="90"/>
      <c r="G14" s="124">
        <f>G12*G10*G8</f>
        <v>0</v>
      </c>
      <c r="H14" s="90"/>
      <c r="I14" s="124">
        <f>I12*I10*I8</f>
        <v>0</v>
      </c>
      <c r="J14" s="90"/>
      <c r="K14" s="124">
        <f>K12*K10*K8</f>
        <v>0</v>
      </c>
      <c r="L14" s="90"/>
      <c r="M14" s="124">
        <f>M12*M10*M8</f>
        <v>0</v>
      </c>
      <c r="N14" s="90"/>
      <c r="O14" s="124">
        <f>O12*O10*O8</f>
        <v>0</v>
      </c>
      <c r="P14" s="90"/>
      <c r="Q14" s="124">
        <f>Q12*Q10*Q8</f>
        <v>0</v>
      </c>
      <c r="R14" s="90"/>
      <c r="S14" s="124">
        <f>S12*S10*S8</f>
        <v>0</v>
      </c>
      <c r="T14" s="90"/>
      <c r="U14" s="124">
        <f>U12*U10*U8</f>
        <v>0</v>
      </c>
      <c r="V14" s="90"/>
    </row>
    <row r="15" spans="1:22" ht="12.75" customHeight="1">
      <c r="A15" s="39">
        <v>0.15</v>
      </c>
    </row>
    <row r="16" spans="1:22" ht="12.75" customHeight="1">
      <c r="B16" s="35"/>
      <c r="C16" s="86" t="str">
        <f>C6</f>
        <v>FY 2018-19</v>
      </c>
      <c r="D16" s="86" t="s">
        <v>366</v>
      </c>
      <c r="E16" s="86" t="str">
        <f>E6</f>
        <v>FY 2019-20</v>
      </c>
      <c r="F16" s="86" t="s">
        <v>366</v>
      </c>
      <c r="G16" s="86" t="str">
        <f>G6</f>
        <v>FY 2020-21</v>
      </c>
      <c r="H16" s="86" t="s">
        <v>366</v>
      </c>
      <c r="I16" s="86" t="str">
        <f>I6</f>
        <v>FY 2021-22</v>
      </c>
      <c r="J16" s="86" t="s">
        <v>366</v>
      </c>
      <c r="K16" s="86" t="str">
        <f>K6</f>
        <v>FY 2022-23</v>
      </c>
      <c r="L16" s="86" t="s">
        <v>366</v>
      </c>
      <c r="M16" s="86" t="str">
        <f>M6</f>
        <v>FY 2023-24</v>
      </c>
      <c r="N16" s="86" t="s">
        <v>366</v>
      </c>
      <c r="O16" s="86" t="str">
        <f>O6</f>
        <v>FY 2024-25</v>
      </c>
      <c r="P16" s="86" t="s">
        <v>366</v>
      </c>
      <c r="Q16" s="86" t="str">
        <f>Q6</f>
        <v>FY 2025-26</v>
      </c>
      <c r="R16" s="86" t="s">
        <v>366</v>
      </c>
      <c r="S16" s="86" t="str">
        <f>S6</f>
        <v>FY 2026-27</v>
      </c>
      <c r="T16" s="86" t="s">
        <v>366</v>
      </c>
      <c r="U16" s="86" t="str">
        <f>U6</f>
        <v>FY 2027-28</v>
      </c>
      <c r="V16" s="86" t="s">
        <v>366</v>
      </c>
    </row>
    <row r="17" spans="1:22" ht="12.75" customHeight="1">
      <c r="A17" s="1" t="s">
        <v>367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2" ht="12.75" customHeight="1">
      <c r="A18" s="2" t="s">
        <v>368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</row>
    <row r="19" spans="1:22" ht="12.75" customHeight="1">
      <c r="A19" s="122" t="s">
        <v>369</v>
      </c>
      <c r="B19" s="35"/>
      <c r="C19" s="79"/>
      <c r="D19" s="80">
        <f>IFERROR(C19/C$28,0)</f>
        <v>0</v>
      </c>
      <c r="E19" s="79"/>
      <c r="F19" s="80">
        <f>IFERROR(E19/E$28,0)</f>
        <v>0</v>
      </c>
      <c r="G19" s="79"/>
      <c r="H19" s="80">
        <f>IFERROR(G19/G$28,0)</f>
        <v>0</v>
      </c>
      <c r="I19" s="79"/>
      <c r="J19" s="80">
        <f>IFERROR(I19/I$28,0)</f>
        <v>0</v>
      </c>
      <c r="K19" s="79"/>
      <c r="L19" s="80">
        <f>IFERROR(K19/K$28,0)</f>
        <v>0</v>
      </c>
      <c r="M19" s="79"/>
      <c r="N19" s="80">
        <f>IFERROR(M19/M$28,0)</f>
        <v>0</v>
      </c>
      <c r="O19" s="79"/>
      <c r="P19" s="80">
        <f>IFERROR(O19/O$28,0)</f>
        <v>0</v>
      </c>
      <c r="Q19" s="79"/>
      <c r="R19" s="80">
        <f>IFERROR(Q19/Q$28,0)</f>
        <v>0</v>
      </c>
      <c r="S19" s="79"/>
      <c r="T19" s="80">
        <f>IFERROR(S19/S$28,0)</f>
        <v>0</v>
      </c>
      <c r="U19" s="79"/>
      <c r="V19" s="80">
        <f>IFERROR(U19/U$28,0)</f>
        <v>0</v>
      </c>
    </row>
    <row r="20" spans="1:22" ht="12.75" customHeight="1">
      <c r="A20" s="122" t="s">
        <v>370</v>
      </c>
      <c r="B20" s="35"/>
      <c r="C20" s="79"/>
      <c r="D20" s="80">
        <f>IFERROR(C20/C$28,0)</f>
        <v>0</v>
      </c>
      <c r="E20" s="79"/>
      <c r="F20" s="80">
        <f>IFERROR(E20/E$28,0)</f>
        <v>0</v>
      </c>
      <c r="G20" s="79"/>
      <c r="H20" s="80">
        <f>IFERROR(G20/G$28,0)</f>
        <v>0</v>
      </c>
      <c r="I20" s="79"/>
      <c r="J20" s="80">
        <f>IFERROR(I20/I$28,0)</f>
        <v>0</v>
      </c>
      <c r="K20" s="79"/>
      <c r="L20" s="80">
        <f>IFERROR(K20/K$28,0)</f>
        <v>0</v>
      </c>
      <c r="M20" s="79"/>
      <c r="N20" s="80">
        <f>IFERROR(M20/M$28,0)</f>
        <v>0</v>
      </c>
      <c r="O20" s="79"/>
      <c r="P20" s="80">
        <f>IFERROR(O20/O$28,0)</f>
        <v>0</v>
      </c>
      <c r="Q20" s="79"/>
      <c r="R20" s="80">
        <f>IFERROR(Q20/Q$28,0)</f>
        <v>0</v>
      </c>
      <c r="S20" s="79"/>
      <c r="T20" s="80">
        <f>IFERROR(S20/S$28,0)</f>
        <v>0</v>
      </c>
      <c r="U20" s="79"/>
      <c r="V20" s="80">
        <f>IFERROR(U20/U$28,0)</f>
        <v>0</v>
      </c>
    </row>
    <row r="21" spans="1:22" ht="12.75" customHeight="1">
      <c r="A21" s="122" t="s">
        <v>371</v>
      </c>
      <c r="B21" s="35"/>
      <c r="C21" s="79"/>
      <c r="D21" s="80">
        <f>IFERROR(C21/C$28,0)</f>
        <v>0</v>
      </c>
      <c r="E21" s="79"/>
      <c r="F21" s="80">
        <f>IFERROR(E21/E$28,0)</f>
        <v>0</v>
      </c>
      <c r="G21" s="79"/>
      <c r="H21" s="80">
        <f>IFERROR(G21/G$28,0)</f>
        <v>0</v>
      </c>
      <c r="I21" s="79"/>
      <c r="J21" s="80">
        <f>IFERROR(I21/I$28,0)</f>
        <v>0</v>
      </c>
      <c r="K21" s="79"/>
      <c r="L21" s="80">
        <f>IFERROR(K21/K$28,0)</f>
        <v>0</v>
      </c>
      <c r="M21" s="79"/>
      <c r="N21" s="80">
        <f>IFERROR(M21/M$28,0)</f>
        <v>0</v>
      </c>
      <c r="O21" s="79"/>
      <c r="P21" s="80">
        <f>IFERROR(O21/O$28,0)</f>
        <v>0</v>
      </c>
      <c r="Q21" s="79"/>
      <c r="R21" s="80">
        <f>IFERROR(Q21/Q$28,0)</f>
        <v>0</v>
      </c>
      <c r="S21" s="79"/>
      <c r="T21" s="80">
        <f>IFERROR(S21/S$28,0)</f>
        <v>0</v>
      </c>
      <c r="U21" s="79"/>
      <c r="V21" s="80">
        <f>IFERROR(U21/U$28,0)</f>
        <v>0</v>
      </c>
    </row>
    <row r="22" spans="1:22" ht="12.75" customHeight="1">
      <c r="A22" s="2" t="s">
        <v>372</v>
      </c>
      <c r="B22" s="35"/>
      <c r="C22" s="79"/>
      <c r="D22" s="80"/>
      <c r="E22" s="79"/>
      <c r="F22" s="80"/>
      <c r="G22" s="79"/>
      <c r="H22" s="80"/>
      <c r="I22" s="79"/>
      <c r="J22" s="80"/>
      <c r="K22" s="79"/>
      <c r="L22" s="80"/>
      <c r="M22" s="79"/>
      <c r="N22" s="80"/>
      <c r="O22" s="79"/>
      <c r="P22" s="80"/>
      <c r="Q22" s="79"/>
      <c r="R22" s="80"/>
      <c r="S22" s="79"/>
      <c r="T22" s="80"/>
      <c r="U22" s="79"/>
      <c r="V22" s="80"/>
    </row>
    <row r="23" spans="1:22" ht="12.75" customHeight="1">
      <c r="A23" s="122" t="s">
        <v>373</v>
      </c>
      <c r="B23" s="35"/>
      <c r="C23" s="79"/>
      <c r="D23" s="80">
        <f t="shared" ref="D23:D28" si="0">IFERROR(C23/C$28,0)</f>
        <v>0</v>
      </c>
      <c r="E23" s="79"/>
      <c r="F23" s="80">
        <f t="shared" ref="F23:F28" si="1">IFERROR(E23/E$28,0)</f>
        <v>0</v>
      </c>
      <c r="G23" s="79"/>
      <c r="H23" s="80">
        <f t="shared" ref="H23:H28" si="2">IFERROR(G23/G$28,0)</f>
        <v>0</v>
      </c>
      <c r="I23" s="79"/>
      <c r="J23" s="80">
        <f t="shared" ref="J23:J28" si="3">IFERROR(I23/I$28,0)</f>
        <v>0</v>
      </c>
      <c r="K23" s="79"/>
      <c r="L23" s="80">
        <f t="shared" ref="L23:L28" si="4">IFERROR(K23/K$28,0)</f>
        <v>0</v>
      </c>
      <c r="M23" s="79"/>
      <c r="N23" s="80">
        <f t="shared" ref="N23:N28" si="5">IFERROR(M23/M$28,0)</f>
        <v>0</v>
      </c>
      <c r="O23" s="79"/>
      <c r="P23" s="80">
        <f t="shared" ref="P23:P28" si="6">IFERROR(O23/O$28,0)</f>
        <v>0</v>
      </c>
      <c r="Q23" s="79"/>
      <c r="R23" s="80">
        <f t="shared" ref="R23:R28" si="7">IFERROR(Q23/Q$28,0)</f>
        <v>0</v>
      </c>
      <c r="S23" s="79"/>
      <c r="T23" s="80">
        <f t="shared" ref="T23:T28" si="8">IFERROR(S23/S$28,0)</f>
        <v>0</v>
      </c>
      <c r="U23" s="79"/>
      <c r="V23" s="80">
        <f t="shared" ref="V23:V28" si="9">IFERROR(U23/U$28,0)</f>
        <v>0</v>
      </c>
    </row>
    <row r="24" spans="1:22" ht="12.75" customHeight="1">
      <c r="A24" s="122" t="s">
        <v>374</v>
      </c>
      <c r="B24" s="35"/>
      <c r="C24" s="79"/>
      <c r="D24" s="80">
        <f t="shared" si="0"/>
        <v>0</v>
      </c>
      <c r="E24" s="79"/>
      <c r="F24" s="80">
        <f t="shared" si="1"/>
        <v>0</v>
      </c>
      <c r="G24" s="79"/>
      <c r="H24" s="80">
        <f t="shared" si="2"/>
        <v>0</v>
      </c>
      <c r="I24" s="79"/>
      <c r="J24" s="80">
        <f t="shared" si="3"/>
        <v>0</v>
      </c>
      <c r="K24" s="79"/>
      <c r="L24" s="80">
        <f t="shared" si="4"/>
        <v>0</v>
      </c>
      <c r="M24" s="79"/>
      <c r="N24" s="80">
        <f t="shared" si="5"/>
        <v>0</v>
      </c>
      <c r="O24" s="79"/>
      <c r="P24" s="80">
        <f t="shared" si="6"/>
        <v>0</v>
      </c>
      <c r="Q24" s="79"/>
      <c r="R24" s="80">
        <f t="shared" si="7"/>
        <v>0</v>
      </c>
      <c r="S24" s="79"/>
      <c r="T24" s="80">
        <f t="shared" si="8"/>
        <v>0</v>
      </c>
      <c r="U24" s="79"/>
      <c r="V24" s="80">
        <f t="shared" si="9"/>
        <v>0</v>
      </c>
    </row>
    <row r="25" spans="1:22" ht="12.75" customHeight="1">
      <c r="A25" s="2" t="s">
        <v>375</v>
      </c>
      <c r="B25" s="35"/>
      <c r="C25" s="111">
        <f>884700+68170+10000+8000</f>
        <v>970870</v>
      </c>
      <c r="D25" s="80">
        <f t="shared" si="0"/>
        <v>1</v>
      </c>
      <c r="E25" s="111">
        <f>+C25*1.02+23000</f>
        <v>1013287.4</v>
      </c>
      <c r="F25" s="80">
        <f t="shared" si="1"/>
        <v>1</v>
      </c>
      <c r="G25" s="111">
        <f>+E25*1.02+24000</f>
        <v>1057553.148</v>
      </c>
      <c r="H25" s="80">
        <f t="shared" si="2"/>
        <v>1</v>
      </c>
      <c r="I25" s="111">
        <f>+G25*1.02+26000</f>
        <v>1104704.2109600001</v>
      </c>
      <c r="J25" s="80">
        <f t="shared" si="3"/>
        <v>1</v>
      </c>
      <c r="K25" s="111">
        <f>+I25*1.02+13000</f>
        <v>1139798.2951792001</v>
      </c>
      <c r="L25" s="80">
        <f t="shared" si="4"/>
        <v>1</v>
      </c>
      <c r="M25" s="111">
        <f>+K25*1.02</f>
        <v>1162594.261082784</v>
      </c>
      <c r="N25" s="80">
        <f t="shared" si="5"/>
        <v>1</v>
      </c>
      <c r="O25" s="111">
        <f>+M25*1.02</f>
        <v>1185846.1463044398</v>
      </c>
      <c r="P25" s="80">
        <f t="shared" si="6"/>
        <v>1</v>
      </c>
      <c r="Q25" s="111">
        <f>+O25*1.02</f>
        <v>1209563.0692305285</v>
      </c>
      <c r="R25" s="80">
        <f t="shared" si="7"/>
        <v>1</v>
      </c>
      <c r="S25" s="111">
        <f>+Q25*1.02</f>
        <v>1233754.3306151391</v>
      </c>
      <c r="T25" s="80">
        <f t="shared" si="8"/>
        <v>1</v>
      </c>
      <c r="U25" s="111">
        <f>+S25*1.02</f>
        <v>1258429.4172274419</v>
      </c>
      <c r="V25" s="80">
        <f t="shared" si="9"/>
        <v>1</v>
      </c>
    </row>
    <row r="26" spans="1:22" ht="12.75" customHeight="1">
      <c r="A26" s="122" t="s">
        <v>376</v>
      </c>
      <c r="B26" s="35"/>
      <c r="C26" s="79"/>
      <c r="D26" s="80">
        <f t="shared" si="0"/>
        <v>0</v>
      </c>
      <c r="E26" s="79"/>
      <c r="F26" s="80">
        <f t="shared" si="1"/>
        <v>0</v>
      </c>
      <c r="G26" s="79"/>
      <c r="H26" s="80">
        <f t="shared" si="2"/>
        <v>0</v>
      </c>
      <c r="I26" s="79"/>
      <c r="J26" s="80">
        <f t="shared" si="3"/>
        <v>0</v>
      </c>
      <c r="K26" s="79"/>
      <c r="L26" s="80">
        <f t="shared" si="4"/>
        <v>0</v>
      </c>
      <c r="M26" s="79"/>
      <c r="N26" s="80">
        <f t="shared" si="5"/>
        <v>0</v>
      </c>
      <c r="O26" s="79"/>
      <c r="P26" s="80">
        <f t="shared" si="6"/>
        <v>0</v>
      </c>
      <c r="Q26" s="79"/>
      <c r="R26" s="80">
        <f t="shared" si="7"/>
        <v>0</v>
      </c>
      <c r="S26" s="79"/>
      <c r="T26" s="80">
        <f t="shared" si="8"/>
        <v>0</v>
      </c>
      <c r="U26" s="79"/>
      <c r="V26" s="80">
        <f t="shared" si="9"/>
        <v>0</v>
      </c>
    </row>
    <row r="27" spans="1:22" ht="12.75" customHeight="1">
      <c r="A27" s="2" t="s">
        <v>377</v>
      </c>
      <c r="B27" s="35"/>
      <c r="C27" s="112"/>
      <c r="D27" s="80">
        <f t="shared" si="0"/>
        <v>0</v>
      </c>
      <c r="E27" s="112"/>
      <c r="F27" s="80">
        <f t="shared" si="1"/>
        <v>0</v>
      </c>
      <c r="G27" s="112"/>
      <c r="H27" s="80">
        <f t="shared" si="2"/>
        <v>0</v>
      </c>
      <c r="I27" s="112"/>
      <c r="J27" s="80">
        <f t="shared" si="3"/>
        <v>0</v>
      </c>
      <c r="K27" s="112"/>
      <c r="L27" s="80">
        <f t="shared" si="4"/>
        <v>0</v>
      </c>
      <c r="M27" s="112"/>
      <c r="N27" s="80">
        <f t="shared" si="5"/>
        <v>0</v>
      </c>
      <c r="O27" s="112"/>
      <c r="P27" s="80">
        <f t="shared" si="6"/>
        <v>0</v>
      </c>
      <c r="Q27" s="112"/>
      <c r="R27" s="80">
        <f t="shared" si="7"/>
        <v>0</v>
      </c>
      <c r="S27" s="112"/>
      <c r="T27" s="80">
        <f t="shared" si="8"/>
        <v>0</v>
      </c>
      <c r="U27" s="112"/>
      <c r="V27" s="80">
        <f t="shared" si="9"/>
        <v>0</v>
      </c>
    </row>
    <row r="28" spans="1:22" ht="12.75" customHeight="1">
      <c r="A28" s="1" t="s">
        <v>378</v>
      </c>
      <c r="B28" s="53"/>
      <c r="C28" s="82">
        <f>SUM(C19:C27)</f>
        <v>970870</v>
      </c>
      <c r="D28" s="83">
        <f t="shared" si="0"/>
        <v>1</v>
      </c>
      <c r="E28" s="82">
        <f>SUM(E19:E27)</f>
        <v>1013287.4</v>
      </c>
      <c r="F28" s="83">
        <f t="shared" si="1"/>
        <v>1</v>
      </c>
      <c r="G28" s="82">
        <f>SUM(G19:G27)</f>
        <v>1057553.148</v>
      </c>
      <c r="H28" s="83">
        <f t="shared" si="2"/>
        <v>1</v>
      </c>
      <c r="I28" s="82">
        <f>SUM(I19:I27)</f>
        <v>1104704.2109600001</v>
      </c>
      <c r="J28" s="83">
        <f t="shared" si="3"/>
        <v>1</v>
      </c>
      <c r="K28" s="82">
        <f>SUM(K19:K27)</f>
        <v>1139798.2951792001</v>
      </c>
      <c r="L28" s="83">
        <f t="shared" si="4"/>
        <v>1</v>
      </c>
      <c r="M28" s="82">
        <f>SUM(M19:M27)</f>
        <v>1162594.261082784</v>
      </c>
      <c r="N28" s="83">
        <f t="shared" si="5"/>
        <v>1</v>
      </c>
      <c r="O28" s="82">
        <f>SUM(O19:O27)</f>
        <v>1185846.1463044398</v>
      </c>
      <c r="P28" s="83">
        <f t="shared" si="6"/>
        <v>1</v>
      </c>
      <c r="Q28" s="82">
        <f>SUM(Q19:Q27)</f>
        <v>1209563.0692305285</v>
      </c>
      <c r="R28" s="83">
        <f t="shared" si="7"/>
        <v>1</v>
      </c>
      <c r="S28" s="82">
        <f>SUM(S19:S27)</f>
        <v>1233754.3306151391</v>
      </c>
      <c r="T28" s="83">
        <f t="shared" si="8"/>
        <v>1</v>
      </c>
      <c r="U28" s="82">
        <f>SUM(U19:U27)</f>
        <v>1258429.4172274419</v>
      </c>
      <c r="V28" s="83">
        <f t="shared" si="9"/>
        <v>1</v>
      </c>
    </row>
    <row r="29" spans="1:22" ht="12.75" customHeight="1">
      <c r="A29" s="1"/>
      <c r="B29" s="53"/>
      <c r="C29" s="78"/>
      <c r="D29" s="78"/>
      <c r="E29" s="79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2" ht="12.75" customHeight="1">
      <c r="A30" s="1" t="s">
        <v>379</v>
      </c>
      <c r="B30" s="53"/>
      <c r="C30" s="80">
        <v>0.34</v>
      </c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2" ht="12.75" customHeight="1">
      <c r="A31" s="2" t="s">
        <v>380</v>
      </c>
      <c r="B31" s="35"/>
      <c r="C31" s="178">
        <f>+C28*C30</f>
        <v>330095.80000000005</v>
      </c>
      <c r="D31" s="80">
        <f>IFERROR(C31/C$28,0)</f>
        <v>0.34</v>
      </c>
      <c r="E31" s="178">
        <f>+E28*D31</f>
        <v>344517.71600000001</v>
      </c>
      <c r="F31" s="80">
        <f>IFERROR(E31/E$28,0)</f>
        <v>0.34</v>
      </c>
      <c r="G31" s="178">
        <f>+G28*F31</f>
        <v>359568.07032000006</v>
      </c>
      <c r="H31" s="80">
        <f>IFERROR(G31/G$28,0)</f>
        <v>0.34</v>
      </c>
      <c r="I31" s="178">
        <f>+I28*H31</f>
        <v>375599.43172640004</v>
      </c>
      <c r="J31" s="80">
        <f>IFERROR(I31/I$28,0)</f>
        <v>0.34</v>
      </c>
      <c r="K31" s="178">
        <f>+K28*J31</f>
        <v>387531.42036092805</v>
      </c>
      <c r="L31" s="80">
        <f>IFERROR(K31/K$28,0)</f>
        <v>0.34</v>
      </c>
      <c r="M31" s="178">
        <f>+M28*L31</f>
        <v>395282.0487681466</v>
      </c>
      <c r="N31" s="80">
        <f>IFERROR(M31/M$28,0)</f>
        <v>0.34</v>
      </c>
      <c r="O31" s="178">
        <f>+O28*N31</f>
        <v>403187.68974350952</v>
      </c>
      <c r="P31" s="80">
        <f>IFERROR(O31/O$28,0)</f>
        <v>0.34</v>
      </c>
      <c r="Q31" s="178">
        <f>+Q28*P31</f>
        <v>411251.44353837974</v>
      </c>
      <c r="R31" s="80">
        <f>IFERROR(Q31/Q$28,0)</f>
        <v>0.34</v>
      </c>
      <c r="S31" s="178">
        <f>+S28*R31</f>
        <v>419476.4724091473</v>
      </c>
      <c r="T31" s="80">
        <f>IFERROR(S31/S$28,0)</f>
        <v>0.34</v>
      </c>
      <c r="U31" s="178">
        <f>+U28*T31</f>
        <v>427866.00185733027</v>
      </c>
      <c r="V31" s="80">
        <f>IFERROR(U31/U$28,0)</f>
        <v>0.34</v>
      </c>
    </row>
    <row r="32" spans="1:22" ht="12.75" customHeight="1">
      <c r="A32" s="8" t="s">
        <v>381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382</v>
      </c>
      <c r="B33" s="53"/>
      <c r="C33" s="82">
        <f>SUM(C31:C32)</f>
        <v>330095.80000000005</v>
      </c>
      <c r="D33" s="83">
        <f>IFERROR(C33/C$28,0)</f>
        <v>0.34</v>
      </c>
      <c r="E33" s="82">
        <f>SUM(E31:E32)</f>
        <v>344517.71600000001</v>
      </c>
      <c r="F33" s="83">
        <f>IFERROR(E33/E$28,0)</f>
        <v>0.34</v>
      </c>
      <c r="G33" s="82">
        <f>SUM(G31:G32)</f>
        <v>359568.07032000006</v>
      </c>
      <c r="H33" s="83">
        <f>IFERROR(G33/G$28,0)</f>
        <v>0.34</v>
      </c>
      <c r="I33" s="82">
        <f>SUM(I31:I32)</f>
        <v>375599.43172640004</v>
      </c>
      <c r="J33" s="83">
        <f>IFERROR(I33/I$28,0)</f>
        <v>0.34</v>
      </c>
      <c r="K33" s="82">
        <f>SUM(K31:K32)</f>
        <v>387531.42036092805</v>
      </c>
      <c r="L33" s="83">
        <f>IFERROR(K33/K$28,0)</f>
        <v>0.34</v>
      </c>
      <c r="M33" s="82">
        <f>SUM(M31:M32)</f>
        <v>395282.0487681466</v>
      </c>
      <c r="N33" s="83">
        <f>IFERROR(M33/M$28,0)</f>
        <v>0.34</v>
      </c>
      <c r="O33" s="82">
        <f>SUM(O31:O32)</f>
        <v>403187.68974350952</v>
      </c>
      <c r="P33" s="83">
        <f>IFERROR(O33/O$28,0)</f>
        <v>0.34</v>
      </c>
      <c r="Q33" s="82">
        <f>SUM(Q31:Q32)</f>
        <v>411251.44353837974</v>
      </c>
      <c r="R33" s="83">
        <f>IFERROR(Q33/Q$28,0)</f>
        <v>0.34</v>
      </c>
      <c r="S33" s="82">
        <f>SUM(S31:S32)</f>
        <v>419476.4724091473</v>
      </c>
      <c r="T33" s="83">
        <f>IFERROR(S33/S$28,0)</f>
        <v>0.34</v>
      </c>
      <c r="U33" s="82">
        <f>SUM(U31:U32)</f>
        <v>427866.00185733027</v>
      </c>
      <c r="V33" s="83">
        <f>IFERROR(U33/U$28,0)</f>
        <v>0.34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383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384</v>
      </c>
      <c r="B36" s="35"/>
      <c r="C36" s="178">
        <v>170707</v>
      </c>
      <c r="D36" s="80">
        <f t="shared" ref="D36:D46" si="10">IFERROR(C36/C$28,0)</f>
        <v>0.17582889573269336</v>
      </c>
      <c r="E36" s="178">
        <f>+C36*1.02</f>
        <v>174121.14</v>
      </c>
      <c r="F36" s="80">
        <f t="shared" ref="F36:F46" si="11">IFERROR(E36/E$28,0)</f>
        <v>0.17183786159780534</v>
      </c>
      <c r="G36" s="178">
        <f>+E36*1.02</f>
        <v>177603.56280000001</v>
      </c>
      <c r="H36" s="80">
        <f t="shared" ref="H36:H46" si="12">IFERROR(G36/G$28,0)</f>
        <v>0.16793819122554399</v>
      </c>
      <c r="I36" s="178">
        <f>+G36*1.02</f>
        <v>181155.63405600001</v>
      </c>
      <c r="J36" s="80">
        <f t="shared" ref="J36:J46" si="13">IFERROR(I36/I$28,0)</f>
        <v>0.16398564634652182</v>
      </c>
      <c r="K36" s="178">
        <f>+I36*1.02</f>
        <v>184778.74673712</v>
      </c>
      <c r="L36" s="80">
        <f t="shared" ref="L36:L46" si="14">IFERROR(K36/K$28,0)</f>
        <v>0.16211530366262647</v>
      </c>
      <c r="M36" s="178">
        <f>+K36*1.02</f>
        <v>188474.32167186242</v>
      </c>
      <c r="N36" s="80">
        <f t="shared" ref="N36:N46" si="15">IFERROR(M36/M$28,0)</f>
        <v>0.1621153036626265</v>
      </c>
      <c r="O36" s="178">
        <f>+M36*1.02</f>
        <v>192243.80810529966</v>
      </c>
      <c r="P36" s="80">
        <f t="shared" ref="P36:P46" si="16">IFERROR(O36/O$28,0)</f>
        <v>0.1621153036626265</v>
      </c>
      <c r="Q36" s="178">
        <f>+O36*1.02</f>
        <v>196088.68426740565</v>
      </c>
      <c r="R36" s="80">
        <f t="shared" ref="R36:R46" si="17">IFERROR(Q36/Q$28,0)</f>
        <v>0.1621153036626265</v>
      </c>
      <c r="S36" s="178">
        <f>+Q36*1.02</f>
        <v>200010.45795275376</v>
      </c>
      <c r="T36" s="80">
        <f t="shared" ref="T36:T46" si="18">IFERROR(S36/S$28,0)</f>
        <v>0.1621153036626265</v>
      </c>
      <c r="U36" s="178">
        <f>+S36*1.02</f>
        <v>204010.66711180884</v>
      </c>
      <c r="V36" s="80">
        <f t="shared" ref="V36:V46" si="19">IFERROR(U36/U$28,0)</f>
        <v>0.1621153036626265</v>
      </c>
    </row>
    <row r="37" spans="1:22" ht="12.75" customHeight="1">
      <c r="A37" s="2" t="s">
        <v>385</v>
      </c>
      <c r="B37" s="35"/>
      <c r="C37" s="178">
        <v>246091</v>
      </c>
      <c r="D37" s="80">
        <f t="shared" si="10"/>
        <v>0.25347471855140236</v>
      </c>
      <c r="E37" s="178">
        <f>+C37*1.02</f>
        <v>251012.82</v>
      </c>
      <c r="F37" s="80">
        <f t="shared" si="11"/>
        <v>0.24772124868028558</v>
      </c>
      <c r="G37" s="178">
        <f>+E37*1.02</f>
        <v>256033.07640000002</v>
      </c>
      <c r="H37" s="80">
        <f t="shared" si="12"/>
        <v>0.24209948869633549</v>
      </c>
      <c r="I37" s="178">
        <f>+G37*1.02</f>
        <v>261153.73792800002</v>
      </c>
      <c r="J37" s="80">
        <f t="shared" si="13"/>
        <v>0.23640150488885578</v>
      </c>
      <c r="K37" s="178">
        <f>+I37*1.02</f>
        <v>266376.81268656004</v>
      </c>
      <c r="L37" s="80">
        <f t="shared" si="14"/>
        <v>0.23370522118975448</v>
      </c>
      <c r="M37" s="178">
        <f>+K37*1.02</f>
        <v>271704.34894029127</v>
      </c>
      <c r="N37" s="80">
        <f t="shared" si="15"/>
        <v>0.23370522118975454</v>
      </c>
      <c r="O37" s="178">
        <f>+M37*1.02</f>
        <v>277138.4359190971</v>
      </c>
      <c r="P37" s="80">
        <f t="shared" si="16"/>
        <v>0.23370522118975454</v>
      </c>
      <c r="Q37" s="178">
        <f>+O37*1.02</f>
        <v>282681.20463747904</v>
      </c>
      <c r="R37" s="80">
        <f t="shared" si="17"/>
        <v>0.23370522118975454</v>
      </c>
      <c r="S37" s="178">
        <f>+Q37*1.02</f>
        <v>288334.82873022865</v>
      </c>
      <c r="T37" s="80">
        <f t="shared" si="18"/>
        <v>0.23370522118975456</v>
      </c>
      <c r="U37" s="178">
        <f>+S37*1.02</f>
        <v>294101.52530483325</v>
      </c>
      <c r="V37" s="80">
        <f t="shared" si="19"/>
        <v>0.23370522118975456</v>
      </c>
    </row>
    <row r="38" spans="1:22" ht="12.75" customHeight="1">
      <c r="A38" s="2" t="s">
        <v>386</v>
      </c>
      <c r="B38" s="35"/>
      <c r="C38" s="178"/>
      <c r="D38" s="80">
        <f t="shared" si="10"/>
        <v>0</v>
      </c>
      <c r="E38" s="178"/>
      <c r="F38" s="80">
        <f t="shared" si="11"/>
        <v>0</v>
      </c>
      <c r="G38" s="178"/>
      <c r="H38" s="80">
        <f t="shared" si="12"/>
        <v>0</v>
      </c>
      <c r="I38" s="178"/>
      <c r="J38" s="80">
        <f t="shared" si="13"/>
        <v>0</v>
      </c>
      <c r="K38" s="178"/>
      <c r="L38" s="80">
        <f t="shared" si="14"/>
        <v>0</v>
      </c>
      <c r="M38" s="178"/>
      <c r="N38" s="80">
        <f t="shared" si="15"/>
        <v>0</v>
      </c>
      <c r="O38" s="178"/>
      <c r="P38" s="80">
        <f t="shared" si="16"/>
        <v>0</v>
      </c>
      <c r="Q38" s="178"/>
      <c r="R38" s="80">
        <f t="shared" si="17"/>
        <v>0</v>
      </c>
      <c r="S38" s="178"/>
      <c r="T38" s="80">
        <f t="shared" si="18"/>
        <v>0</v>
      </c>
      <c r="U38" s="178"/>
      <c r="V38" s="80">
        <f t="shared" si="19"/>
        <v>0</v>
      </c>
    </row>
    <row r="39" spans="1:22" ht="12.75" customHeight="1">
      <c r="A39" s="2" t="s">
        <v>387</v>
      </c>
      <c r="B39" s="35"/>
      <c r="C39" s="178">
        <v>26430</v>
      </c>
      <c r="D39" s="80">
        <f t="shared" si="10"/>
        <v>2.7223006169724062E-2</v>
      </c>
      <c r="E39" s="178">
        <f>+C39*1.02</f>
        <v>26958.600000000002</v>
      </c>
      <c r="F39" s="80">
        <f t="shared" si="11"/>
        <v>2.6605087559561088E-2</v>
      </c>
      <c r="G39" s="178">
        <f>+E39*1.02</f>
        <v>27497.772000000004</v>
      </c>
      <c r="H39" s="80">
        <f t="shared" si="12"/>
        <v>2.6001314498474742E-2</v>
      </c>
      <c r="I39" s="178">
        <f>+G39*1.02</f>
        <v>28047.727440000006</v>
      </c>
      <c r="J39" s="80">
        <f t="shared" si="13"/>
        <v>2.5389355052449943E-2</v>
      </c>
      <c r="K39" s="178">
        <f>+I39*1.02</f>
        <v>28608.681988800006</v>
      </c>
      <c r="L39" s="80">
        <f t="shared" si="14"/>
        <v>2.5099776083014867E-2</v>
      </c>
      <c r="M39" s="178">
        <f>+K39*1.02</f>
        <v>29180.855628576006</v>
      </c>
      <c r="N39" s="80">
        <f t="shared" si="15"/>
        <v>2.5099776083014867E-2</v>
      </c>
      <c r="O39" s="178">
        <f>+M39*1.02</f>
        <v>29764.472741147525</v>
      </c>
      <c r="P39" s="80">
        <f t="shared" si="16"/>
        <v>2.5099776083014867E-2</v>
      </c>
      <c r="Q39" s="178">
        <f>+O39*1.02</f>
        <v>30359.762195970477</v>
      </c>
      <c r="R39" s="80">
        <f t="shared" si="17"/>
        <v>2.5099776083014867E-2</v>
      </c>
      <c r="S39" s="178">
        <f>+Q39*1.02</f>
        <v>30966.957439889888</v>
      </c>
      <c r="T39" s="80">
        <f t="shared" si="18"/>
        <v>2.509977608301487E-2</v>
      </c>
      <c r="U39" s="178">
        <f>+S39*1.02</f>
        <v>31586.296588687685</v>
      </c>
      <c r="V39" s="80">
        <f t="shared" si="19"/>
        <v>2.5099776083014867E-2</v>
      </c>
    </row>
    <row r="40" spans="1:22" ht="12.75" customHeight="1">
      <c r="A40" s="2" t="s">
        <v>388</v>
      </c>
      <c r="B40" s="35"/>
      <c r="C40" s="178">
        <f>+C36*0.124</f>
        <v>21167.668000000001</v>
      </c>
      <c r="D40" s="80">
        <f t="shared" si="10"/>
        <v>2.1802783070853978E-2</v>
      </c>
      <c r="E40" s="178">
        <f>+E36*0.124</f>
        <v>21591.021360000002</v>
      </c>
      <c r="F40" s="80">
        <f t="shared" si="11"/>
        <v>2.1307894838127863E-2</v>
      </c>
      <c r="G40" s="178">
        <f>+G36*0.124</f>
        <v>22022.841787200003</v>
      </c>
      <c r="H40" s="80">
        <f t="shared" si="12"/>
        <v>2.0824335711967453E-2</v>
      </c>
      <c r="I40" s="178">
        <f>+I36*0.124</f>
        <v>22463.298622943999</v>
      </c>
      <c r="J40" s="80">
        <f t="shared" si="13"/>
        <v>2.0334220146968705E-2</v>
      </c>
      <c r="K40" s="178">
        <f>+K36*0.124</f>
        <v>22912.564595402881</v>
      </c>
      <c r="L40" s="80">
        <f t="shared" si="14"/>
        <v>2.0102297654165685E-2</v>
      </c>
      <c r="M40" s="178">
        <f>+M36*0.124</f>
        <v>23370.815887310939</v>
      </c>
      <c r="N40" s="80">
        <f t="shared" si="15"/>
        <v>2.0102297654165685E-2</v>
      </c>
      <c r="O40" s="178">
        <f>+O36*0.124</f>
        <v>23838.232205057157</v>
      </c>
      <c r="P40" s="80">
        <f t="shared" si="16"/>
        <v>2.0102297654165685E-2</v>
      </c>
      <c r="Q40" s="178">
        <f>+Q36*0.124</f>
        <v>24314.996849158302</v>
      </c>
      <c r="R40" s="80">
        <f t="shared" si="17"/>
        <v>2.0102297654165685E-2</v>
      </c>
      <c r="S40" s="178">
        <f>+S36*0.124</f>
        <v>24801.296786141465</v>
      </c>
      <c r="T40" s="80">
        <f t="shared" si="18"/>
        <v>2.0102297654165685E-2</v>
      </c>
      <c r="U40" s="178">
        <f>+U36*0.124</f>
        <v>25297.322721864297</v>
      </c>
      <c r="V40" s="80">
        <f t="shared" si="19"/>
        <v>2.0102297654165685E-2</v>
      </c>
    </row>
    <row r="41" spans="1:22" ht="12.75" customHeight="1">
      <c r="A41" s="2" t="s">
        <v>389</v>
      </c>
      <c r="B41" s="35"/>
      <c r="C41" s="178">
        <f>+C37*0.124</f>
        <v>30515.284</v>
      </c>
      <c r="D41" s="80">
        <f t="shared" si="10"/>
        <v>3.1430865100373892E-2</v>
      </c>
      <c r="E41" s="178">
        <f>+E37*0.124</f>
        <v>31125.589680000001</v>
      </c>
      <c r="F41" s="80">
        <f t="shared" si="11"/>
        <v>3.071743483635541E-2</v>
      </c>
      <c r="G41" s="178">
        <f>+G37*0.124</f>
        <v>31748.101473600003</v>
      </c>
      <c r="H41" s="80">
        <f t="shared" si="12"/>
        <v>3.00203365983456E-2</v>
      </c>
      <c r="I41" s="178">
        <f>+I37*0.124</f>
        <v>32383.063503072</v>
      </c>
      <c r="J41" s="80">
        <f t="shared" si="13"/>
        <v>2.9313786606218115E-2</v>
      </c>
      <c r="K41" s="178">
        <f>+K37*0.124</f>
        <v>33030.724773133443</v>
      </c>
      <c r="L41" s="80">
        <f t="shared" si="14"/>
        <v>2.8979447427529555E-2</v>
      </c>
      <c r="M41" s="178">
        <f>+M37*0.124</f>
        <v>33691.339268596115</v>
      </c>
      <c r="N41" s="80">
        <f t="shared" si="15"/>
        <v>2.8979447427529559E-2</v>
      </c>
      <c r="O41" s="178">
        <f>+O37*0.124</f>
        <v>34365.166053968038</v>
      </c>
      <c r="P41" s="80">
        <f t="shared" si="16"/>
        <v>2.8979447427529559E-2</v>
      </c>
      <c r="Q41" s="178">
        <f>+Q37*0.124</f>
        <v>35052.469375047403</v>
      </c>
      <c r="R41" s="80">
        <f t="shared" si="17"/>
        <v>2.8979447427529562E-2</v>
      </c>
      <c r="S41" s="178">
        <f>+S37*0.124</f>
        <v>35753.518762548352</v>
      </c>
      <c r="T41" s="80">
        <f t="shared" si="18"/>
        <v>2.8979447427529566E-2</v>
      </c>
      <c r="U41" s="178">
        <f>+U37*0.124</f>
        <v>36468.589137799325</v>
      </c>
      <c r="V41" s="80">
        <f t="shared" si="19"/>
        <v>2.8979447427529569E-2</v>
      </c>
    </row>
    <row r="42" spans="1:22" ht="12.75" customHeight="1">
      <c r="A42" s="2" t="s">
        <v>390</v>
      </c>
      <c r="B42" s="35"/>
      <c r="C42" s="178"/>
      <c r="D42" s="80">
        <f t="shared" si="10"/>
        <v>0</v>
      </c>
      <c r="E42" s="178"/>
      <c r="F42" s="80">
        <f t="shared" si="11"/>
        <v>0</v>
      </c>
      <c r="G42" s="178"/>
      <c r="H42" s="80">
        <f t="shared" si="12"/>
        <v>0</v>
      </c>
      <c r="I42" s="178"/>
      <c r="J42" s="80">
        <f t="shared" si="13"/>
        <v>0</v>
      </c>
      <c r="K42" s="178"/>
      <c r="L42" s="80">
        <f t="shared" si="14"/>
        <v>0</v>
      </c>
      <c r="M42" s="178"/>
      <c r="N42" s="80">
        <f t="shared" si="15"/>
        <v>0</v>
      </c>
      <c r="O42" s="178"/>
      <c r="P42" s="80">
        <f t="shared" si="16"/>
        <v>0</v>
      </c>
      <c r="Q42" s="178"/>
      <c r="R42" s="80">
        <f t="shared" si="17"/>
        <v>0</v>
      </c>
      <c r="S42" s="178"/>
      <c r="T42" s="80">
        <f t="shared" si="18"/>
        <v>0</v>
      </c>
      <c r="U42" s="178"/>
      <c r="V42" s="80">
        <f t="shared" si="19"/>
        <v>0</v>
      </c>
    </row>
    <row r="43" spans="1:22" ht="12.75" customHeight="1">
      <c r="A43" s="2" t="s">
        <v>391</v>
      </c>
      <c r="B43" s="35"/>
      <c r="C43" s="178"/>
      <c r="D43" s="80">
        <f t="shared" si="10"/>
        <v>0</v>
      </c>
      <c r="E43" s="178"/>
      <c r="F43" s="80">
        <f t="shared" si="11"/>
        <v>0</v>
      </c>
      <c r="G43" s="178"/>
      <c r="H43" s="80">
        <f t="shared" si="12"/>
        <v>0</v>
      </c>
      <c r="I43" s="178"/>
      <c r="J43" s="80">
        <f t="shared" si="13"/>
        <v>0</v>
      </c>
      <c r="K43" s="178"/>
      <c r="L43" s="80">
        <f t="shared" si="14"/>
        <v>0</v>
      </c>
      <c r="M43" s="178"/>
      <c r="N43" s="80">
        <f t="shared" si="15"/>
        <v>0</v>
      </c>
      <c r="O43" s="178"/>
      <c r="P43" s="80">
        <f t="shared" si="16"/>
        <v>0</v>
      </c>
      <c r="Q43" s="178"/>
      <c r="R43" s="80">
        <f t="shared" si="17"/>
        <v>0</v>
      </c>
      <c r="S43" s="178"/>
      <c r="T43" s="80">
        <f t="shared" si="18"/>
        <v>0</v>
      </c>
      <c r="U43" s="178"/>
      <c r="V43" s="80">
        <f t="shared" si="19"/>
        <v>0</v>
      </c>
    </row>
    <row r="44" spans="1:22" ht="12.75" customHeight="1">
      <c r="A44" s="2" t="s">
        <v>392</v>
      </c>
      <c r="B44" s="35"/>
      <c r="C44" s="178"/>
      <c r="D44" s="80">
        <f t="shared" si="10"/>
        <v>0</v>
      </c>
      <c r="E44" s="178"/>
      <c r="F44" s="80">
        <f t="shared" si="11"/>
        <v>0</v>
      </c>
      <c r="G44" s="178"/>
      <c r="H44" s="80">
        <f t="shared" si="12"/>
        <v>0</v>
      </c>
      <c r="I44" s="178"/>
      <c r="J44" s="80">
        <f t="shared" si="13"/>
        <v>0</v>
      </c>
      <c r="K44" s="178"/>
      <c r="L44" s="80">
        <f t="shared" si="14"/>
        <v>0</v>
      </c>
      <c r="M44" s="178"/>
      <c r="N44" s="80">
        <f t="shared" si="15"/>
        <v>0</v>
      </c>
      <c r="O44" s="178"/>
      <c r="P44" s="80">
        <f t="shared" si="16"/>
        <v>0</v>
      </c>
      <c r="Q44" s="178"/>
      <c r="R44" s="80">
        <f t="shared" si="17"/>
        <v>0</v>
      </c>
      <c r="S44" s="178"/>
      <c r="T44" s="80">
        <f t="shared" si="18"/>
        <v>0</v>
      </c>
      <c r="U44" s="178"/>
      <c r="V44" s="80">
        <f t="shared" si="19"/>
        <v>0</v>
      </c>
    </row>
    <row r="45" spans="1:22" ht="12.75" customHeight="1">
      <c r="A45" s="2" t="s">
        <v>393</v>
      </c>
      <c r="B45" s="35"/>
      <c r="C45" s="181">
        <f>+SUM(C36+C37+C39)*0.094</f>
        <v>41663.432000000001</v>
      </c>
      <c r="D45" s="80">
        <f t="shared" si="10"/>
        <v>4.2913502322659058E-2</v>
      </c>
      <c r="E45" s="181">
        <f>+SUM(E36+E37+E39)*0.094</f>
        <v>42496.700640000003</v>
      </c>
      <c r="F45" s="80">
        <f t="shared" si="11"/>
        <v>4.1939434596739288E-2</v>
      </c>
      <c r="G45" s="181">
        <f>+SUM(G36+G37+G39)*0.094</f>
        <v>43346.634652799999</v>
      </c>
      <c r="H45" s="80">
        <f t="shared" si="12"/>
        <v>4.0987665475513288E-2</v>
      </c>
      <c r="I45" s="181">
        <f>+SUM(I36+I37+I39)*0.094</f>
        <v>44213.567345856005</v>
      </c>
      <c r="J45" s="80">
        <f t="shared" si="13"/>
        <v>4.0022991591055788E-2</v>
      </c>
      <c r="K45" s="181">
        <f>+SUM(K36+K37+K39)*0.094</f>
        <v>45097.838692773126</v>
      </c>
      <c r="L45" s="80">
        <f t="shared" si="14"/>
        <v>3.956650828792721E-2</v>
      </c>
      <c r="M45" s="181">
        <f>+SUM(M36+M37+M39)*0.094</f>
        <v>45999.795466628595</v>
      </c>
      <c r="N45" s="80">
        <f t="shared" si="15"/>
        <v>3.9566508287927217E-2</v>
      </c>
      <c r="O45" s="181">
        <f>+SUM(O36+O37+O39)*0.094</f>
        <v>46919.791375961162</v>
      </c>
      <c r="P45" s="80">
        <f t="shared" si="16"/>
        <v>3.956650828792721E-2</v>
      </c>
      <c r="Q45" s="181">
        <f>+SUM(Q36+Q37+Q39)*0.094</f>
        <v>47858.187203480382</v>
      </c>
      <c r="R45" s="80">
        <f t="shared" si="17"/>
        <v>3.956650828792721E-2</v>
      </c>
      <c r="S45" s="181">
        <f>+SUM(S36+S37+S39)*0.094</f>
        <v>48815.350947549996</v>
      </c>
      <c r="T45" s="80">
        <f t="shared" si="18"/>
        <v>3.9566508287927217E-2</v>
      </c>
      <c r="U45" s="181">
        <f>+SUM(U36+U37+U39)*0.094</f>
        <v>49791.657966500999</v>
      </c>
      <c r="V45" s="80">
        <f t="shared" si="19"/>
        <v>3.9566508287927217E-2</v>
      </c>
    </row>
    <row r="46" spans="1:22" ht="12.75" customHeight="1">
      <c r="A46" s="1" t="s">
        <v>394</v>
      </c>
      <c r="B46" s="53"/>
      <c r="C46" s="82">
        <f>SUM(C36:C45)</f>
        <v>536574.38399999996</v>
      </c>
      <c r="D46" s="83">
        <f t="shared" si="10"/>
        <v>0.55267377094770664</v>
      </c>
      <c r="E46" s="82">
        <f>SUM(E36:E45)</f>
        <v>547305.87167999998</v>
      </c>
      <c r="F46" s="83">
        <f t="shared" si="11"/>
        <v>0.54012896210887451</v>
      </c>
      <c r="G46" s="82">
        <f>SUM(G36:G45)</f>
        <v>558251.98911360011</v>
      </c>
      <c r="H46" s="83">
        <f t="shared" si="12"/>
        <v>0.52787133220618065</v>
      </c>
      <c r="I46" s="82">
        <f>SUM(I36:I45)</f>
        <v>569417.02889587195</v>
      </c>
      <c r="J46" s="83">
        <f t="shared" si="13"/>
        <v>0.51544750463207012</v>
      </c>
      <c r="K46" s="82">
        <f>SUM(K36:K45)</f>
        <v>580805.36947378947</v>
      </c>
      <c r="L46" s="83">
        <f t="shared" si="14"/>
        <v>0.50956855430501824</v>
      </c>
      <c r="M46" s="82">
        <f>SUM(M36:M45)</f>
        <v>592421.47686326539</v>
      </c>
      <c r="N46" s="83">
        <f t="shared" si="15"/>
        <v>0.50956855430501846</v>
      </c>
      <c r="O46" s="82">
        <f>SUM(O36:O45)</f>
        <v>604269.9064005306</v>
      </c>
      <c r="P46" s="83">
        <f t="shared" si="16"/>
        <v>0.50956855430501835</v>
      </c>
      <c r="Q46" s="82">
        <f>SUM(Q36:Q45)</f>
        <v>616355.30452854116</v>
      </c>
      <c r="R46" s="83">
        <f t="shared" si="17"/>
        <v>0.50956855430501824</v>
      </c>
      <c r="S46" s="82">
        <f>SUM(S36:S45)</f>
        <v>628682.41061911208</v>
      </c>
      <c r="T46" s="83">
        <f t="shared" si="18"/>
        <v>0.50956855430501835</v>
      </c>
      <c r="U46" s="82">
        <f>SUM(U36:U45)</f>
        <v>641256.05883149442</v>
      </c>
      <c r="V46" s="83">
        <f t="shared" si="19"/>
        <v>0.50956855430501846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366</v>
      </c>
      <c r="E50" s="86" t="str">
        <f>E6</f>
        <v>FY 2019-20</v>
      </c>
      <c r="F50" s="86" t="s">
        <v>366</v>
      </c>
      <c r="G50" s="86" t="str">
        <f>G6</f>
        <v>FY 2020-21</v>
      </c>
      <c r="H50" s="86" t="s">
        <v>366</v>
      </c>
      <c r="I50" s="86" t="str">
        <f>I6</f>
        <v>FY 2021-22</v>
      </c>
      <c r="J50" s="86" t="s">
        <v>366</v>
      </c>
      <c r="K50" s="86" t="str">
        <f>K6</f>
        <v>FY 2022-23</v>
      </c>
      <c r="L50" s="86" t="s">
        <v>366</v>
      </c>
      <c r="M50" s="86" t="str">
        <f>M6</f>
        <v>FY 2023-24</v>
      </c>
      <c r="N50" s="86" t="s">
        <v>366</v>
      </c>
      <c r="O50" s="86" t="str">
        <f>O6</f>
        <v>FY 2024-25</v>
      </c>
      <c r="P50" s="86" t="s">
        <v>366</v>
      </c>
      <c r="Q50" s="86" t="str">
        <f>Q6</f>
        <v>FY 2025-26</v>
      </c>
      <c r="R50" s="86" t="s">
        <v>366</v>
      </c>
      <c r="S50" s="86" t="str">
        <f>S6</f>
        <v>FY 2026-27</v>
      </c>
      <c r="T50" s="86" t="s">
        <v>366</v>
      </c>
      <c r="U50" s="86" t="str">
        <f>U6</f>
        <v>FY 2027-28</v>
      </c>
      <c r="V50" s="86" t="s">
        <v>366</v>
      </c>
    </row>
    <row r="51" spans="1:24" ht="12.75" customHeight="1">
      <c r="A51" s="1" t="s">
        <v>395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396</v>
      </c>
      <c r="B52" s="35"/>
      <c r="C52" s="178">
        <v>0</v>
      </c>
      <c r="D52" s="80">
        <f t="shared" ref="D52:D104" si="20">IFERROR(C52/C$28,0)</f>
        <v>0</v>
      </c>
      <c r="E52" s="178">
        <v>0</v>
      </c>
      <c r="F52" s="80">
        <f t="shared" ref="F52:F104" si="21">IFERROR(E52/E$28,0)</f>
        <v>0</v>
      </c>
      <c r="G52" s="178">
        <v>0</v>
      </c>
      <c r="H52" s="80">
        <f t="shared" ref="H52:H104" si="22">IFERROR(G52/G$28,0)</f>
        <v>0</v>
      </c>
      <c r="I52" s="178">
        <v>0</v>
      </c>
      <c r="J52" s="80">
        <f t="shared" ref="J52:J104" si="23">IFERROR(I52/I$28,0)</f>
        <v>0</v>
      </c>
      <c r="K52" s="178">
        <v>0</v>
      </c>
      <c r="L52" s="80">
        <f t="shared" ref="L52:L104" si="24">IFERROR(K52/K$28,0)</f>
        <v>0</v>
      </c>
      <c r="M52" s="178">
        <v>0</v>
      </c>
      <c r="N52" s="80">
        <f t="shared" ref="N52:N104" si="25">IFERROR(M52/M$28,0)</f>
        <v>0</v>
      </c>
      <c r="O52" s="178">
        <v>0</v>
      </c>
      <c r="P52" s="80">
        <f t="shared" ref="P52:P104" si="26">IFERROR(O52/O$28,0)</f>
        <v>0</v>
      </c>
      <c r="Q52" s="178">
        <v>0</v>
      </c>
      <c r="R52" s="80">
        <f t="shared" ref="R52:R104" si="27">IFERROR(Q52/Q$28,0)</f>
        <v>0</v>
      </c>
      <c r="S52" s="178">
        <v>0</v>
      </c>
      <c r="T52" s="80">
        <f t="shared" ref="T52:T104" si="28">IFERROR(S52/S$28,0)</f>
        <v>0</v>
      </c>
      <c r="U52" s="178">
        <v>0</v>
      </c>
      <c r="V52" s="80">
        <f t="shared" ref="V52" si="29">IFERROR(U52/U$28,0)</f>
        <v>0</v>
      </c>
      <c r="X52" s="194"/>
    </row>
    <row r="53" spans="1:24" ht="12.75" customHeight="1">
      <c r="A53" s="2" t="s">
        <v>397</v>
      </c>
      <c r="B53" s="35"/>
      <c r="C53" s="178">
        <v>0</v>
      </c>
      <c r="D53" s="80">
        <f t="shared" si="20"/>
        <v>0</v>
      </c>
      <c r="E53" s="178">
        <v>0</v>
      </c>
      <c r="F53" s="80">
        <f t="shared" si="21"/>
        <v>0</v>
      </c>
      <c r="G53" s="178">
        <v>0</v>
      </c>
      <c r="H53" s="80">
        <f t="shared" si="22"/>
        <v>0</v>
      </c>
      <c r="I53" s="178">
        <v>0</v>
      </c>
      <c r="J53" s="80">
        <f t="shared" si="23"/>
        <v>0</v>
      </c>
      <c r="K53" s="178">
        <v>0</v>
      </c>
      <c r="L53" s="80">
        <f t="shared" si="24"/>
        <v>0</v>
      </c>
      <c r="M53" s="178">
        <v>0</v>
      </c>
      <c r="N53" s="80">
        <f t="shared" si="25"/>
        <v>0</v>
      </c>
      <c r="O53" s="178">
        <v>0</v>
      </c>
      <c r="P53" s="80">
        <f t="shared" si="26"/>
        <v>0</v>
      </c>
      <c r="Q53" s="178">
        <v>0</v>
      </c>
      <c r="R53" s="80">
        <f t="shared" si="27"/>
        <v>0</v>
      </c>
      <c r="S53" s="178">
        <v>0</v>
      </c>
      <c r="T53" s="80">
        <f t="shared" si="28"/>
        <v>0</v>
      </c>
      <c r="U53" s="178">
        <v>0</v>
      </c>
      <c r="V53" s="80">
        <f t="shared" ref="V53:V105" si="30">IFERROR(U53/U$28,0)</f>
        <v>0</v>
      </c>
      <c r="X53" s="194"/>
    </row>
    <row r="54" spans="1:24" ht="12.75" customHeight="1">
      <c r="A54" s="2" t="s">
        <v>398</v>
      </c>
      <c r="B54" s="35"/>
      <c r="C54" s="178">
        <v>679.60900000000004</v>
      </c>
      <c r="D54" s="80">
        <f t="shared" si="20"/>
        <v>6.9999999999999999E-4</v>
      </c>
      <c r="E54" s="178">
        <v>709.30117999999993</v>
      </c>
      <c r="F54" s="80">
        <f t="shared" si="21"/>
        <v>6.9999999999999988E-4</v>
      </c>
      <c r="G54" s="178">
        <v>740.28720360000011</v>
      </c>
      <c r="H54" s="80">
        <f t="shared" si="22"/>
        <v>7.000000000000001E-4</v>
      </c>
      <c r="I54" s="178">
        <v>773.29294767200008</v>
      </c>
      <c r="J54" s="80">
        <f t="shared" si="23"/>
        <v>6.9999999999999999E-4</v>
      </c>
      <c r="K54" s="178">
        <v>797.85880662544014</v>
      </c>
      <c r="L54" s="80">
        <f t="shared" si="24"/>
        <v>6.9999999999999999E-4</v>
      </c>
      <c r="M54" s="178">
        <v>813.81598275794886</v>
      </c>
      <c r="N54" s="80">
        <f t="shared" si="25"/>
        <v>6.9999999999999999E-4</v>
      </c>
      <c r="O54" s="178">
        <v>830.09230241310775</v>
      </c>
      <c r="P54" s="80">
        <f t="shared" si="26"/>
        <v>6.9999999999999988E-4</v>
      </c>
      <c r="Q54" s="178">
        <v>846.69414846136999</v>
      </c>
      <c r="R54" s="80">
        <f t="shared" si="27"/>
        <v>6.9999999999999999E-4</v>
      </c>
      <c r="S54" s="178">
        <v>863.62803143059739</v>
      </c>
      <c r="T54" s="80">
        <f t="shared" si="28"/>
        <v>6.9999999999999999E-4</v>
      </c>
      <c r="U54" s="178">
        <v>880.90059205920932</v>
      </c>
      <c r="V54" s="80">
        <f t="shared" si="30"/>
        <v>6.9999999999999999E-4</v>
      </c>
      <c r="X54" s="194"/>
    </row>
    <row r="55" spans="1:24" ht="12.75" customHeight="1">
      <c r="A55" s="2" t="s">
        <v>399</v>
      </c>
      <c r="B55" s="35"/>
      <c r="C55" s="178"/>
      <c r="D55" s="80">
        <f t="shared" si="20"/>
        <v>0</v>
      </c>
      <c r="E55" s="178"/>
      <c r="F55" s="80">
        <f t="shared" si="21"/>
        <v>0</v>
      </c>
      <c r="G55" s="178"/>
      <c r="H55" s="80">
        <f t="shared" si="22"/>
        <v>0</v>
      </c>
      <c r="I55" s="178"/>
      <c r="J55" s="80">
        <f t="shared" si="23"/>
        <v>0</v>
      </c>
      <c r="K55" s="178"/>
      <c r="L55" s="80">
        <f t="shared" si="24"/>
        <v>0</v>
      </c>
      <c r="M55" s="178"/>
      <c r="N55" s="80">
        <f t="shared" si="25"/>
        <v>0</v>
      </c>
      <c r="O55" s="178"/>
      <c r="P55" s="80">
        <f t="shared" si="26"/>
        <v>0</v>
      </c>
      <c r="Q55" s="178"/>
      <c r="R55" s="80">
        <f t="shared" si="27"/>
        <v>0</v>
      </c>
      <c r="S55" s="178"/>
      <c r="T55" s="80">
        <f t="shared" si="28"/>
        <v>0</v>
      </c>
      <c r="U55" s="178"/>
      <c r="V55" s="80">
        <f t="shared" si="30"/>
        <v>0</v>
      </c>
      <c r="X55" s="194"/>
    </row>
    <row r="56" spans="1:24" ht="12.75" customHeight="1">
      <c r="A56" s="2" t="s">
        <v>400</v>
      </c>
      <c r="B56" s="35"/>
      <c r="C56" s="178">
        <v>495.14370000000002</v>
      </c>
      <c r="D56" s="80">
        <f t="shared" si="20"/>
        <v>5.1000000000000004E-4</v>
      </c>
      <c r="E56" s="178">
        <v>516.77657399999998</v>
      </c>
      <c r="F56" s="80">
        <f t="shared" si="21"/>
        <v>5.0999999999999993E-4</v>
      </c>
      <c r="G56" s="178">
        <v>539.35210548000009</v>
      </c>
      <c r="H56" s="80">
        <f t="shared" si="22"/>
        <v>5.1000000000000004E-4</v>
      </c>
      <c r="I56" s="178">
        <v>563.39914758960015</v>
      </c>
      <c r="J56" s="80">
        <f t="shared" si="23"/>
        <v>5.1000000000000015E-4</v>
      </c>
      <c r="K56" s="178">
        <v>581.29713054139211</v>
      </c>
      <c r="L56" s="80">
        <f t="shared" si="24"/>
        <v>5.1000000000000004E-4</v>
      </c>
      <c r="M56" s="178">
        <v>592.9230731522199</v>
      </c>
      <c r="N56" s="80">
        <f t="shared" si="25"/>
        <v>5.1000000000000004E-4</v>
      </c>
      <c r="O56" s="178">
        <v>604.78153461526426</v>
      </c>
      <c r="P56" s="80">
        <f t="shared" si="26"/>
        <v>5.1000000000000004E-4</v>
      </c>
      <c r="Q56" s="178">
        <v>616.87716530756961</v>
      </c>
      <c r="R56" s="80">
        <f t="shared" si="27"/>
        <v>5.1000000000000004E-4</v>
      </c>
      <c r="S56" s="178">
        <v>629.21470861372097</v>
      </c>
      <c r="T56" s="80">
        <f t="shared" si="28"/>
        <v>5.1000000000000004E-4</v>
      </c>
      <c r="U56" s="178">
        <v>641.79900278599541</v>
      </c>
      <c r="V56" s="80">
        <f t="shared" si="30"/>
        <v>5.1000000000000004E-4</v>
      </c>
      <c r="X56" s="194"/>
    </row>
    <row r="57" spans="1:24" ht="12.75" customHeight="1">
      <c r="A57" s="2" t="s">
        <v>401</v>
      </c>
      <c r="B57" s="35"/>
      <c r="C57" s="178">
        <v>0</v>
      </c>
      <c r="D57" s="80">
        <f t="shared" si="20"/>
        <v>0</v>
      </c>
      <c r="E57" s="178">
        <v>0</v>
      </c>
      <c r="F57" s="80">
        <f t="shared" si="21"/>
        <v>0</v>
      </c>
      <c r="G57" s="178">
        <v>0</v>
      </c>
      <c r="H57" s="80">
        <f t="shared" si="22"/>
        <v>0</v>
      </c>
      <c r="I57" s="178">
        <v>0</v>
      </c>
      <c r="J57" s="80">
        <f t="shared" si="23"/>
        <v>0</v>
      </c>
      <c r="K57" s="178">
        <v>0</v>
      </c>
      <c r="L57" s="80">
        <f t="shared" si="24"/>
        <v>0</v>
      </c>
      <c r="M57" s="178">
        <v>0</v>
      </c>
      <c r="N57" s="80">
        <f t="shared" si="25"/>
        <v>0</v>
      </c>
      <c r="O57" s="178">
        <v>0</v>
      </c>
      <c r="P57" s="80">
        <f t="shared" si="26"/>
        <v>0</v>
      </c>
      <c r="Q57" s="178">
        <v>0</v>
      </c>
      <c r="R57" s="80">
        <f t="shared" si="27"/>
        <v>0</v>
      </c>
      <c r="S57" s="178">
        <v>0</v>
      </c>
      <c r="T57" s="80">
        <f t="shared" si="28"/>
        <v>0</v>
      </c>
      <c r="U57" s="178">
        <v>0</v>
      </c>
      <c r="V57" s="80">
        <f t="shared" si="30"/>
        <v>0</v>
      </c>
      <c r="X57" s="194"/>
    </row>
    <row r="58" spans="1:24" ht="12.75" customHeight="1">
      <c r="A58" s="2" t="s">
        <v>402</v>
      </c>
      <c r="B58" s="35"/>
      <c r="C58" s="178">
        <v>0</v>
      </c>
      <c r="D58" s="80">
        <f t="shared" si="20"/>
        <v>0</v>
      </c>
      <c r="E58" s="178">
        <v>0</v>
      </c>
      <c r="F58" s="80">
        <f t="shared" si="21"/>
        <v>0</v>
      </c>
      <c r="G58" s="178">
        <v>0</v>
      </c>
      <c r="H58" s="80">
        <f t="shared" si="22"/>
        <v>0</v>
      </c>
      <c r="I58" s="178">
        <v>0</v>
      </c>
      <c r="J58" s="80">
        <f t="shared" si="23"/>
        <v>0</v>
      </c>
      <c r="K58" s="178">
        <v>0</v>
      </c>
      <c r="L58" s="80">
        <f t="shared" si="24"/>
        <v>0</v>
      </c>
      <c r="M58" s="178">
        <v>0</v>
      </c>
      <c r="N58" s="80">
        <f t="shared" si="25"/>
        <v>0</v>
      </c>
      <c r="O58" s="178">
        <v>0</v>
      </c>
      <c r="P58" s="80">
        <f t="shared" si="26"/>
        <v>0</v>
      </c>
      <c r="Q58" s="178">
        <v>0</v>
      </c>
      <c r="R58" s="80">
        <f t="shared" si="27"/>
        <v>0</v>
      </c>
      <c r="S58" s="178">
        <v>0</v>
      </c>
      <c r="T58" s="80">
        <f t="shared" si="28"/>
        <v>0</v>
      </c>
      <c r="U58" s="178">
        <v>0</v>
      </c>
      <c r="V58" s="80">
        <f t="shared" si="30"/>
        <v>0</v>
      </c>
      <c r="X58" s="194"/>
    </row>
    <row r="59" spans="1:24" ht="12.75" customHeight="1">
      <c r="A59" s="2" t="s">
        <v>403</v>
      </c>
      <c r="B59" s="35"/>
      <c r="C59" s="178"/>
      <c r="D59" s="80">
        <f t="shared" si="20"/>
        <v>0</v>
      </c>
      <c r="E59" s="178"/>
      <c r="F59" s="80">
        <f t="shared" si="21"/>
        <v>0</v>
      </c>
      <c r="G59" s="178"/>
      <c r="H59" s="80">
        <f t="shared" si="22"/>
        <v>0</v>
      </c>
      <c r="I59" s="178"/>
      <c r="J59" s="80">
        <f t="shared" si="23"/>
        <v>0</v>
      </c>
      <c r="K59" s="178"/>
      <c r="L59" s="80">
        <f t="shared" si="24"/>
        <v>0</v>
      </c>
      <c r="M59" s="178"/>
      <c r="N59" s="80">
        <f t="shared" si="25"/>
        <v>0</v>
      </c>
      <c r="O59" s="178"/>
      <c r="P59" s="80">
        <f t="shared" si="26"/>
        <v>0</v>
      </c>
      <c r="Q59" s="178"/>
      <c r="R59" s="80">
        <f t="shared" si="27"/>
        <v>0</v>
      </c>
      <c r="S59" s="178"/>
      <c r="T59" s="80">
        <f t="shared" si="28"/>
        <v>0</v>
      </c>
      <c r="U59" s="178"/>
      <c r="V59" s="80">
        <f t="shared" si="30"/>
        <v>0</v>
      </c>
      <c r="X59" s="194"/>
    </row>
    <row r="60" spans="1:24" ht="12.75" customHeight="1">
      <c r="A60" s="2" t="s">
        <v>404</v>
      </c>
      <c r="B60" s="35"/>
      <c r="C60" s="178">
        <v>0</v>
      </c>
      <c r="D60" s="80">
        <f t="shared" si="20"/>
        <v>0</v>
      </c>
      <c r="E60" s="178">
        <v>0</v>
      </c>
      <c r="F60" s="80">
        <f t="shared" si="21"/>
        <v>0</v>
      </c>
      <c r="G60" s="178">
        <v>0</v>
      </c>
      <c r="H60" s="80">
        <f t="shared" si="22"/>
        <v>0</v>
      </c>
      <c r="I60" s="178">
        <v>0</v>
      </c>
      <c r="J60" s="80">
        <f t="shared" si="23"/>
        <v>0</v>
      </c>
      <c r="K60" s="178">
        <v>0</v>
      </c>
      <c r="L60" s="80">
        <f t="shared" si="24"/>
        <v>0</v>
      </c>
      <c r="M60" s="178">
        <v>0</v>
      </c>
      <c r="N60" s="80">
        <f t="shared" si="25"/>
        <v>0</v>
      </c>
      <c r="O60" s="178">
        <v>0</v>
      </c>
      <c r="P60" s="80">
        <f t="shared" si="26"/>
        <v>0</v>
      </c>
      <c r="Q60" s="178">
        <v>0</v>
      </c>
      <c r="R60" s="80">
        <f t="shared" si="27"/>
        <v>0</v>
      </c>
      <c r="S60" s="178">
        <v>0</v>
      </c>
      <c r="T60" s="80">
        <f t="shared" si="28"/>
        <v>0</v>
      </c>
      <c r="U60" s="178">
        <v>0</v>
      </c>
      <c r="V60" s="80">
        <f t="shared" si="30"/>
        <v>0</v>
      </c>
      <c r="X60" s="194"/>
    </row>
    <row r="61" spans="1:24" ht="12.75" customHeight="1">
      <c r="A61" s="2" t="s">
        <v>405</v>
      </c>
      <c r="B61" s="35"/>
      <c r="C61" s="178">
        <v>0</v>
      </c>
      <c r="D61" s="80">
        <f t="shared" si="20"/>
        <v>0</v>
      </c>
      <c r="E61" s="178">
        <v>0</v>
      </c>
      <c r="F61" s="80">
        <f t="shared" si="21"/>
        <v>0</v>
      </c>
      <c r="G61" s="178">
        <v>0</v>
      </c>
      <c r="H61" s="80">
        <f t="shared" si="22"/>
        <v>0</v>
      </c>
      <c r="I61" s="178">
        <v>0</v>
      </c>
      <c r="J61" s="80">
        <f t="shared" si="23"/>
        <v>0</v>
      </c>
      <c r="K61" s="178">
        <v>0</v>
      </c>
      <c r="L61" s="80">
        <f t="shared" si="24"/>
        <v>0</v>
      </c>
      <c r="M61" s="178">
        <v>0</v>
      </c>
      <c r="N61" s="80">
        <f t="shared" si="25"/>
        <v>0</v>
      </c>
      <c r="O61" s="178">
        <v>0</v>
      </c>
      <c r="P61" s="80">
        <f t="shared" si="26"/>
        <v>0</v>
      </c>
      <c r="Q61" s="178">
        <v>0</v>
      </c>
      <c r="R61" s="80">
        <f t="shared" si="27"/>
        <v>0</v>
      </c>
      <c r="S61" s="178">
        <v>0</v>
      </c>
      <c r="T61" s="80">
        <f t="shared" si="28"/>
        <v>0</v>
      </c>
      <c r="U61" s="178">
        <v>0</v>
      </c>
      <c r="V61" s="80">
        <f t="shared" si="30"/>
        <v>0</v>
      </c>
      <c r="X61" s="194"/>
    </row>
    <row r="62" spans="1:24" ht="12.75" customHeight="1">
      <c r="A62" s="2" t="s">
        <v>406</v>
      </c>
      <c r="B62" s="35"/>
      <c r="C62" s="178">
        <v>0</v>
      </c>
      <c r="D62" s="80">
        <f t="shared" si="20"/>
        <v>0</v>
      </c>
      <c r="E62" s="178">
        <v>0</v>
      </c>
      <c r="F62" s="80">
        <f t="shared" si="21"/>
        <v>0</v>
      </c>
      <c r="G62" s="178">
        <v>0</v>
      </c>
      <c r="H62" s="80">
        <f t="shared" si="22"/>
        <v>0</v>
      </c>
      <c r="I62" s="178">
        <v>0</v>
      </c>
      <c r="J62" s="80">
        <f t="shared" si="23"/>
        <v>0</v>
      </c>
      <c r="K62" s="178">
        <v>0</v>
      </c>
      <c r="L62" s="80">
        <f t="shared" si="24"/>
        <v>0</v>
      </c>
      <c r="M62" s="178">
        <v>0</v>
      </c>
      <c r="N62" s="80">
        <f t="shared" si="25"/>
        <v>0</v>
      </c>
      <c r="O62" s="178">
        <v>0</v>
      </c>
      <c r="P62" s="80">
        <f t="shared" si="26"/>
        <v>0</v>
      </c>
      <c r="Q62" s="178">
        <v>0</v>
      </c>
      <c r="R62" s="80">
        <f t="shared" si="27"/>
        <v>0</v>
      </c>
      <c r="S62" s="178">
        <v>0</v>
      </c>
      <c r="T62" s="80">
        <f t="shared" si="28"/>
        <v>0</v>
      </c>
      <c r="U62" s="178">
        <v>0</v>
      </c>
      <c r="V62" s="80">
        <f t="shared" si="30"/>
        <v>0</v>
      </c>
      <c r="X62" s="194"/>
    </row>
    <row r="63" spans="1:24" ht="12.75" customHeight="1">
      <c r="A63" s="2" t="s">
        <v>407</v>
      </c>
      <c r="B63" s="35"/>
      <c r="C63" s="178">
        <v>11811.293589785528</v>
      </c>
      <c r="D63" s="80">
        <f t="shared" si="20"/>
        <v>1.2165679843630484E-2</v>
      </c>
      <c r="E63" s="178">
        <v>12509.327848570238</v>
      </c>
      <c r="F63" s="80">
        <f t="shared" si="21"/>
        <v>1.2345291028557383E-2</v>
      </c>
      <c r="G63" s="178">
        <v>12917.605878351844</v>
      </c>
      <c r="H63" s="80">
        <f t="shared" si="22"/>
        <v>1.2214616260923695E-2</v>
      </c>
      <c r="I63" s="178">
        <v>13528.186380363317</v>
      </c>
      <c r="J63" s="80">
        <f t="shared" si="23"/>
        <v>1.224598064001872E-2</v>
      </c>
      <c r="K63" s="178">
        <v>13914.929972373857</v>
      </c>
      <c r="L63" s="80">
        <f t="shared" si="24"/>
        <v>1.2208238976341107E-2</v>
      </c>
      <c r="M63" s="178">
        <v>14217.156942616502</v>
      </c>
      <c r="N63" s="80">
        <f t="shared" si="25"/>
        <v>1.2228820852233806E-2</v>
      </c>
      <c r="O63" s="178">
        <v>14531.396488493845</v>
      </c>
      <c r="P63" s="80">
        <f t="shared" si="26"/>
        <v>1.2254031885822084E-2</v>
      </c>
      <c r="Q63" s="178">
        <v>14865.554096488162</v>
      </c>
      <c r="R63" s="80">
        <f t="shared" si="27"/>
        <v>1.2290019821740243E-2</v>
      </c>
      <c r="S63" s="178">
        <v>15206.181067582324</v>
      </c>
      <c r="T63" s="80">
        <f t="shared" si="28"/>
        <v>1.2325128828525088E-2</v>
      </c>
      <c r="U63" s="178">
        <v>15557.517101193333</v>
      </c>
      <c r="V63" s="80">
        <f t="shared" si="30"/>
        <v>1.236264576162681E-2</v>
      </c>
      <c r="X63" s="194"/>
    </row>
    <row r="64" spans="1:24" ht="12.75" customHeight="1">
      <c r="A64" s="2" t="s">
        <v>408</v>
      </c>
      <c r="B64" s="35"/>
      <c r="C64" s="178">
        <v>4660.1759999999995</v>
      </c>
      <c r="D64" s="80">
        <f t="shared" si="20"/>
        <v>4.7999999999999996E-3</v>
      </c>
      <c r="E64" s="178">
        <v>4863.7795199999991</v>
      </c>
      <c r="F64" s="80">
        <f t="shared" si="21"/>
        <v>4.7999999999999987E-3</v>
      </c>
      <c r="G64" s="178">
        <v>5076.2551104000004</v>
      </c>
      <c r="H64" s="80">
        <f t="shared" si="22"/>
        <v>4.8000000000000004E-3</v>
      </c>
      <c r="I64" s="178">
        <v>5302.5802126079998</v>
      </c>
      <c r="J64" s="80">
        <f t="shared" si="23"/>
        <v>4.7999999999999996E-3</v>
      </c>
      <c r="K64" s="178">
        <v>5471.0318168601607</v>
      </c>
      <c r="L64" s="80">
        <f t="shared" si="24"/>
        <v>4.8000000000000004E-3</v>
      </c>
      <c r="M64" s="178">
        <v>5580.452453197363</v>
      </c>
      <c r="N64" s="80">
        <f t="shared" si="25"/>
        <v>4.7999999999999996E-3</v>
      </c>
      <c r="O64" s="178">
        <v>5692.0615022613101</v>
      </c>
      <c r="P64" s="80">
        <f t="shared" si="26"/>
        <v>4.7999999999999996E-3</v>
      </c>
      <c r="Q64" s="178">
        <v>5805.9027323065357</v>
      </c>
      <c r="R64" s="80">
        <f t="shared" si="27"/>
        <v>4.7999999999999987E-3</v>
      </c>
      <c r="S64" s="178">
        <v>5922.0207869526666</v>
      </c>
      <c r="T64" s="80">
        <f t="shared" si="28"/>
        <v>4.7999999999999996E-3</v>
      </c>
      <c r="U64" s="178">
        <v>6040.4612026917202</v>
      </c>
      <c r="V64" s="80">
        <f t="shared" si="30"/>
        <v>4.7999999999999996E-3</v>
      </c>
      <c r="X64" s="194"/>
    </row>
    <row r="65" spans="1:24" ht="12.75" customHeight="1">
      <c r="A65" s="2" t="s">
        <v>409</v>
      </c>
      <c r="B65" s="35"/>
      <c r="C65" s="178">
        <v>485.43500000000006</v>
      </c>
      <c r="D65" s="80">
        <f t="shared" si="20"/>
        <v>5.0000000000000001E-4</v>
      </c>
      <c r="E65" s="178">
        <v>506.64370000000002</v>
      </c>
      <c r="F65" s="80">
        <f t="shared" si="21"/>
        <v>5.0000000000000001E-4</v>
      </c>
      <c r="G65" s="178">
        <v>528.7765740000001</v>
      </c>
      <c r="H65" s="80">
        <f t="shared" si="22"/>
        <v>5.0000000000000012E-4</v>
      </c>
      <c r="I65" s="178">
        <v>552.35210548000009</v>
      </c>
      <c r="J65" s="80">
        <f t="shared" si="23"/>
        <v>5.0000000000000001E-4</v>
      </c>
      <c r="K65" s="178">
        <v>569.89914758960003</v>
      </c>
      <c r="L65" s="80">
        <f t="shared" si="24"/>
        <v>5.0000000000000001E-4</v>
      </c>
      <c r="M65" s="178">
        <v>581.29713054139199</v>
      </c>
      <c r="N65" s="80">
        <f t="shared" si="25"/>
        <v>5.0000000000000001E-4</v>
      </c>
      <c r="O65" s="178">
        <v>592.92307315221979</v>
      </c>
      <c r="P65" s="80">
        <f t="shared" si="26"/>
        <v>4.999999999999999E-4</v>
      </c>
      <c r="Q65" s="178">
        <v>604.78153461526426</v>
      </c>
      <c r="R65" s="80">
        <f t="shared" si="27"/>
        <v>5.0000000000000001E-4</v>
      </c>
      <c r="S65" s="178">
        <v>616.8771653075695</v>
      </c>
      <c r="T65" s="80">
        <f t="shared" si="28"/>
        <v>5.0000000000000001E-4</v>
      </c>
      <c r="U65" s="178">
        <v>629.21470861372086</v>
      </c>
      <c r="V65" s="80">
        <f t="shared" si="30"/>
        <v>4.999999999999999E-4</v>
      </c>
      <c r="X65" s="194"/>
    </row>
    <row r="66" spans="1:24" ht="12.75" customHeight="1">
      <c r="A66" s="2" t="s">
        <v>410</v>
      </c>
      <c r="B66" s="35"/>
      <c r="C66" s="178">
        <v>2718.4360000000001</v>
      </c>
      <c r="D66" s="80">
        <f t="shared" si="20"/>
        <v>2.8E-3</v>
      </c>
      <c r="E66" s="178">
        <v>2837.2047199999997</v>
      </c>
      <c r="F66" s="80">
        <f t="shared" si="21"/>
        <v>2.7999999999999995E-3</v>
      </c>
      <c r="G66" s="178">
        <v>2961.1488144000004</v>
      </c>
      <c r="H66" s="80">
        <f t="shared" si="22"/>
        <v>2.8000000000000004E-3</v>
      </c>
      <c r="I66" s="178">
        <v>3093.1717906880003</v>
      </c>
      <c r="J66" s="80">
        <f t="shared" si="23"/>
        <v>2.8E-3</v>
      </c>
      <c r="K66" s="178">
        <v>3191.4352265017606</v>
      </c>
      <c r="L66" s="80">
        <f t="shared" si="24"/>
        <v>2.8E-3</v>
      </c>
      <c r="M66" s="178">
        <v>3255.2639310317954</v>
      </c>
      <c r="N66" s="80">
        <f t="shared" si="25"/>
        <v>2.8E-3</v>
      </c>
      <c r="O66" s="178">
        <v>3320.369209652431</v>
      </c>
      <c r="P66" s="80">
        <f t="shared" si="26"/>
        <v>2.7999999999999995E-3</v>
      </c>
      <c r="Q66" s="178">
        <v>3386.77659384548</v>
      </c>
      <c r="R66" s="80">
        <f t="shared" si="27"/>
        <v>2.8E-3</v>
      </c>
      <c r="S66" s="178">
        <v>3454.5121257223896</v>
      </c>
      <c r="T66" s="80">
        <f t="shared" si="28"/>
        <v>2.8E-3</v>
      </c>
      <c r="U66" s="178">
        <v>3523.6023682368373</v>
      </c>
      <c r="V66" s="80">
        <f t="shared" si="30"/>
        <v>2.8E-3</v>
      </c>
      <c r="X66" s="194"/>
    </row>
    <row r="67" spans="1:24" ht="12.75" customHeight="1">
      <c r="A67" s="2" t="s">
        <v>411</v>
      </c>
      <c r="B67" s="35"/>
      <c r="C67" s="178">
        <v>14563.05</v>
      </c>
      <c r="D67" s="80">
        <f t="shared" si="20"/>
        <v>1.4999999999999999E-2</v>
      </c>
      <c r="E67" s="178">
        <v>15199.311</v>
      </c>
      <c r="F67" s="80">
        <f t="shared" si="21"/>
        <v>1.4999999999999999E-2</v>
      </c>
      <c r="G67" s="178">
        <v>15863.297220000002</v>
      </c>
      <c r="H67" s="80">
        <f t="shared" si="22"/>
        <v>1.5000000000000001E-2</v>
      </c>
      <c r="I67" s="178">
        <v>16570.563164400002</v>
      </c>
      <c r="J67" s="80">
        <f t="shared" si="23"/>
        <v>1.5000000000000001E-2</v>
      </c>
      <c r="K67" s="178">
        <v>17096.974427688001</v>
      </c>
      <c r="L67" s="80">
        <f t="shared" si="24"/>
        <v>1.4999999999999999E-2</v>
      </c>
      <c r="M67" s="178">
        <v>17438.91391624176</v>
      </c>
      <c r="N67" s="80">
        <f t="shared" si="25"/>
        <v>1.4999999999999999E-2</v>
      </c>
      <c r="O67" s="178">
        <v>17787.692194566593</v>
      </c>
      <c r="P67" s="80">
        <f t="shared" si="26"/>
        <v>1.4999999999999998E-2</v>
      </c>
      <c r="Q67" s="178">
        <v>18143.446038457925</v>
      </c>
      <c r="R67" s="80">
        <f t="shared" si="27"/>
        <v>1.4999999999999998E-2</v>
      </c>
      <c r="S67" s="178">
        <v>18506.314959227086</v>
      </c>
      <c r="T67" s="80">
        <f t="shared" si="28"/>
        <v>1.4999999999999999E-2</v>
      </c>
      <c r="U67" s="178">
        <v>18876.441258411629</v>
      </c>
      <c r="V67" s="80">
        <f t="shared" si="30"/>
        <v>1.4999999999999999E-2</v>
      </c>
      <c r="X67" s="194"/>
    </row>
    <row r="68" spans="1:24" ht="12.75" customHeight="1">
      <c r="A68" s="2" t="s">
        <v>412</v>
      </c>
      <c r="B68" s="35"/>
      <c r="C68" s="178">
        <v>1650.4789999999998</v>
      </c>
      <c r="D68" s="80">
        <f t="shared" si="20"/>
        <v>1.6999999999999999E-3</v>
      </c>
      <c r="E68" s="178">
        <v>1722.5885799999999</v>
      </c>
      <c r="F68" s="80">
        <f t="shared" si="21"/>
        <v>1.6999999999999999E-3</v>
      </c>
      <c r="G68" s="178">
        <v>1797.8403516000001</v>
      </c>
      <c r="H68" s="80">
        <f t="shared" si="22"/>
        <v>1.6999999999999999E-3</v>
      </c>
      <c r="I68" s="178">
        <v>1877.997158632</v>
      </c>
      <c r="J68" s="80">
        <f t="shared" si="23"/>
        <v>1.6999999999999999E-3</v>
      </c>
      <c r="K68" s="178">
        <v>1937.6571018046402</v>
      </c>
      <c r="L68" s="80">
        <f t="shared" si="24"/>
        <v>1.6999999999999999E-3</v>
      </c>
      <c r="M68" s="178">
        <v>1976.4102438407326</v>
      </c>
      <c r="N68" s="80">
        <f t="shared" si="25"/>
        <v>1.6999999999999997E-3</v>
      </c>
      <c r="O68" s="178">
        <v>2015.9384487175473</v>
      </c>
      <c r="P68" s="80">
        <f t="shared" si="26"/>
        <v>1.6999999999999997E-3</v>
      </c>
      <c r="Q68" s="178">
        <v>2056.2572176918984</v>
      </c>
      <c r="R68" s="80">
        <f t="shared" si="27"/>
        <v>1.6999999999999999E-3</v>
      </c>
      <c r="S68" s="178">
        <v>2097.382362045736</v>
      </c>
      <c r="T68" s="80">
        <f t="shared" si="28"/>
        <v>1.6999999999999997E-3</v>
      </c>
      <c r="U68" s="178">
        <v>2139.3300092866511</v>
      </c>
      <c r="V68" s="80">
        <f t="shared" si="30"/>
        <v>1.6999999999999999E-3</v>
      </c>
      <c r="X68" s="194"/>
    </row>
    <row r="69" spans="1:24" ht="12.75" customHeight="1">
      <c r="A69" s="2" t="s">
        <v>413</v>
      </c>
      <c r="B69" s="35"/>
      <c r="C69" s="178">
        <v>0</v>
      </c>
      <c r="D69" s="80">
        <f t="shared" si="20"/>
        <v>0</v>
      </c>
      <c r="E69" s="178">
        <v>0</v>
      </c>
      <c r="F69" s="80">
        <f t="shared" si="21"/>
        <v>0</v>
      </c>
      <c r="G69" s="178">
        <v>0</v>
      </c>
      <c r="H69" s="80">
        <f t="shared" si="22"/>
        <v>0</v>
      </c>
      <c r="I69" s="178">
        <v>0</v>
      </c>
      <c r="J69" s="80">
        <f t="shared" si="23"/>
        <v>0</v>
      </c>
      <c r="K69" s="178">
        <v>0</v>
      </c>
      <c r="L69" s="80">
        <f t="shared" si="24"/>
        <v>0</v>
      </c>
      <c r="M69" s="178">
        <v>0</v>
      </c>
      <c r="N69" s="80">
        <f t="shared" si="25"/>
        <v>0</v>
      </c>
      <c r="O69" s="178">
        <v>0</v>
      </c>
      <c r="P69" s="80">
        <f t="shared" si="26"/>
        <v>0</v>
      </c>
      <c r="Q69" s="178">
        <v>0</v>
      </c>
      <c r="R69" s="80">
        <f t="shared" si="27"/>
        <v>0</v>
      </c>
      <c r="S69" s="178">
        <v>0</v>
      </c>
      <c r="T69" s="80">
        <f t="shared" si="28"/>
        <v>0</v>
      </c>
      <c r="U69" s="178">
        <v>0</v>
      </c>
      <c r="V69" s="80">
        <f t="shared" si="30"/>
        <v>0</v>
      </c>
      <c r="X69" s="194"/>
    </row>
    <row r="70" spans="1:24" ht="12.75" customHeight="1">
      <c r="A70" s="2" t="s">
        <v>414</v>
      </c>
      <c r="B70" s="35"/>
      <c r="C70" s="178">
        <v>97.087000000000018</v>
      </c>
      <c r="D70" s="80">
        <f t="shared" si="20"/>
        <v>1.0000000000000002E-4</v>
      </c>
      <c r="E70" s="178">
        <v>101.32874000000001</v>
      </c>
      <c r="F70" s="80">
        <f t="shared" si="21"/>
        <v>1E-4</v>
      </c>
      <c r="G70" s="178">
        <v>105.75531480000002</v>
      </c>
      <c r="H70" s="80">
        <f t="shared" si="22"/>
        <v>1.0000000000000002E-4</v>
      </c>
      <c r="I70" s="178">
        <v>110.47042109600002</v>
      </c>
      <c r="J70" s="80">
        <f t="shared" si="23"/>
        <v>1.0000000000000002E-4</v>
      </c>
      <c r="K70" s="178">
        <v>113.97982951792001</v>
      </c>
      <c r="L70" s="80">
        <f t="shared" si="24"/>
        <v>9.9999999999999991E-5</v>
      </c>
      <c r="M70" s="178">
        <v>116.2594261082784</v>
      </c>
      <c r="N70" s="80">
        <f t="shared" si="25"/>
        <v>1E-4</v>
      </c>
      <c r="O70" s="178">
        <v>118.58461463044397</v>
      </c>
      <c r="P70" s="80">
        <f t="shared" si="26"/>
        <v>9.9999999999999991E-5</v>
      </c>
      <c r="Q70" s="178">
        <v>120.95630692305286</v>
      </c>
      <c r="R70" s="80">
        <f t="shared" si="27"/>
        <v>1E-4</v>
      </c>
      <c r="S70" s="178">
        <v>123.37543306151392</v>
      </c>
      <c r="T70" s="80">
        <f t="shared" si="28"/>
        <v>1E-4</v>
      </c>
      <c r="U70" s="178">
        <v>125.84294172274419</v>
      </c>
      <c r="V70" s="80">
        <f t="shared" si="30"/>
        <v>9.9999999999999991E-5</v>
      </c>
      <c r="X70" s="194"/>
    </row>
    <row r="71" spans="1:24" ht="12.75" customHeight="1">
      <c r="A71" s="2" t="s">
        <v>415</v>
      </c>
      <c r="B71" s="35"/>
      <c r="C71" s="178">
        <v>0</v>
      </c>
      <c r="D71" s="80">
        <f t="shared" si="20"/>
        <v>0</v>
      </c>
      <c r="E71" s="178">
        <v>0</v>
      </c>
      <c r="F71" s="80">
        <f t="shared" si="21"/>
        <v>0</v>
      </c>
      <c r="G71" s="178">
        <v>0</v>
      </c>
      <c r="H71" s="80">
        <f t="shared" si="22"/>
        <v>0</v>
      </c>
      <c r="I71" s="178">
        <v>0</v>
      </c>
      <c r="J71" s="80">
        <f t="shared" si="23"/>
        <v>0</v>
      </c>
      <c r="K71" s="178">
        <v>0</v>
      </c>
      <c r="L71" s="80">
        <f t="shared" si="24"/>
        <v>0</v>
      </c>
      <c r="M71" s="178">
        <v>0</v>
      </c>
      <c r="N71" s="80">
        <f t="shared" si="25"/>
        <v>0</v>
      </c>
      <c r="O71" s="178">
        <v>0</v>
      </c>
      <c r="P71" s="80">
        <f t="shared" si="26"/>
        <v>0</v>
      </c>
      <c r="Q71" s="178">
        <v>0</v>
      </c>
      <c r="R71" s="80">
        <f t="shared" si="27"/>
        <v>0</v>
      </c>
      <c r="S71" s="178">
        <v>0</v>
      </c>
      <c r="T71" s="80">
        <f t="shared" si="28"/>
        <v>0</v>
      </c>
      <c r="U71" s="178">
        <v>0</v>
      </c>
      <c r="V71" s="80">
        <f t="shared" si="30"/>
        <v>0</v>
      </c>
      <c r="X71" s="194"/>
    </row>
    <row r="72" spans="1:24" ht="12.75" customHeight="1">
      <c r="A72" s="2" t="s">
        <v>416</v>
      </c>
      <c r="B72" s="35"/>
      <c r="C72" s="178">
        <v>0</v>
      </c>
      <c r="D72" s="80">
        <f t="shared" si="20"/>
        <v>0</v>
      </c>
      <c r="E72" s="178">
        <v>0</v>
      </c>
      <c r="F72" s="80">
        <f t="shared" si="21"/>
        <v>0</v>
      </c>
      <c r="G72" s="178">
        <v>0</v>
      </c>
      <c r="H72" s="80">
        <f t="shared" si="22"/>
        <v>0</v>
      </c>
      <c r="I72" s="178">
        <v>0</v>
      </c>
      <c r="J72" s="80">
        <f t="shared" si="23"/>
        <v>0</v>
      </c>
      <c r="K72" s="178">
        <v>0</v>
      </c>
      <c r="L72" s="80">
        <f t="shared" si="24"/>
        <v>0</v>
      </c>
      <c r="M72" s="178">
        <v>0</v>
      </c>
      <c r="N72" s="80">
        <f t="shared" si="25"/>
        <v>0</v>
      </c>
      <c r="O72" s="178">
        <v>0</v>
      </c>
      <c r="P72" s="80">
        <f t="shared" si="26"/>
        <v>0</v>
      </c>
      <c r="Q72" s="178">
        <v>0</v>
      </c>
      <c r="R72" s="80">
        <f t="shared" si="27"/>
        <v>0</v>
      </c>
      <c r="S72" s="178">
        <v>0</v>
      </c>
      <c r="T72" s="80">
        <f t="shared" si="28"/>
        <v>0</v>
      </c>
      <c r="U72" s="178">
        <v>0</v>
      </c>
      <c r="V72" s="80">
        <f t="shared" si="30"/>
        <v>0</v>
      </c>
      <c r="X72" s="194"/>
    </row>
    <row r="73" spans="1:24" ht="12.75" customHeight="1">
      <c r="A73" s="2" t="s">
        <v>417</v>
      </c>
      <c r="B73" s="35"/>
      <c r="C73" s="178">
        <v>0</v>
      </c>
      <c r="D73" s="80">
        <f t="shared" si="20"/>
        <v>0</v>
      </c>
      <c r="E73" s="178">
        <v>0</v>
      </c>
      <c r="F73" s="80">
        <f t="shared" si="21"/>
        <v>0</v>
      </c>
      <c r="G73" s="178">
        <v>0</v>
      </c>
      <c r="H73" s="80">
        <f t="shared" si="22"/>
        <v>0</v>
      </c>
      <c r="I73" s="178">
        <v>0</v>
      </c>
      <c r="J73" s="80">
        <f t="shared" si="23"/>
        <v>0</v>
      </c>
      <c r="K73" s="178">
        <v>0</v>
      </c>
      <c r="L73" s="80">
        <f t="shared" si="24"/>
        <v>0</v>
      </c>
      <c r="M73" s="178">
        <v>0</v>
      </c>
      <c r="N73" s="80">
        <f t="shared" si="25"/>
        <v>0</v>
      </c>
      <c r="O73" s="178">
        <v>0</v>
      </c>
      <c r="P73" s="80">
        <f t="shared" si="26"/>
        <v>0</v>
      </c>
      <c r="Q73" s="178">
        <v>0</v>
      </c>
      <c r="R73" s="80">
        <f t="shared" si="27"/>
        <v>0</v>
      </c>
      <c r="S73" s="178">
        <v>0</v>
      </c>
      <c r="T73" s="80">
        <f t="shared" si="28"/>
        <v>0</v>
      </c>
      <c r="U73" s="178">
        <v>0</v>
      </c>
      <c r="V73" s="80">
        <f t="shared" si="30"/>
        <v>0</v>
      </c>
      <c r="X73" s="194"/>
    </row>
    <row r="74" spans="1:24" ht="12.75" customHeight="1">
      <c r="A74" s="2" t="s">
        <v>418</v>
      </c>
      <c r="B74" s="35"/>
      <c r="C74" s="178">
        <v>0</v>
      </c>
      <c r="D74" s="80">
        <f t="shared" si="20"/>
        <v>0</v>
      </c>
      <c r="E74" s="178">
        <v>0</v>
      </c>
      <c r="F74" s="80">
        <f t="shared" si="21"/>
        <v>0</v>
      </c>
      <c r="G74" s="178">
        <v>0</v>
      </c>
      <c r="H74" s="80">
        <f t="shared" si="22"/>
        <v>0</v>
      </c>
      <c r="I74" s="178">
        <v>0</v>
      </c>
      <c r="J74" s="80">
        <f t="shared" si="23"/>
        <v>0</v>
      </c>
      <c r="K74" s="178">
        <v>0</v>
      </c>
      <c r="L74" s="80">
        <f t="shared" si="24"/>
        <v>0</v>
      </c>
      <c r="M74" s="178">
        <v>0</v>
      </c>
      <c r="N74" s="80">
        <f t="shared" si="25"/>
        <v>0</v>
      </c>
      <c r="O74" s="178">
        <v>0</v>
      </c>
      <c r="P74" s="80">
        <f t="shared" si="26"/>
        <v>0</v>
      </c>
      <c r="Q74" s="178">
        <v>0</v>
      </c>
      <c r="R74" s="80">
        <f t="shared" si="27"/>
        <v>0</v>
      </c>
      <c r="S74" s="178">
        <v>0</v>
      </c>
      <c r="T74" s="80">
        <f t="shared" si="28"/>
        <v>0</v>
      </c>
      <c r="U74" s="178">
        <v>0</v>
      </c>
      <c r="V74" s="80">
        <f t="shared" si="30"/>
        <v>0</v>
      </c>
      <c r="X74" s="194"/>
    </row>
    <row r="75" spans="1:24" ht="12.75" customHeight="1">
      <c r="A75" s="2" t="s">
        <v>419</v>
      </c>
      <c r="B75" s="35"/>
      <c r="C75" s="178">
        <v>4368.915</v>
      </c>
      <c r="D75" s="80">
        <f t="shared" si="20"/>
        <v>4.4999999999999997E-3</v>
      </c>
      <c r="E75" s="178">
        <v>4559.7932999999994</v>
      </c>
      <c r="F75" s="80">
        <f t="shared" si="21"/>
        <v>4.4999999999999997E-3</v>
      </c>
      <c r="G75" s="178">
        <v>4758.9891660000003</v>
      </c>
      <c r="H75" s="80">
        <f t="shared" si="22"/>
        <v>4.4999999999999997E-3</v>
      </c>
      <c r="I75" s="178">
        <v>4971.1689493200001</v>
      </c>
      <c r="J75" s="80">
        <f t="shared" si="23"/>
        <v>4.4999999999999997E-3</v>
      </c>
      <c r="K75" s="178">
        <v>5129.0923283064003</v>
      </c>
      <c r="L75" s="80">
        <f t="shared" si="24"/>
        <v>4.4999999999999997E-3</v>
      </c>
      <c r="M75" s="178">
        <v>5231.6741748725281</v>
      </c>
      <c r="N75" s="80">
        <f t="shared" si="25"/>
        <v>4.4999999999999997E-3</v>
      </c>
      <c r="O75" s="178">
        <v>5336.3076583699776</v>
      </c>
      <c r="P75" s="80">
        <f t="shared" si="26"/>
        <v>4.4999999999999988E-3</v>
      </c>
      <c r="Q75" s="178">
        <v>5443.0338115373779</v>
      </c>
      <c r="R75" s="80">
        <f t="shared" si="27"/>
        <v>4.4999999999999997E-3</v>
      </c>
      <c r="S75" s="178">
        <v>5551.8944877681251</v>
      </c>
      <c r="T75" s="80">
        <f t="shared" si="28"/>
        <v>4.4999999999999997E-3</v>
      </c>
      <c r="U75" s="178">
        <v>5662.932377523488</v>
      </c>
      <c r="V75" s="80">
        <f t="shared" si="30"/>
        <v>4.4999999999999997E-3</v>
      </c>
      <c r="X75" s="194"/>
    </row>
    <row r="76" spans="1:24" ht="12.75" customHeight="1">
      <c r="A76" s="2" t="s">
        <v>420</v>
      </c>
      <c r="B76" s="35"/>
      <c r="C76" s="178">
        <v>388.34800000000007</v>
      </c>
      <c r="D76" s="80">
        <f t="shared" si="20"/>
        <v>4.0000000000000007E-4</v>
      </c>
      <c r="E76" s="178">
        <v>405.31496000000004</v>
      </c>
      <c r="F76" s="80">
        <f t="shared" si="21"/>
        <v>4.0000000000000002E-4</v>
      </c>
      <c r="G76" s="178">
        <v>423.02125920000009</v>
      </c>
      <c r="H76" s="80">
        <f t="shared" si="22"/>
        <v>4.0000000000000007E-4</v>
      </c>
      <c r="I76" s="178">
        <v>441.8816843840001</v>
      </c>
      <c r="J76" s="80">
        <f t="shared" si="23"/>
        <v>4.0000000000000007E-4</v>
      </c>
      <c r="K76" s="178">
        <v>455.91931807168004</v>
      </c>
      <c r="L76" s="80">
        <f t="shared" si="24"/>
        <v>3.9999999999999996E-4</v>
      </c>
      <c r="M76" s="178">
        <v>465.03770443311362</v>
      </c>
      <c r="N76" s="80">
        <f t="shared" si="25"/>
        <v>4.0000000000000002E-4</v>
      </c>
      <c r="O76" s="178">
        <v>474.33845852177586</v>
      </c>
      <c r="P76" s="80">
        <f t="shared" si="26"/>
        <v>3.9999999999999996E-4</v>
      </c>
      <c r="Q76" s="178">
        <v>483.82522769221146</v>
      </c>
      <c r="R76" s="80">
        <f t="shared" si="27"/>
        <v>4.0000000000000002E-4</v>
      </c>
      <c r="S76" s="178">
        <v>493.50173224605567</v>
      </c>
      <c r="T76" s="80">
        <f t="shared" si="28"/>
        <v>4.0000000000000002E-4</v>
      </c>
      <c r="U76" s="178">
        <v>503.37176689097674</v>
      </c>
      <c r="V76" s="80">
        <f t="shared" si="30"/>
        <v>3.9999999999999996E-4</v>
      </c>
      <c r="X76" s="194"/>
    </row>
    <row r="77" spans="1:24" ht="12.75" customHeight="1">
      <c r="A77" s="2" t="s">
        <v>421</v>
      </c>
      <c r="B77" s="35"/>
      <c r="C77" s="178">
        <v>1262.1310000000001</v>
      </c>
      <c r="D77" s="80">
        <f t="shared" si="20"/>
        <v>1.3000000000000002E-3</v>
      </c>
      <c r="E77" s="178">
        <v>1317.2736199999999</v>
      </c>
      <c r="F77" s="80">
        <f t="shared" si="21"/>
        <v>1.2999999999999999E-3</v>
      </c>
      <c r="G77" s="178">
        <v>1374.8190924</v>
      </c>
      <c r="H77" s="80">
        <f t="shared" si="22"/>
        <v>1.2999999999999999E-3</v>
      </c>
      <c r="I77" s="178">
        <v>1436.1154742480003</v>
      </c>
      <c r="J77" s="80">
        <f t="shared" si="23"/>
        <v>1.3000000000000002E-3</v>
      </c>
      <c r="K77" s="178">
        <v>1481.73778373296</v>
      </c>
      <c r="L77" s="80">
        <f t="shared" si="24"/>
        <v>1.2999999999999999E-3</v>
      </c>
      <c r="M77" s="178">
        <v>1511.3725394076193</v>
      </c>
      <c r="N77" s="80">
        <f t="shared" si="25"/>
        <v>1.3000000000000002E-3</v>
      </c>
      <c r="O77" s="178">
        <v>1541.5999901957714</v>
      </c>
      <c r="P77" s="80">
        <f t="shared" si="26"/>
        <v>1.2999999999999997E-3</v>
      </c>
      <c r="Q77" s="178">
        <v>1572.4319899996867</v>
      </c>
      <c r="R77" s="80">
        <f t="shared" si="27"/>
        <v>1.2999999999999997E-3</v>
      </c>
      <c r="S77" s="178">
        <v>1603.8806297996807</v>
      </c>
      <c r="T77" s="80">
        <f t="shared" si="28"/>
        <v>1.2999999999999999E-3</v>
      </c>
      <c r="U77" s="178">
        <v>1635.9582423956745</v>
      </c>
      <c r="V77" s="80">
        <f t="shared" si="30"/>
        <v>1.2999999999999999E-3</v>
      </c>
      <c r="X77" s="194"/>
    </row>
    <row r="78" spans="1:24" ht="12.75" customHeight="1">
      <c r="A78" s="2" t="s">
        <v>422</v>
      </c>
      <c r="B78" s="35"/>
      <c r="C78" s="178">
        <v>21359.14</v>
      </c>
      <c r="D78" s="80">
        <f t="shared" si="20"/>
        <v>2.1999999999999999E-2</v>
      </c>
      <c r="E78" s="178">
        <v>22292.322799999998</v>
      </c>
      <c r="F78" s="80">
        <f t="shared" si="21"/>
        <v>2.1999999999999999E-2</v>
      </c>
      <c r="G78" s="178">
        <v>23266.169256000001</v>
      </c>
      <c r="H78" s="80">
        <f t="shared" si="22"/>
        <v>2.1999999999999999E-2</v>
      </c>
      <c r="I78" s="178">
        <v>24303.492641119999</v>
      </c>
      <c r="J78" s="80">
        <f t="shared" si="23"/>
        <v>2.1999999999999999E-2</v>
      </c>
      <c r="K78" s="178">
        <v>25075.562493942401</v>
      </c>
      <c r="L78" s="80">
        <f t="shared" si="24"/>
        <v>2.1999999999999999E-2</v>
      </c>
      <c r="M78" s="178">
        <v>25577.073743821249</v>
      </c>
      <c r="N78" s="80">
        <f t="shared" si="25"/>
        <v>2.1999999999999999E-2</v>
      </c>
      <c r="O78" s="178">
        <v>26088.615218697669</v>
      </c>
      <c r="P78" s="80">
        <f t="shared" si="26"/>
        <v>2.1999999999999995E-2</v>
      </c>
      <c r="Q78" s="178">
        <v>26610.387523071622</v>
      </c>
      <c r="R78" s="80">
        <f t="shared" si="27"/>
        <v>2.1999999999999995E-2</v>
      </c>
      <c r="S78" s="178">
        <v>27142.595273533061</v>
      </c>
      <c r="T78" s="80">
        <f t="shared" si="28"/>
        <v>2.2000000000000002E-2</v>
      </c>
      <c r="U78" s="178">
        <v>27685.447179003721</v>
      </c>
      <c r="V78" s="80">
        <f t="shared" si="30"/>
        <v>2.1999999999999999E-2</v>
      </c>
      <c r="X78" s="194"/>
    </row>
    <row r="79" spans="1:24" ht="12.75" customHeight="1">
      <c r="A79" s="2" t="s">
        <v>423</v>
      </c>
      <c r="B79" s="35"/>
      <c r="C79" s="178">
        <v>0</v>
      </c>
      <c r="D79" s="80">
        <f t="shared" si="20"/>
        <v>0</v>
      </c>
      <c r="E79" s="178">
        <v>0</v>
      </c>
      <c r="F79" s="80">
        <f t="shared" si="21"/>
        <v>0</v>
      </c>
      <c r="G79" s="178">
        <v>0</v>
      </c>
      <c r="H79" s="80">
        <f t="shared" si="22"/>
        <v>0</v>
      </c>
      <c r="I79" s="178">
        <v>0</v>
      </c>
      <c r="J79" s="80">
        <f t="shared" si="23"/>
        <v>0</v>
      </c>
      <c r="K79" s="178">
        <v>0</v>
      </c>
      <c r="L79" s="80">
        <f t="shared" si="24"/>
        <v>0</v>
      </c>
      <c r="M79" s="178">
        <v>0</v>
      </c>
      <c r="N79" s="80">
        <f t="shared" si="25"/>
        <v>0</v>
      </c>
      <c r="O79" s="178">
        <v>0</v>
      </c>
      <c r="P79" s="80">
        <f t="shared" si="26"/>
        <v>0</v>
      </c>
      <c r="Q79" s="178">
        <v>0</v>
      </c>
      <c r="R79" s="80">
        <f t="shared" si="27"/>
        <v>0</v>
      </c>
      <c r="S79" s="178">
        <v>0</v>
      </c>
      <c r="T79" s="80">
        <f t="shared" si="28"/>
        <v>0</v>
      </c>
      <c r="U79" s="178">
        <v>0</v>
      </c>
      <c r="V79" s="80">
        <f t="shared" si="30"/>
        <v>0</v>
      </c>
      <c r="X79" s="194"/>
    </row>
    <row r="80" spans="1:24" ht="12.75" customHeight="1">
      <c r="A80" s="2" t="s">
        <v>424</v>
      </c>
      <c r="B80" s="35"/>
      <c r="C80" s="178">
        <v>0</v>
      </c>
      <c r="D80" s="80">
        <f t="shared" si="20"/>
        <v>0</v>
      </c>
      <c r="E80" s="178">
        <v>0</v>
      </c>
      <c r="F80" s="80">
        <f t="shared" si="21"/>
        <v>0</v>
      </c>
      <c r="G80" s="178">
        <v>0</v>
      </c>
      <c r="H80" s="80">
        <f t="shared" si="22"/>
        <v>0</v>
      </c>
      <c r="I80" s="178">
        <v>0</v>
      </c>
      <c r="J80" s="80">
        <f t="shared" si="23"/>
        <v>0</v>
      </c>
      <c r="K80" s="178">
        <v>0</v>
      </c>
      <c r="L80" s="80">
        <f t="shared" si="24"/>
        <v>0</v>
      </c>
      <c r="M80" s="178">
        <v>0</v>
      </c>
      <c r="N80" s="80">
        <f t="shared" si="25"/>
        <v>0</v>
      </c>
      <c r="O80" s="178">
        <v>0</v>
      </c>
      <c r="P80" s="80">
        <f t="shared" si="26"/>
        <v>0</v>
      </c>
      <c r="Q80" s="178">
        <v>0</v>
      </c>
      <c r="R80" s="80">
        <f t="shared" si="27"/>
        <v>0</v>
      </c>
      <c r="S80" s="178">
        <v>0</v>
      </c>
      <c r="T80" s="80">
        <f t="shared" si="28"/>
        <v>0</v>
      </c>
      <c r="U80" s="178">
        <v>0</v>
      </c>
      <c r="V80" s="80">
        <f t="shared" si="30"/>
        <v>0</v>
      </c>
      <c r="X80" s="194"/>
    </row>
    <row r="81" spans="1:24" ht="12.75" customHeight="1">
      <c r="A81" s="2" t="s">
        <v>425</v>
      </c>
      <c r="B81" s="35"/>
      <c r="C81" s="178">
        <v>0</v>
      </c>
      <c r="D81" s="80">
        <f t="shared" si="20"/>
        <v>0</v>
      </c>
      <c r="E81" s="178">
        <v>0</v>
      </c>
      <c r="F81" s="80">
        <f t="shared" si="21"/>
        <v>0</v>
      </c>
      <c r="G81" s="178">
        <v>0</v>
      </c>
      <c r="H81" s="80">
        <f t="shared" si="22"/>
        <v>0</v>
      </c>
      <c r="I81" s="178">
        <v>0</v>
      </c>
      <c r="J81" s="80">
        <f t="shared" si="23"/>
        <v>0</v>
      </c>
      <c r="K81" s="178">
        <v>0</v>
      </c>
      <c r="L81" s="80">
        <f t="shared" si="24"/>
        <v>0</v>
      </c>
      <c r="M81" s="178">
        <v>0</v>
      </c>
      <c r="N81" s="80">
        <f t="shared" si="25"/>
        <v>0</v>
      </c>
      <c r="O81" s="178">
        <v>0</v>
      </c>
      <c r="P81" s="80">
        <f t="shared" si="26"/>
        <v>0</v>
      </c>
      <c r="Q81" s="178">
        <v>0</v>
      </c>
      <c r="R81" s="80">
        <f t="shared" si="27"/>
        <v>0</v>
      </c>
      <c r="S81" s="178">
        <v>0</v>
      </c>
      <c r="T81" s="80">
        <f t="shared" si="28"/>
        <v>0</v>
      </c>
      <c r="U81" s="178">
        <v>0</v>
      </c>
      <c r="V81" s="80">
        <f t="shared" si="30"/>
        <v>0</v>
      </c>
      <c r="X81" s="194"/>
    </row>
    <row r="82" spans="1:24" ht="12.75" customHeight="1">
      <c r="A82" s="2" t="s">
        <v>426</v>
      </c>
      <c r="B82" s="35"/>
      <c r="C82" s="178">
        <v>0</v>
      </c>
      <c r="D82" s="80">
        <f t="shared" si="20"/>
        <v>0</v>
      </c>
      <c r="E82" s="178">
        <v>0</v>
      </c>
      <c r="F82" s="80">
        <f t="shared" si="21"/>
        <v>0</v>
      </c>
      <c r="G82" s="178">
        <v>0</v>
      </c>
      <c r="H82" s="80">
        <f t="shared" si="22"/>
        <v>0</v>
      </c>
      <c r="I82" s="178">
        <v>0</v>
      </c>
      <c r="J82" s="80">
        <f t="shared" si="23"/>
        <v>0</v>
      </c>
      <c r="K82" s="178">
        <v>0</v>
      </c>
      <c r="L82" s="80">
        <f t="shared" si="24"/>
        <v>0</v>
      </c>
      <c r="M82" s="178">
        <v>0</v>
      </c>
      <c r="N82" s="80">
        <f t="shared" si="25"/>
        <v>0</v>
      </c>
      <c r="O82" s="178">
        <v>0</v>
      </c>
      <c r="P82" s="80">
        <f t="shared" si="26"/>
        <v>0</v>
      </c>
      <c r="Q82" s="178">
        <v>0</v>
      </c>
      <c r="R82" s="80">
        <f t="shared" si="27"/>
        <v>0</v>
      </c>
      <c r="S82" s="178">
        <v>0</v>
      </c>
      <c r="T82" s="80">
        <f t="shared" si="28"/>
        <v>0</v>
      </c>
      <c r="U82" s="178">
        <v>0</v>
      </c>
      <c r="V82" s="80">
        <f t="shared" si="30"/>
        <v>0</v>
      </c>
      <c r="X82" s="194"/>
    </row>
    <row r="83" spans="1:24" ht="12.75" customHeight="1">
      <c r="A83" s="2" t="s">
        <v>427</v>
      </c>
      <c r="B83" s="35"/>
      <c r="C83" s="178">
        <v>0</v>
      </c>
      <c r="D83" s="80">
        <f t="shared" si="20"/>
        <v>0</v>
      </c>
      <c r="E83" s="178">
        <v>0</v>
      </c>
      <c r="F83" s="80">
        <f t="shared" si="21"/>
        <v>0</v>
      </c>
      <c r="G83" s="178">
        <v>0</v>
      </c>
      <c r="H83" s="80">
        <f t="shared" si="22"/>
        <v>0</v>
      </c>
      <c r="I83" s="178">
        <v>0</v>
      </c>
      <c r="J83" s="80">
        <f t="shared" si="23"/>
        <v>0</v>
      </c>
      <c r="K83" s="178">
        <v>0</v>
      </c>
      <c r="L83" s="80">
        <f t="shared" si="24"/>
        <v>0</v>
      </c>
      <c r="M83" s="178">
        <v>0</v>
      </c>
      <c r="N83" s="80">
        <f t="shared" si="25"/>
        <v>0</v>
      </c>
      <c r="O83" s="178">
        <v>0</v>
      </c>
      <c r="P83" s="80">
        <f t="shared" si="26"/>
        <v>0</v>
      </c>
      <c r="Q83" s="178">
        <v>0</v>
      </c>
      <c r="R83" s="80">
        <f t="shared" si="27"/>
        <v>0</v>
      </c>
      <c r="S83" s="178">
        <v>0</v>
      </c>
      <c r="T83" s="80">
        <f t="shared" si="28"/>
        <v>0</v>
      </c>
      <c r="U83" s="178">
        <v>0</v>
      </c>
      <c r="V83" s="80">
        <f t="shared" si="30"/>
        <v>0</v>
      </c>
      <c r="X83" s="194"/>
    </row>
    <row r="84" spans="1:24" ht="12.75" customHeight="1">
      <c r="A84" s="2" t="s">
        <v>428</v>
      </c>
      <c r="B84" s="35"/>
      <c r="C84" s="178">
        <v>0</v>
      </c>
      <c r="D84" s="80">
        <f t="shared" si="20"/>
        <v>0</v>
      </c>
      <c r="E84" s="178">
        <v>0</v>
      </c>
      <c r="F84" s="80">
        <f t="shared" si="21"/>
        <v>0</v>
      </c>
      <c r="G84" s="178">
        <v>0</v>
      </c>
      <c r="H84" s="80">
        <f t="shared" si="22"/>
        <v>0</v>
      </c>
      <c r="I84" s="178">
        <v>0</v>
      </c>
      <c r="J84" s="80">
        <f t="shared" si="23"/>
        <v>0</v>
      </c>
      <c r="K84" s="178">
        <v>0</v>
      </c>
      <c r="L84" s="80">
        <f t="shared" si="24"/>
        <v>0</v>
      </c>
      <c r="M84" s="178">
        <v>0</v>
      </c>
      <c r="N84" s="80">
        <f t="shared" si="25"/>
        <v>0</v>
      </c>
      <c r="O84" s="178">
        <v>0</v>
      </c>
      <c r="P84" s="80">
        <f t="shared" si="26"/>
        <v>0</v>
      </c>
      <c r="Q84" s="178">
        <v>0</v>
      </c>
      <c r="R84" s="80">
        <f t="shared" si="27"/>
        <v>0</v>
      </c>
      <c r="S84" s="178">
        <v>0</v>
      </c>
      <c r="T84" s="80">
        <f t="shared" si="28"/>
        <v>0</v>
      </c>
      <c r="U84" s="178">
        <v>0</v>
      </c>
      <c r="V84" s="80">
        <f t="shared" si="30"/>
        <v>0</v>
      </c>
      <c r="X84" s="194"/>
    </row>
    <row r="85" spans="1:24" ht="12.75" customHeight="1">
      <c r="A85" s="2" t="s">
        <v>429</v>
      </c>
      <c r="B85" s="35"/>
      <c r="C85" s="178">
        <v>0</v>
      </c>
      <c r="D85" s="80">
        <f t="shared" si="20"/>
        <v>0</v>
      </c>
      <c r="E85" s="178">
        <v>0</v>
      </c>
      <c r="F85" s="80">
        <f t="shared" si="21"/>
        <v>0</v>
      </c>
      <c r="G85" s="178">
        <v>0</v>
      </c>
      <c r="H85" s="80">
        <f t="shared" si="22"/>
        <v>0</v>
      </c>
      <c r="I85" s="178">
        <v>0</v>
      </c>
      <c r="J85" s="80">
        <f t="shared" si="23"/>
        <v>0</v>
      </c>
      <c r="K85" s="178">
        <v>0</v>
      </c>
      <c r="L85" s="80">
        <f t="shared" si="24"/>
        <v>0</v>
      </c>
      <c r="M85" s="178">
        <v>0</v>
      </c>
      <c r="N85" s="80">
        <f t="shared" si="25"/>
        <v>0</v>
      </c>
      <c r="O85" s="178">
        <v>0</v>
      </c>
      <c r="P85" s="80">
        <f t="shared" si="26"/>
        <v>0</v>
      </c>
      <c r="Q85" s="178">
        <v>0</v>
      </c>
      <c r="R85" s="80">
        <f t="shared" si="27"/>
        <v>0</v>
      </c>
      <c r="S85" s="178">
        <v>0</v>
      </c>
      <c r="T85" s="80">
        <f t="shared" si="28"/>
        <v>0</v>
      </c>
      <c r="U85" s="178">
        <v>0</v>
      </c>
      <c r="V85" s="80">
        <f t="shared" si="30"/>
        <v>0</v>
      </c>
      <c r="X85" s="194"/>
    </row>
    <row r="86" spans="1:24" ht="12.75" customHeight="1">
      <c r="A86" s="2" t="s">
        <v>430</v>
      </c>
      <c r="B86" s="35"/>
      <c r="C86" s="178">
        <v>3883.4800000000005</v>
      </c>
      <c r="D86" s="80">
        <f t="shared" si="20"/>
        <v>4.0000000000000001E-3</v>
      </c>
      <c r="E86" s="178">
        <v>4053.1496000000002</v>
      </c>
      <c r="F86" s="80">
        <f t="shared" si="21"/>
        <v>4.0000000000000001E-3</v>
      </c>
      <c r="G86" s="178">
        <v>4230.2125920000008</v>
      </c>
      <c r="H86" s="80">
        <f t="shared" si="22"/>
        <v>4.000000000000001E-3</v>
      </c>
      <c r="I86" s="178">
        <v>4418.8168438400007</v>
      </c>
      <c r="J86" s="80">
        <f t="shared" si="23"/>
        <v>4.0000000000000001E-3</v>
      </c>
      <c r="K86" s="178">
        <v>4559.1931807168003</v>
      </c>
      <c r="L86" s="80">
        <f t="shared" si="24"/>
        <v>4.0000000000000001E-3</v>
      </c>
      <c r="M86" s="178">
        <v>4650.3770443311359</v>
      </c>
      <c r="N86" s="80">
        <f t="shared" si="25"/>
        <v>4.0000000000000001E-3</v>
      </c>
      <c r="O86" s="178">
        <v>4743.3845852177583</v>
      </c>
      <c r="P86" s="80">
        <f t="shared" si="26"/>
        <v>3.9999999999999992E-3</v>
      </c>
      <c r="Q86" s="178">
        <v>4838.2522769221141</v>
      </c>
      <c r="R86" s="80">
        <f t="shared" si="27"/>
        <v>4.0000000000000001E-3</v>
      </c>
      <c r="S86" s="178">
        <v>4935.017322460556</v>
      </c>
      <c r="T86" s="80">
        <f t="shared" si="28"/>
        <v>4.0000000000000001E-3</v>
      </c>
      <c r="U86" s="178">
        <v>5033.7176689097669</v>
      </c>
      <c r="V86" s="80">
        <f t="shared" si="30"/>
        <v>3.9999999999999992E-3</v>
      </c>
      <c r="X86" s="194"/>
    </row>
    <row r="87" spans="1:24" ht="12.75" customHeight="1">
      <c r="A87" s="2" t="s">
        <v>431</v>
      </c>
      <c r="B87" s="35"/>
      <c r="C87" s="178">
        <v>0</v>
      </c>
      <c r="D87" s="80">
        <f t="shared" si="20"/>
        <v>0</v>
      </c>
      <c r="E87" s="178">
        <v>0</v>
      </c>
      <c r="F87" s="80">
        <f t="shared" si="21"/>
        <v>0</v>
      </c>
      <c r="G87" s="178">
        <v>0</v>
      </c>
      <c r="H87" s="80">
        <f t="shared" si="22"/>
        <v>0</v>
      </c>
      <c r="I87" s="178">
        <v>0</v>
      </c>
      <c r="J87" s="80">
        <f t="shared" si="23"/>
        <v>0</v>
      </c>
      <c r="K87" s="178">
        <v>0</v>
      </c>
      <c r="L87" s="80">
        <f t="shared" si="24"/>
        <v>0</v>
      </c>
      <c r="M87" s="178">
        <v>0</v>
      </c>
      <c r="N87" s="80">
        <f t="shared" si="25"/>
        <v>0</v>
      </c>
      <c r="O87" s="178">
        <v>0</v>
      </c>
      <c r="P87" s="80">
        <f t="shared" si="26"/>
        <v>0</v>
      </c>
      <c r="Q87" s="178">
        <v>0</v>
      </c>
      <c r="R87" s="80">
        <f t="shared" si="27"/>
        <v>0</v>
      </c>
      <c r="S87" s="178">
        <v>0</v>
      </c>
      <c r="T87" s="80">
        <f t="shared" si="28"/>
        <v>0</v>
      </c>
      <c r="U87" s="178">
        <v>0</v>
      </c>
      <c r="V87" s="80">
        <f t="shared" si="30"/>
        <v>0</v>
      </c>
      <c r="X87" s="194"/>
    </row>
    <row r="88" spans="1:24" ht="12.75" customHeight="1">
      <c r="A88" s="2" t="s">
        <v>432</v>
      </c>
      <c r="B88" s="35"/>
      <c r="C88" s="178">
        <v>4951.4370000000008</v>
      </c>
      <c r="D88" s="80">
        <f t="shared" si="20"/>
        <v>5.1000000000000012E-3</v>
      </c>
      <c r="E88" s="178">
        <v>5167.7657399999998</v>
      </c>
      <c r="F88" s="80">
        <f t="shared" si="21"/>
        <v>5.0999999999999995E-3</v>
      </c>
      <c r="G88" s="178">
        <v>5393.5210548000014</v>
      </c>
      <c r="H88" s="80">
        <f t="shared" si="22"/>
        <v>5.1000000000000012E-3</v>
      </c>
      <c r="I88" s="178">
        <v>5633.9914758960012</v>
      </c>
      <c r="J88" s="80">
        <f t="shared" si="23"/>
        <v>5.1000000000000012E-3</v>
      </c>
      <c r="K88" s="178">
        <v>5812.9713054139211</v>
      </c>
      <c r="L88" s="80">
        <f t="shared" si="24"/>
        <v>5.1000000000000004E-3</v>
      </c>
      <c r="M88" s="178">
        <v>5929.2307315221988</v>
      </c>
      <c r="N88" s="80">
        <f t="shared" si="25"/>
        <v>5.1000000000000004E-3</v>
      </c>
      <c r="O88" s="178">
        <v>6047.8153461526417</v>
      </c>
      <c r="P88" s="80">
        <f t="shared" si="26"/>
        <v>5.0999999999999995E-3</v>
      </c>
      <c r="Q88" s="178">
        <v>6168.7716530756952</v>
      </c>
      <c r="R88" s="80">
        <f t="shared" si="27"/>
        <v>5.0999999999999995E-3</v>
      </c>
      <c r="S88" s="178">
        <v>6292.147086137209</v>
      </c>
      <c r="T88" s="80">
        <f t="shared" si="28"/>
        <v>5.0999999999999995E-3</v>
      </c>
      <c r="U88" s="178">
        <v>6417.9900278599534</v>
      </c>
      <c r="V88" s="80">
        <f t="shared" si="30"/>
        <v>5.0999999999999995E-3</v>
      </c>
      <c r="X88" s="194"/>
    </row>
    <row r="89" spans="1:24" ht="12.75" customHeight="1">
      <c r="A89" s="2" t="s">
        <v>433</v>
      </c>
      <c r="B89" s="35"/>
      <c r="C89" s="178">
        <v>0</v>
      </c>
      <c r="D89" s="80">
        <f t="shared" si="20"/>
        <v>0</v>
      </c>
      <c r="E89" s="178">
        <v>0</v>
      </c>
      <c r="F89" s="80">
        <f t="shared" si="21"/>
        <v>0</v>
      </c>
      <c r="G89" s="178">
        <v>0</v>
      </c>
      <c r="H89" s="80">
        <f t="shared" si="22"/>
        <v>0</v>
      </c>
      <c r="I89" s="178">
        <v>0</v>
      </c>
      <c r="J89" s="80">
        <f t="shared" si="23"/>
        <v>0</v>
      </c>
      <c r="K89" s="178">
        <v>0</v>
      </c>
      <c r="L89" s="80">
        <f t="shared" si="24"/>
        <v>0</v>
      </c>
      <c r="M89" s="178">
        <v>0</v>
      </c>
      <c r="N89" s="80">
        <f t="shared" si="25"/>
        <v>0</v>
      </c>
      <c r="O89" s="178">
        <v>0</v>
      </c>
      <c r="P89" s="80">
        <f t="shared" si="26"/>
        <v>0</v>
      </c>
      <c r="Q89" s="178">
        <v>0</v>
      </c>
      <c r="R89" s="80">
        <f t="shared" si="27"/>
        <v>0</v>
      </c>
      <c r="S89" s="178">
        <v>0</v>
      </c>
      <c r="T89" s="80">
        <f t="shared" si="28"/>
        <v>0</v>
      </c>
      <c r="U89" s="178">
        <v>0</v>
      </c>
      <c r="V89" s="80">
        <f t="shared" si="30"/>
        <v>0</v>
      </c>
      <c r="X89" s="194"/>
    </row>
    <row r="90" spans="1:24" ht="12.75" customHeight="1">
      <c r="A90" s="2" t="s">
        <v>434</v>
      </c>
      <c r="B90" s="35"/>
      <c r="C90" s="178">
        <v>194.17400000000004</v>
      </c>
      <c r="D90" s="80">
        <f t="shared" si="20"/>
        <v>2.0000000000000004E-4</v>
      </c>
      <c r="E90" s="178">
        <v>202.65748000000002</v>
      </c>
      <c r="F90" s="80">
        <f t="shared" si="21"/>
        <v>2.0000000000000001E-4</v>
      </c>
      <c r="G90" s="178">
        <v>211.51062960000004</v>
      </c>
      <c r="H90" s="80">
        <f t="shared" si="22"/>
        <v>2.0000000000000004E-4</v>
      </c>
      <c r="I90" s="178">
        <v>220.94084219200005</v>
      </c>
      <c r="J90" s="80">
        <f t="shared" si="23"/>
        <v>2.0000000000000004E-4</v>
      </c>
      <c r="K90" s="178">
        <v>227.95965903584002</v>
      </c>
      <c r="L90" s="80">
        <f t="shared" si="24"/>
        <v>1.9999999999999998E-4</v>
      </c>
      <c r="M90" s="178">
        <v>232.51885221655681</v>
      </c>
      <c r="N90" s="80">
        <f t="shared" si="25"/>
        <v>2.0000000000000001E-4</v>
      </c>
      <c r="O90" s="178">
        <v>237.16922926088793</v>
      </c>
      <c r="P90" s="80">
        <f t="shared" si="26"/>
        <v>1.9999999999999998E-4</v>
      </c>
      <c r="Q90" s="178">
        <v>241.91261384610573</v>
      </c>
      <c r="R90" s="80">
        <f t="shared" si="27"/>
        <v>2.0000000000000001E-4</v>
      </c>
      <c r="S90" s="178">
        <v>246.75086612302783</v>
      </c>
      <c r="T90" s="80">
        <f t="shared" si="28"/>
        <v>2.0000000000000001E-4</v>
      </c>
      <c r="U90" s="178">
        <v>251.68588344548837</v>
      </c>
      <c r="V90" s="80">
        <f t="shared" si="30"/>
        <v>1.9999999999999998E-4</v>
      </c>
      <c r="X90" s="194"/>
    </row>
    <row r="91" spans="1:24" ht="12.75" customHeight="1">
      <c r="A91" s="2" t="s">
        <v>435</v>
      </c>
      <c r="C91" s="178">
        <v>0</v>
      </c>
      <c r="D91" s="80">
        <f t="shared" si="20"/>
        <v>0</v>
      </c>
      <c r="E91" s="178">
        <v>0</v>
      </c>
      <c r="F91" s="80">
        <f t="shared" si="21"/>
        <v>0</v>
      </c>
      <c r="G91" s="178">
        <v>0</v>
      </c>
      <c r="H91" s="80">
        <f t="shared" si="22"/>
        <v>0</v>
      </c>
      <c r="I91" s="178">
        <v>0</v>
      </c>
      <c r="J91" s="80">
        <f t="shared" si="23"/>
        <v>0</v>
      </c>
      <c r="K91" s="178">
        <v>0</v>
      </c>
      <c r="L91" s="80">
        <f t="shared" si="24"/>
        <v>0</v>
      </c>
      <c r="M91" s="178">
        <v>0</v>
      </c>
      <c r="N91" s="80">
        <f t="shared" si="25"/>
        <v>0</v>
      </c>
      <c r="O91" s="178">
        <v>0</v>
      </c>
      <c r="P91" s="80">
        <f t="shared" si="26"/>
        <v>0</v>
      </c>
      <c r="Q91" s="178">
        <v>0</v>
      </c>
      <c r="R91" s="80">
        <f t="shared" si="27"/>
        <v>0</v>
      </c>
      <c r="S91" s="178">
        <v>0</v>
      </c>
      <c r="T91" s="80">
        <f t="shared" si="28"/>
        <v>0</v>
      </c>
      <c r="U91" s="178">
        <v>0</v>
      </c>
      <c r="V91" s="80">
        <f t="shared" si="30"/>
        <v>0</v>
      </c>
      <c r="X91" s="194"/>
    </row>
    <row r="92" spans="1:24" ht="12.75" customHeight="1">
      <c r="A92" s="2" t="s">
        <v>436</v>
      </c>
      <c r="B92" s="35"/>
      <c r="C92" s="178">
        <v>5048.5240000000003</v>
      </c>
      <c r="D92" s="80">
        <f t="shared" si="20"/>
        <v>5.2000000000000006E-3</v>
      </c>
      <c r="E92" s="178">
        <v>5269.0944799999997</v>
      </c>
      <c r="F92" s="80">
        <f t="shared" si="21"/>
        <v>5.1999999999999998E-3</v>
      </c>
      <c r="G92" s="178">
        <v>5499.2763696000002</v>
      </c>
      <c r="H92" s="80">
        <f t="shared" si="22"/>
        <v>5.1999999999999998E-3</v>
      </c>
      <c r="I92" s="178">
        <v>5744.4618969920011</v>
      </c>
      <c r="J92" s="80">
        <f t="shared" si="23"/>
        <v>5.2000000000000006E-3</v>
      </c>
      <c r="K92" s="178">
        <v>5926.95113493184</v>
      </c>
      <c r="L92" s="80">
        <f t="shared" si="24"/>
        <v>5.1999999999999998E-3</v>
      </c>
      <c r="M92" s="178">
        <v>6045.4901576304774</v>
      </c>
      <c r="N92" s="80">
        <f t="shared" si="25"/>
        <v>5.2000000000000006E-3</v>
      </c>
      <c r="O92" s="178">
        <v>6166.3999607830856</v>
      </c>
      <c r="P92" s="80">
        <f t="shared" si="26"/>
        <v>5.1999999999999989E-3</v>
      </c>
      <c r="Q92" s="178">
        <v>6289.7279599987469</v>
      </c>
      <c r="R92" s="80">
        <f t="shared" si="27"/>
        <v>5.1999999999999989E-3</v>
      </c>
      <c r="S92" s="178">
        <v>6415.5225191987229</v>
      </c>
      <c r="T92" s="80">
        <f t="shared" si="28"/>
        <v>5.1999999999999998E-3</v>
      </c>
      <c r="U92" s="178">
        <v>6543.8329695826978</v>
      </c>
      <c r="V92" s="80">
        <f t="shared" si="30"/>
        <v>5.1999999999999998E-3</v>
      </c>
      <c r="X92" s="194"/>
    </row>
    <row r="93" spans="1:24" ht="12.75" customHeight="1">
      <c r="A93" s="2" t="s">
        <v>437</v>
      </c>
      <c r="B93" s="35"/>
      <c r="C93" s="178">
        <v>0</v>
      </c>
      <c r="D93" s="80">
        <f t="shared" si="20"/>
        <v>0</v>
      </c>
      <c r="E93" s="178">
        <v>0</v>
      </c>
      <c r="F93" s="80">
        <f t="shared" si="21"/>
        <v>0</v>
      </c>
      <c r="G93" s="178">
        <v>0</v>
      </c>
      <c r="H93" s="80">
        <f t="shared" si="22"/>
        <v>0</v>
      </c>
      <c r="I93" s="178">
        <v>0</v>
      </c>
      <c r="J93" s="80">
        <f t="shared" si="23"/>
        <v>0</v>
      </c>
      <c r="K93" s="178">
        <v>0</v>
      </c>
      <c r="L93" s="80">
        <f t="shared" si="24"/>
        <v>0</v>
      </c>
      <c r="M93" s="178">
        <v>0</v>
      </c>
      <c r="N93" s="80">
        <f t="shared" si="25"/>
        <v>0</v>
      </c>
      <c r="O93" s="178">
        <v>0</v>
      </c>
      <c r="P93" s="80">
        <f t="shared" si="26"/>
        <v>0</v>
      </c>
      <c r="Q93" s="178">
        <v>0</v>
      </c>
      <c r="R93" s="80">
        <f t="shared" si="27"/>
        <v>0</v>
      </c>
      <c r="S93" s="178">
        <v>0</v>
      </c>
      <c r="T93" s="80">
        <f t="shared" si="28"/>
        <v>0</v>
      </c>
      <c r="U93" s="178">
        <v>0</v>
      </c>
      <c r="V93" s="80">
        <f t="shared" si="30"/>
        <v>0</v>
      </c>
      <c r="X93" s="194"/>
    </row>
    <row r="94" spans="1:24" ht="12.75" customHeight="1">
      <c r="A94" s="2" t="s">
        <v>438</v>
      </c>
      <c r="B94" s="35"/>
      <c r="C94" s="178">
        <v>0</v>
      </c>
      <c r="D94" s="80">
        <f t="shared" si="20"/>
        <v>0</v>
      </c>
      <c r="E94" s="178">
        <v>0</v>
      </c>
      <c r="F94" s="80">
        <f t="shared" si="21"/>
        <v>0</v>
      </c>
      <c r="G94" s="178">
        <v>0</v>
      </c>
      <c r="H94" s="80">
        <f t="shared" si="22"/>
        <v>0</v>
      </c>
      <c r="I94" s="178">
        <v>0</v>
      </c>
      <c r="J94" s="80">
        <f t="shared" si="23"/>
        <v>0</v>
      </c>
      <c r="K94" s="178">
        <v>0</v>
      </c>
      <c r="L94" s="80">
        <f t="shared" si="24"/>
        <v>0</v>
      </c>
      <c r="M94" s="178">
        <v>0</v>
      </c>
      <c r="N94" s="80">
        <f t="shared" si="25"/>
        <v>0</v>
      </c>
      <c r="O94" s="178">
        <v>0</v>
      </c>
      <c r="P94" s="80">
        <f t="shared" si="26"/>
        <v>0</v>
      </c>
      <c r="Q94" s="178">
        <v>0</v>
      </c>
      <c r="R94" s="80">
        <f t="shared" si="27"/>
        <v>0</v>
      </c>
      <c r="S94" s="178">
        <v>0</v>
      </c>
      <c r="T94" s="80">
        <f t="shared" si="28"/>
        <v>0</v>
      </c>
      <c r="U94" s="178">
        <v>0</v>
      </c>
      <c r="V94" s="80">
        <f t="shared" si="30"/>
        <v>0</v>
      </c>
      <c r="X94" s="194"/>
    </row>
    <row r="95" spans="1:24" ht="12.75" customHeight="1">
      <c r="A95" s="2" t="s">
        <v>439</v>
      </c>
      <c r="B95" s="35"/>
      <c r="C95" s="178">
        <v>0</v>
      </c>
      <c r="D95" s="80">
        <f t="shared" si="20"/>
        <v>0</v>
      </c>
      <c r="E95" s="178">
        <v>0</v>
      </c>
      <c r="F95" s="80">
        <f t="shared" si="21"/>
        <v>0</v>
      </c>
      <c r="G95" s="178">
        <v>0</v>
      </c>
      <c r="H95" s="80">
        <f t="shared" si="22"/>
        <v>0</v>
      </c>
      <c r="I95" s="178">
        <v>0</v>
      </c>
      <c r="J95" s="80">
        <f t="shared" si="23"/>
        <v>0</v>
      </c>
      <c r="K95" s="178">
        <v>0</v>
      </c>
      <c r="L95" s="80">
        <f t="shared" si="24"/>
        <v>0</v>
      </c>
      <c r="M95" s="178">
        <v>0</v>
      </c>
      <c r="N95" s="80">
        <f t="shared" si="25"/>
        <v>0</v>
      </c>
      <c r="O95" s="178">
        <v>0</v>
      </c>
      <c r="P95" s="80">
        <f t="shared" si="26"/>
        <v>0</v>
      </c>
      <c r="Q95" s="178">
        <v>0</v>
      </c>
      <c r="R95" s="80">
        <f t="shared" si="27"/>
        <v>0</v>
      </c>
      <c r="S95" s="178">
        <v>0</v>
      </c>
      <c r="T95" s="80">
        <f t="shared" si="28"/>
        <v>0</v>
      </c>
      <c r="U95" s="178">
        <v>0</v>
      </c>
      <c r="V95" s="80">
        <f t="shared" si="30"/>
        <v>0</v>
      </c>
      <c r="X95" s="194"/>
    </row>
    <row r="96" spans="1:24" ht="12.75" customHeight="1">
      <c r="A96" s="2" t="s">
        <v>440</v>
      </c>
      <c r="B96" s="35"/>
      <c r="C96" s="178">
        <v>0</v>
      </c>
      <c r="D96" s="80">
        <f t="shared" si="20"/>
        <v>0</v>
      </c>
      <c r="E96" s="178">
        <v>0</v>
      </c>
      <c r="F96" s="80">
        <f t="shared" si="21"/>
        <v>0</v>
      </c>
      <c r="G96" s="178">
        <v>0</v>
      </c>
      <c r="H96" s="80">
        <f t="shared" si="22"/>
        <v>0</v>
      </c>
      <c r="I96" s="178">
        <v>0</v>
      </c>
      <c r="J96" s="80">
        <f t="shared" si="23"/>
        <v>0</v>
      </c>
      <c r="K96" s="178">
        <v>0</v>
      </c>
      <c r="L96" s="80">
        <f t="shared" si="24"/>
        <v>0</v>
      </c>
      <c r="M96" s="178">
        <v>0</v>
      </c>
      <c r="N96" s="80">
        <f t="shared" si="25"/>
        <v>0</v>
      </c>
      <c r="O96" s="178">
        <v>0</v>
      </c>
      <c r="P96" s="80">
        <f t="shared" si="26"/>
        <v>0</v>
      </c>
      <c r="Q96" s="178">
        <v>0</v>
      </c>
      <c r="R96" s="80">
        <f t="shared" si="27"/>
        <v>0</v>
      </c>
      <c r="S96" s="178">
        <v>0</v>
      </c>
      <c r="T96" s="80">
        <f t="shared" si="28"/>
        <v>0</v>
      </c>
      <c r="U96" s="178">
        <v>0</v>
      </c>
      <c r="V96" s="80">
        <f t="shared" si="30"/>
        <v>0</v>
      </c>
      <c r="X96" s="194"/>
    </row>
    <row r="97" spans="1:24" ht="12.75" customHeight="1">
      <c r="A97" s="2" t="s">
        <v>441</v>
      </c>
      <c r="B97" s="35"/>
      <c r="C97" s="178">
        <v>19635.000400000001</v>
      </c>
      <c r="D97" s="80">
        <f t="shared" si="20"/>
        <v>2.0224129286104217E-2</v>
      </c>
      <c r="E97" s="178">
        <v>20027.700408000001</v>
      </c>
      <c r="F97" s="80">
        <f t="shared" si="21"/>
        <v>1.9765073964207982E-2</v>
      </c>
      <c r="G97" s="178">
        <v>20428.254416160002</v>
      </c>
      <c r="H97" s="80">
        <f t="shared" si="22"/>
        <v>1.931652745282169E-2</v>
      </c>
      <c r="I97" s="178">
        <v>20836.819504483199</v>
      </c>
      <c r="J97" s="80">
        <f t="shared" si="23"/>
        <v>1.886189922855076E-2</v>
      </c>
      <c r="K97" s="178">
        <v>21253.555894572866</v>
      </c>
      <c r="L97" s="80">
        <f t="shared" si="24"/>
        <v>1.8646769331438037E-2</v>
      </c>
      <c r="M97" s="178">
        <v>21678.627012464327</v>
      </c>
      <c r="N97" s="80">
        <f t="shared" si="25"/>
        <v>1.8646769331438041E-2</v>
      </c>
      <c r="O97" s="178">
        <v>22112.19955271361</v>
      </c>
      <c r="P97" s="80">
        <f t="shared" si="26"/>
        <v>1.8646769331438037E-2</v>
      </c>
      <c r="Q97" s="178">
        <v>22554.443543767884</v>
      </c>
      <c r="R97" s="80">
        <f t="shared" si="27"/>
        <v>1.8646769331438037E-2</v>
      </c>
      <c r="S97" s="178">
        <v>23005.532414643243</v>
      </c>
      <c r="T97" s="80">
        <f t="shared" si="28"/>
        <v>1.8646769331438041E-2</v>
      </c>
      <c r="U97" s="178">
        <v>23465.643062936109</v>
      </c>
      <c r="V97" s="80">
        <f t="shared" si="30"/>
        <v>1.8646769331438041E-2</v>
      </c>
      <c r="X97" s="194"/>
    </row>
    <row r="98" spans="1:24" ht="12.75" customHeight="1">
      <c r="A98" s="117" t="s">
        <v>444</v>
      </c>
      <c r="B98" s="35"/>
      <c r="C98" s="178">
        <v>1165.0439999999999</v>
      </c>
      <c r="D98" s="80">
        <f t="shared" si="20"/>
        <v>1.1999999999999999E-3</v>
      </c>
      <c r="E98" s="178">
        <v>1215.9448799999998</v>
      </c>
      <c r="F98" s="80">
        <f t="shared" si="21"/>
        <v>1.1999999999999997E-3</v>
      </c>
      <c r="G98" s="178">
        <v>1269.0637776000001</v>
      </c>
      <c r="H98" s="80">
        <f t="shared" si="22"/>
        <v>1.2000000000000001E-3</v>
      </c>
      <c r="I98" s="178">
        <v>1325.6450531519999</v>
      </c>
      <c r="J98" s="80">
        <f t="shared" si="23"/>
        <v>1.1999999999999999E-3</v>
      </c>
      <c r="K98" s="178">
        <v>1367.7579542150402</v>
      </c>
      <c r="L98" s="80">
        <f t="shared" si="24"/>
        <v>1.2000000000000001E-3</v>
      </c>
      <c r="M98" s="178">
        <v>1395.1131132993407</v>
      </c>
      <c r="N98" s="80">
        <f t="shared" si="25"/>
        <v>1.1999999999999999E-3</v>
      </c>
      <c r="O98" s="178">
        <v>1423.0153755653275</v>
      </c>
      <c r="P98" s="80">
        <f t="shared" si="26"/>
        <v>1.1999999999999999E-3</v>
      </c>
      <c r="Q98" s="178">
        <v>1451.4756830766339</v>
      </c>
      <c r="R98" s="80">
        <f t="shared" si="27"/>
        <v>1.1999999999999997E-3</v>
      </c>
      <c r="S98" s="178">
        <v>1480.5051967381667</v>
      </c>
      <c r="T98" s="80">
        <f t="shared" si="28"/>
        <v>1.1999999999999999E-3</v>
      </c>
      <c r="U98" s="178">
        <v>1510.1153006729301</v>
      </c>
      <c r="V98" s="80">
        <f t="shared" si="30"/>
        <v>1.1999999999999999E-3</v>
      </c>
      <c r="X98" s="194"/>
    </row>
    <row r="99" spans="1:24" ht="12.75" customHeight="1">
      <c r="A99" s="117" t="s">
        <v>444</v>
      </c>
      <c r="B99" s="35"/>
      <c r="C99" s="178">
        <v>0</v>
      </c>
      <c r="D99" s="80">
        <f t="shared" si="20"/>
        <v>0</v>
      </c>
      <c r="E99" s="178">
        <v>0</v>
      </c>
      <c r="F99" s="80">
        <f t="shared" si="21"/>
        <v>0</v>
      </c>
      <c r="G99" s="178">
        <v>0</v>
      </c>
      <c r="H99" s="80">
        <f t="shared" si="22"/>
        <v>0</v>
      </c>
      <c r="I99" s="178">
        <v>0</v>
      </c>
      <c r="J99" s="80">
        <f t="shared" si="23"/>
        <v>0</v>
      </c>
      <c r="K99" s="178">
        <v>0</v>
      </c>
      <c r="L99" s="80">
        <f t="shared" si="24"/>
        <v>0</v>
      </c>
      <c r="M99" s="178">
        <v>0</v>
      </c>
      <c r="N99" s="80">
        <f t="shared" si="25"/>
        <v>0</v>
      </c>
      <c r="O99" s="178">
        <v>0</v>
      </c>
      <c r="P99" s="80">
        <f t="shared" si="26"/>
        <v>0</v>
      </c>
      <c r="Q99" s="178">
        <v>0</v>
      </c>
      <c r="R99" s="80">
        <f t="shared" si="27"/>
        <v>0</v>
      </c>
      <c r="S99" s="178">
        <v>0</v>
      </c>
      <c r="T99" s="80">
        <f t="shared" si="28"/>
        <v>0</v>
      </c>
      <c r="U99" s="178">
        <v>0</v>
      </c>
      <c r="V99" s="80">
        <f t="shared" si="30"/>
        <v>0</v>
      </c>
      <c r="X99" s="194"/>
    </row>
    <row r="100" spans="1:24" ht="12.75" customHeight="1">
      <c r="A100" s="117" t="s">
        <v>444</v>
      </c>
      <c r="B100" s="35"/>
      <c r="C100" s="178">
        <v>0</v>
      </c>
      <c r="D100" s="80">
        <f t="shared" si="20"/>
        <v>0</v>
      </c>
      <c r="E100" s="178">
        <v>0</v>
      </c>
      <c r="F100" s="80">
        <f t="shared" si="21"/>
        <v>0</v>
      </c>
      <c r="G100" s="178">
        <v>0</v>
      </c>
      <c r="H100" s="80">
        <f t="shared" si="22"/>
        <v>0</v>
      </c>
      <c r="I100" s="178">
        <v>0</v>
      </c>
      <c r="J100" s="80">
        <f t="shared" si="23"/>
        <v>0</v>
      </c>
      <c r="K100" s="178">
        <v>0</v>
      </c>
      <c r="L100" s="80">
        <f t="shared" si="24"/>
        <v>0</v>
      </c>
      <c r="M100" s="178">
        <v>0</v>
      </c>
      <c r="N100" s="80">
        <f t="shared" si="25"/>
        <v>0</v>
      </c>
      <c r="O100" s="178">
        <v>0</v>
      </c>
      <c r="P100" s="80">
        <f t="shared" si="26"/>
        <v>0</v>
      </c>
      <c r="Q100" s="178">
        <v>0</v>
      </c>
      <c r="R100" s="80">
        <f t="shared" si="27"/>
        <v>0</v>
      </c>
      <c r="S100" s="178">
        <v>0</v>
      </c>
      <c r="T100" s="80">
        <f t="shared" si="28"/>
        <v>0</v>
      </c>
      <c r="U100" s="178">
        <v>0</v>
      </c>
      <c r="V100" s="80">
        <f t="shared" si="30"/>
        <v>0</v>
      </c>
      <c r="X100" s="194"/>
    </row>
    <row r="101" spans="1:24" ht="12.75" customHeight="1">
      <c r="A101" s="2" t="s">
        <v>445</v>
      </c>
      <c r="B101" s="35"/>
      <c r="C101" s="178"/>
      <c r="D101" s="80">
        <f t="shared" si="20"/>
        <v>0</v>
      </c>
      <c r="E101" s="178"/>
      <c r="F101" s="80">
        <f t="shared" si="21"/>
        <v>0</v>
      </c>
      <c r="G101" s="178"/>
      <c r="H101" s="80">
        <f t="shared" si="22"/>
        <v>0</v>
      </c>
      <c r="I101" s="178">
        <v>0</v>
      </c>
      <c r="J101" s="80">
        <f t="shared" si="23"/>
        <v>0</v>
      </c>
      <c r="K101" s="178">
        <v>0</v>
      </c>
      <c r="L101" s="80">
        <f t="shared" si="24"/>
        <v>0</v>
      </c>
      <c r="M101" s="178">
        <v>0</v>
      </c>
      <c r="N101" s="80">
        <f t="shared" si="25"/>
        <v>0</v>
      </c>
      <c r="O101" s="178">
        <v>0</v>
      </c>
      <c r="P101" s="80">
        <f t="shared" si="26"/>
        <v>0</v>
      </c>
      <c r="Q101" s="178">
        <v>0</v>
      </c>
      <c r="R101" s="80">
        <f t="shared" si="27"/>
        <v>0</v>
      </c>
      <c r="S101" s="178">
        <v>0</v>
      </c>
      <c r="T101" s="80">
        <f t="shared" si="28"/>
        <v>0</v>
      </c>
      <c r="U101" s="178">
        <v>0</v>
      </c>
      <c r="V101" s="80">
        <f t="shared" si="30"/>
        <v>0</v>
      </c>
      <c r="X101" s="194"/>
    </row>
    <row r="102" spans="1:24" ht="12.75" customHeight="1">
      <c r="A102" s="117" t="s">
        <v>446</v>
      </c>
      <c r="B102" s="35"/>
      <c r="C102" s="178">
        <v>9708.7000000000007</v>
      </c>
      <c r="D102" s="80">
        <f t="shared" si="20"/>
        <v>0.01</v>
      </c>
      <c r="E102" s="178">
        <v>10132.874</v>
      </c>
      <c r="F102" s="80">
        <f t="shared" si="21"/>
        <v>0.01</v>
      </c>
      <c r="G102" s="178">
        <v>10575.531480000001</v>
      </c>
      <c r="H102" s="80">
        <f t="shared" si="22"/>
        <v>0.01</v>
      </c>
      <c r="I102" s="178">
        <v>11047.042109600003</v>
      </c>
      <c r="J102" s="80">
        <f t="shared" si="23"/>
        <v>1.0000000000000002E-2</v>
      </c>
      <c r="K102" s="178">
        <v>11397.982951792002</v>
      </c>
      <c r="L102" s="80">
        <f t="shared" si="24"/>
        <v>1.0000000000000002E-2</v>
      </c>
      <c r="M102" s="178">
        <v>11625.94261082784</v>
      </c>
      <c r="N102" s="80">
        <f t="shared" si="25"/>
        <v>0.01</v>
      </c>
      <c r="O102" s="178">
        <v>11858.461463044398</v>
      </c>
      <c r="P102" s="80">
        <f t="shared" si="26"/>
        <v>0.01</v>
      </c>
      <c r="Q102" s="178">
        <v>12095.630692305285</v>
      </c>
      <c r="R102" s="80">
        <f t="shared" si="27"/>
        <v>0.01</v>
      </c>
      <c r="S102" s="178">
        <v>12337.54330615139</v>
      </c>
      <c r="T102" s="80">
        <f t="shared" si="28"/>
        <v>0.01</v>
      </c>
      <c r="U102" s="178">
        <v>12584.294172274418</v>
      </c>
      <c r="V102" s="80">
        <f t="shared" si="30"/>
        <v>9.9999999999999985E-3</v>
      </c>
      <c r="X102" s="194"/>
    </row>
    <row r="103" spans="1:24" ht="12.75" customHeight="1">
      <c r="A103" s="117" t="s">
        <v>446</v>
      </c>
      <c r="B103" s="35"/>
      <c r="C103" s="178">
        <v>0</v>
      </c>
      <c r="D103" s="80">
        <f t="shared" si="20"/>
        <v>0</v>
      </c>
      <c r="E103" s="178">
        <v>0</v>
      </c>
      <c r="F103" s="80">
        <f t="shared" si="21"/>
        <v>0</v>
      </c>
      <c r="G103" s="178">
        <v>0</v>
      </c>
      <c r="H103" s="80">
        <f t="shared" si="22"/>
        <v>0</v>
      </c>
      <c r="I103" s="178">
        <v>0</v>
      </c>
      <c r="J103" s="80">
        <f t="shared" si="23"/>
        <v>0</v>
      </c>
      <c r="K103" s="178">
        <v>0</v>
      </c>
      <c r="L103" s="80">
        <f t="shared" si="24"/>
        <v>0</v>
      </c>
      <c r="M103" s="178">
        <v>0</v>
      </c>
      <c r="N103" s="80">
        <f t="shared" si="25"/>
        <v>0</v>
      </c>
      <c r="O103" s="178">
        <v>0</v>
      </c>
      <c r="P103" s="80">
        <f t="shared" si="26"/>
        <v>0</v>
      </c>
      <c r="Q103" s="178">
        <v>0</v>
      </c>
      <c r="R103" s="80">
        <f t="shared" si="27"/>
        <v>0</v>
      </c>
      <c r="S103" s="178">
        <v>0</v>
      </c>
      <c r="T103" s="80">
        <f t="shared" si="28"/>
        <v>0</v>
      </c>
      <c r="U103" s="178">
        <v>0</v>
      </c>
      <c r="V103" s="80">
        <f t="shared" si="30"/>
        <v>0</v>
      </c>
      <c r="X103" s="194"/>
    </row>
    <row r="104" spans="1:24" ht="12.75" customHeight="1">
      <c r="A104" s="117" t="s">
        <v>446</v>
      </c>
      <c r="B104" s="1"/>
      <c r="C104" s="178">
        <v>0</v>
      </c>
      <c r="D104" s="80">
        <f t="shared" si="20"/>
        <v>0</v>
      </c>
      <c r="E104" s="178">
        <v>0</v>
      </c>
      <c r="F104" s="80">
        <f t="shared" si="21"/>
        <v>0</v>
      </c>
      <c r="G104" s="178">
        <v>0</v>
      </c>
      <c r="H104" s="80">
        <f t="shared" si="22"/>
        <v>0</v>
      </c>
      <c r="I104" s="178">
        <v>0</v>
      </c>
      <c r="J104" s="80">
        <f t="shared" si="23"/>
        <v>0</v>
      </c>
      <c r="K104" s="178">
        <v>0</v>
      </c>
      <c r="L104" s="80">
        <f t="shared" si="24"/>
        <v>0</v>
      </c>
      <c r="M104" s="178">
        <v>0</v>
      </c>
      <c r="N104" s="80">
        <f t="shared" si="25"/>
        <v>0</v>
      </c>
      <c r="O104" s="178">
        <v>0</v>
      </c>
      <c r="P104" s="80">
        <f t="shared" si="26"/>
        <v>0</v>
      </c>
      <c r="Q104" s="178">
        <v>0</v>
      </c>
      <c r="R104" s="80">
        <f t="shared" si="27"/>
        <v>0</v>
      </c>
      <c r="S104" s="178">
        <v>0</v>
      </c>
      <c r="T104" s="80">
        <f t="shared" si="28"/>
        <v>0</v>
      </c>
      <c r="U104" s="178">
        <v>0</v>
      </c>
      <c r="V104" s="80">
        <f t="shared" si="30"/>
        <v>0</v>
      </c>
      <c r="X104" s="194"/>
    </row>
    <row r="105" spans="1:24" ht="12.75" customHeight="1">
      <c r="A105" s="1" t="s">
        <v>447</v>
      </c>
      <c r="B105" s="53"/>
      <c r="C105" s="82">
        <f>SUM(C52:C104)</f>
        <v>109125.60268978553</v>
      </c>
      <c r="D105" s="83">
        <f t="shared" ref="D105" si="31">IFERROR(C105/C$28,0)</f>
        <v>0.11239980912973471</v>
      </c>
      <c r="E105" s="82">
        <f>SUM(E52:E104)</f>
        <v>113610.15313057024</v>
      </c>
      <c r="F105" s="83">
        <f t="shared" ref="F105" si="32">IFERROR(E105/E$28,0)</f>
        <v>0.11212036499276537</v>
      </c>
      <c r="G105" s="82">
        <f>SUM(G52:G104)</f>
        <v>117960.68766599185</v>
      </c>
      <c r="H105" s="83">
        <f t="shared" ref="H105" si="33">IFERROR(G105/G$28,0)</f>
        <v>0.11154114371374539</v>
      </c>
      <c r="I105" s="82">
        <f>SUM(I52:I104)</f>
        <v>122752.38980375613</v>
      </c>
      <c r="J105" s="83">
        <f t="shared" ref="J105" si="34">IFERROR(I105/I$28,0)</f>
        <v>0.11111787986856948</v>
      </c>
      <c r="K105" s="82">
        <f>SUM(K52:K104)</f>
        <v>126363.74746423452</v>
      </c>
      <c r="L105" s="83">
        <f t="shared" ref="L105" si="35">IFERROR(K105/K$28,0)</f>
        <v>0.11086500830777914</v>
      </c>
      <c r="M105" s="82">
        <f>SUM(M52:M104)</f>
        <v>128914.95078431439</v>
      </c>
      <c r="N105" s="83">
        <f t="shared" ref="N105" si="36">IFERROR(M105/M$28,0)</f>
        <v>0.11088559018367186</v>
      </c>
      <c r="O105" s="82">
        <f>SUM(O52:O104)</f>
        <v>131523.14620702568</v>
      </c>
      <c r="P105" s="83">
        <f t="shared" ref="P105" si="37">IFERROR(O105/O$28,0)</f>
        <v>0.11091080121726012</v>
      </c>
      <c r="Q105" s="82">
        <f>SUM(Q52:Q104)</f>
        <v>134197.13880939063</v>
      </c>
      <c r="R105" s="83">
        <f t="shared" ref="R105" si="38">IFERROR(Q105/Q$28,0)</f>
        <v>0.11094678915317828</v>
      </c>
      <c r="S105" s="82">
        <f>SUM(S52:S104)</f>
        <v>136924.39747474284</v>
      </c>
      <c r="T105" s="83">
        <f t="shared" ref="T105" si="39">IFERROR(S105/S$28,0)</f>
        <v>0.11098189815996312</v>
      </c>
      <c r="U105" s="82">
        <f>SUM(U52:U104)</f>
        <v>139710.09783649707</v>
      </c>
      <c r="V105" s="83">
        <f t="shared" si="30"/>
        <v>0.11101941509306484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448</v>
      </c>
      <c r="B107" s="53"/>
      <c r="C107" s="82">
        <f>C28-C33-C46-C105</f>
        <v>-4925.786689785542</v>
      </c>
      <c r="D107" s="83">
        <f>IFERROR(C107/C$28,0)</f>
        <v>-5.0735800774414103E-3</v>
      </c>
      <c r="E107" s="82">
        <f>E28-E33-E46-E105</f>
        <v>7853.659189429789</v>
      </c>
      <c r="F107" s="83">
        <f>IFERROR(E107/E$28,0)</f>
        <v>7.7506728983601182E-3</v>
      </c>
      <c r="G107" s="82">
        <f>G28-G33-G46-G105</f>
        <v>21772.400900408029</v>
      </c>
      <c r="H107" s="83">
        <f>IFERROR(G107/G$28,0)</f>
        <v>2.0587524080073968E-2</v>
      </c>
      <c r="I107" s="82">
        <f>I28-I33-I46-I105</f>
        <v>36935.360533971936</v>
      </c>
      <c r="J107" s="83">
        <f>IFERROR(I107/I$28,0)</f>
        <v>3.3434615499360415E-2</v>
      </c>
      <c r="K107" s="82">
        <f>K28-K33-K46-K105</f>
        <v>45097.757880248086</v>
      </c>
      <c r="L107" s="83">
        <f>IFERROR(K107/K$28,0)</f>
        <v>3.9566437387202599E-2</v>
      </c>
      <c r="M107" s="82">
        <f>M28-M33-M46-M105</f>
        <v>45975.784667057596</v>
      </c>
      <c r="N107" s="83">
        <f>IFERROR(M107/M$28,0)</f>
        <v>3.9545855511309659E-2</v>
      </c>
      <c r="O107" s="82">
        <f>O28-O33-O46-O105</f>
        <v>46865.403953373956</v>
      </c>
      <c r="P107" s="83">
        <f>IFERROR(O107/O$28,0)</f>
        <v>3.9520644477721564E-2</v>
      </c>
      <c r="Q107" s="82">
        <f>Q28-Q33-Q46-Q105</f>
        <v>47759.182354217017</v>
      </c>
      <c r="R107" s="83">
        <f>IFERROR(Q107/Q$28,0)</f>
        <v>3.9484656541803421E-2</v>
      </c>
      <c r="S107" s="82">
        <f>S28-S33-S46-S105</f>
        <v>48671.050112136872</v>
      </c>
      <c r="T107" s="83">
        <f>IFERROR(S107/S$28,0)</f>
        <v>3.944954753501851E-2</v>
      </c>
      <c r="U107" s="82">
        <f>U28-U33-U46-U105</f>
        <v>49597.258702120103</v>
      </c>
      <c r="V107" s="83">
        <f>IFERROR(U107/U$28,0)</f>
        <v>3.941203060191667E-2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449</v>
      </c>
      <c r="B110" s="40"/>
      <c r="C110" s="86" t="str">
        <f>C50</f>
        <v>FY 2018-19</v>
      </c>
      <c r="D110" s="86" t="s">
        <v>366</v>
      </c>
      <c r="E110" s="86" t="str">
        <f>E50</f>
        <v>FY 2019-20</v>
      </c>
      <c r="F110" s="86" t="s">
        <v>366</v>
      </c>
      <c r="G110" s="86" t="str">
        <f>G50</f>
        <v>FY 2020-21</v>
      </c>
      <c r="H110" s="86" t="s">
        <v>366</v>
      </c>
      <c r="I110" s="86" t="str">
        <f>I50</f>
        <v>FY 2021-22</v>
      </c>
      <c r="J110" s="86" t="s">
        <v>366</v>
      </c>
      <c r="K110" s="86" t="str">
        <f>K50</f>
        <v>FY 2022-23</v>
      </c>
      <c r="L110" s="86" t="s">
        <v>366</v>
      </c>
      <c r="M110" s="86" t="str">
        <f>M50</f>
        <v>FY 2023-24</v>
      </c>
      <c r="N110" s="86" t="s">
        <v>366</v>
      </c>
      <c r="O110" s="86" t="str">
        <f>O50</f>
        <v>FY 2024-25</v>
      </c>
      <c r="P110" s="86" t="s">
        <v>366</v>
      </c>
      <c r="Q110" s="86" t="str">
        <f>Q50</f>
        <v>FY 2025-26</v>
      </c>
      <c r="R110" s="86" t="s">
        <v>366</v>
      </c>
      <c r="S110" s="86" t="str">
        <f>S50</f>
        <v>FY 2026-27</v>
      </c>
      <c r="T110" s="86" t="s">
        <v>366</v>
      </c>
      <c r="U110" s="86" t="str">
        <f>U50</f>
        <v>FY 2027-28</v>
      </c>
      <c r="V110" s="86" t="s">
        <v>366</v>
      </c>
    </row>
    <row r="111" spans="1:24" ht="12.75" customHeight="1">
      <c r="A111" s="2" t="s">
        <v>403</v>
      </c>
      <c r="B111" s="35"/>
      <c r="C111" s="79">
        <f>C59</f>
        <v>0</v>
      </c>
      <c r="D111" s="80">
        <f t="shared" ref="D111:D116" si="40">IFERROR(C111/C$28,0)</f>
        <v>0</v>
      </c>
      <c r="E111" s="79">
        <f>E59</f>
        <v>0</v>
      </c>
      <c r="F111" s="80">
        <f t="shared" ref="F111:F116" si="41">IFERROR(E111/E$28,0)</f>
        <v>0</v>
      </c>
      <c r="G111" s="79">
        <f>G59</f>
        <v>0</v>
      </c>
      <c r="H111" s="80">
        <f t="shared" ref="H111:H116" si="42">IFERROR(G111/G$28,0)</f>
        <v>0</v>
      </c>
      <c r="I111" s="79">
        <f>I59</f>
        <v>0</v>
      </c>
      <c r="J111" s="80">
        <f t="shared" ref="J111:J116" si="43">IFERROR(I111/I$28,0)</f>
        <v>0</v>
      </c>
      <c r="K111" s="79">
        <f>K59</f>
        <v>0</v>
      </c>
      <c r="L111" s="80">
        <f t="shared" ref="L111:L116" si="44">IFERROR(K111/K$28,0)</f>
        <v>0</v>
      </c>
      <c r="M111" s="79">
        <f>M59</f>
        <v>0</v>
      </c>
      <c r="N111" s="80">
        <f t="shared" ref="N111:N116" si="45">IFERROR(M111/M$28,0)</f>
        <v>0</v>
      </c>
      <c r="O111" s="79">
        <f>O59</f>
        <v>0</v>
      </c>
      <c r="P111" s="80">
        <f t="shared" ref="P111:P116" si="46">IFERROR(O111/O$28,0)</f>
        <v>0</v>
      </c>
      <c r="Q111" s="79">
        <f>Q59</f>
        <v>0</v>
      </c>
      <c r="R111" s="80">
        <f t="shared" ref="R111:R116" si="47">IFERROR(Q111/Q$28,0)</f>
        <v>0</v>
      </c>
      <c r="S111" s="79">
        <f>S59</f>
        <v>0</v>
      </c>
      <c r="T111" s="80">
        <f t="shared" ref="T111:T116" si="48">IFERROR(S111/S$28,0)</f>
        <v>0</v>
      </c>
      <c r="U111" s="79">
        <f>U59</f>
        <v>0</v>
      </c>
      <c r="V111" s="80">
        <f t="shared" ref="V111:V116" si="49">IFERROR(U111/U$28,0)</f>
        <v>0</v>
      </c>
    </row>
    <row r="112" spans="1:24" ht="12.75" customHeight="1">
      <c r="A112" s="2" t="s">
        <v>450</v>
      </c>
      <c r="B112" s="35"/>
      <c r="C112" s="79">
        <f>C62</f>
        <v>0</v>
      </c>
      <c r="D112" s="80">
        <f t="shared" si="40"/>
        <v>0</v>
      </c>
      <c r="E112" s="79">
        <f>E62</f>
        <v>0</v>
      </c>
      <c r="F112" s="80">
        <f t="shared" si="41"/>
        <v>0</v>
      </c>
      <c r="G112" s="79">
        <f>G62</f>
        <v>0</v>
      </c>
      <c r="H112" s="80">
        <f t="shared" si="42"/>
        <v>0</v>
      </c>
      <c r="I112" s="79">
        <f>I62</f>
        <v>0</v>
      </c>
      <c r="J112" s="80">
        <f t="shared" si="43"/>
        <v>0</v>
      </c>
      <c r="K112" s="79">
        <f>K62</f>
        <v>0</v>
      </c>
      <c r="L112" s="80">
        <f t="shared" si="44"/>
        <v>0</v>
      </c>
      <c r="M112" s="79">
        <f>M62</f>
        <v>0</v>
      </c>
      <c r="N112" s="80">
        <f t="shared" si="45"/>
        <v>0</v>
      </c>
      <c r="O112" s="79">
        <f>O62</f>
        <v>0</v>
      </c>
      <c r="P112" s="80">
        <f t="shared" si="46"/>
        <v>0</v>
      </c>
      <c r="Q112" s="79">
        <f>Q62</f>
        <v>0</v>
      </c>
      <c r="R112" s="80">
        <f t="shared" si="47"/>
        <v>0</v>
      </c>
      <c r="S112" s="79">
        <f>S62</f>
        <v>0</v>
      </c>
      <c r="T112" s="80">
        <f t="shared" si="48"/>
        <v>0</v>
      </c>
      <c r="U112" s="79">
        <f>U62</f>
        <v>0</v>
      </c>
      <c r="V112" s="80">
        <f t="shared" si="49"/>
        <v>0</v>
      </c>
    </row>
    <row r="113" spans="1:22" ht="12.75" customHeight="1">
      <c r="A113" s="117" t="s">
        <v>446</v>
      </c>
      <c r="B113" s="41"/>
      <c r="C113" s="111">
        <v>0</v>
      </c>
      <c r="D113" s="80">
        <f t="shared" si="40"/>
        <v>0</v>
      </c>
      <c r="E113" s="111">
        <v>0</v>
      </c>
      <c r="F113" s="80">
        <f t="shared" si="41"/>
        <v>0</v>
      </c>
      <c r="G113" s="111">
        <v>0</v>
      </c>
      <c r="H113" s="80">
        <f t="shared" si="42"/>
        <v>0</v>
      </c>
      <c r="I113" s="111">
        <v>0</v>
      </c>
      <c r="J113" s="80">
        <f t="shared" si="43"/>
        <v>0</v>
      </c>
      <c r="K113" s="111">
        <v>0</v>
      </c>
      <c r="L113" s="80">
        <f t="shared" si="44"/>
        <v>0</v>
      </c>
      <c r="M113" s="111">
        <v>0</v>
      </c>
      <c r="N113" s="80">
        <f t="shared" si="45"/>
        <v>0</v>
      </c>
      <c r="O113" s="111">
        <v>0</v>
      </c>
      <c r="P113" s="80">
        <f t="shared" si="46"/>
        <v>0</v>
      </c>
      <c r="Q113" s="111">
        <v>0</v>
      </c>
      <c r="R113" s="80">
        <f t="shared" si="47"/>
        <v>0</v>
      </c>
      <c r="S113" s="111">
        <v>0</v>
      </c>
      <c r="T113" s="80">
        <f t="shared" si="48"/>
        <v>0</v>
      </c>
      <c r="U113" s="111">
        <v>0</v>
      </c>
      <c r="V113" s="80">
        <f t="shared" si="49"/>
        <v>0</v>
      </c>
    </row>
    <row r="114" spans="1:22" ht="12.75" customHeight="1">
      <c r="A114" s="117" t="s">
        <v>446</v>
      </c>
      <c r="B114" s="41"/>
      <c r="C114" s="111">
        <v>0</v>
      </c>
      <c r="D114" s="80">
        <f t="shared" si="40"/>
        <v>0</v>
      </c>
      <c r="E114" s="111">
        <v>0</v>
      </c>
      <c r="F114" s="80">
        <f t="shared" si="41"/>
        <v>0</v>
      </c>
      <c r="G114" s="111">
        <v>0</v>
      </c>
      <c r="H114" s="80">
        <f t="shared" si="42"/>
        <v>0</v>
      </c>
      <c r="I114" s="111">
        <v>0</v>
      </c>
      <c r="J114" s="80">
        <f t="shared" si="43"/>
        <v>0</v>
      </c>
      <c r="K114" s="111">
        <v>0</v>
      </c>
      <c r="L114" s="80">
        <f t="shared" si="44"/>
        <v>0</v>
      </c>
      <c r="M114" s="111">
        <v>0</v>
      </c>
      <c r="N114" s="80">
        <f t="shared" si="45"/>
        <v>0</v>
      </c>
      <c r="O114" s="111">
        <v>0</v>
      </c>
      <c r="P114" s="80">
        <f t="shared" si="46"/>
        <v>0</v>
      </c>
      <c r="Q114" s="111">
        <v>0</v>
      </c>
      <c r="R114" s="80">
        <f t="shared" si="47"/>
        <v>0</v>
      </c>
      <c r="S114" s="111">
        <v>0</v>
      </c>
      <c r="T114" s="80">
        <f t="shared" si="48"/>
        <v>0</v>
      </c>
      <c r="U114" s="111">
        <v>0</v>
      </c>
      <c r="V114" s="80">
        <f t="shared" si="49"/>
        <v>0</v>
      </c>
    </row>
    <row r="115" spans="1:22" ht="12.75" customHeight="1">
      <c r="A115" s="117" t="s">
        <v>446</v>
      </c>
      <c r="B115" s="41"/>
      <c r="C115" s="112">
        <v>0</v>
      </c>
      <c r="D115" s="80">
        <f t="shared" si="40"/>
        <v>0</v>
      </c>
      <c r="E115" s="112">
        <v>0</v>
      </c>
      <c r="F115" s="80">
        <f t="shared" si="41"/>
        <v>0</v>
      </c>
      <c r="G115" s="112">
        <v>0</v>
      </c>
      <c r="H115" s="80">
        <f t="shared" si="42"/>
        <v>0</v>
      </c>
      <c r="I115" s="112">
        <v>0</v>
      </c>
      <c r="J115" s="80">
        <f t="shared" si="43"/>
        <v>0</v>
      </c>
      <c r="K115" s="112">
        <v>0</v>
      </c>
      <c r="L115" s="80">
        <f t="shared" si="44"/>
        <v>0</v>
      </c>
      <c r="M115" s="112">
        <v>0</v>
      </c>
      <c r="N115" s="80">
        <f t="shared" si="45"/>
        <v>0</v>
      </c>
      <c r="O115" s="112">
        <v>0</v>
      </c>
      <c r="P115" s="80">
        <f t="shared" si="46"/>
        <v>0</v>
      </c>
      <c r="Q115" s="112">
        <v>0</v>
      </c>
      <c r="R115" s="80">
        <f t="shared" si="47"/>
        <v>0</v>
      </c>
      <c r="S115" s="112">
        <v>0</v>
      </c>
      <c r="T115" s="80">
        <f t="shared" si="48"/>
        <v>0</v>
      </c>
      <c r="U115" s="112">
        <v>0</v>
      </c>
      <c r="V115" s="80">
        <f t="shared" si="49"/>
        <v>0</v>
      </c>
    </row>
    <row r="116" spans="1:22" ht="12.75" customHeight="1">
      <c r="A116" s="40" t="s">
        <v>451</v>
      </c>
      <c r="B116" s="42"/>
      <c r="C116" s="85">
        <f>SUM(C111:C115)</f>
        <v>0</v>
      </c>
      <c r="D116" s="83">
        <f t="shared" si="40"/>
        <v>0</v>
      </c>
      <c r="E116" s="85">
        <f>SUM(E111:E115)</f>
        <v>0</v>
      </c>
      <c r="F116" s="83">
        <f t="shared" si="41"/>
        <v>0</v>
      </c>
      <c r="G116" s="85">
        <f>SUM(G111:G115)</f>
        <v>0</v>
      </c>
      <c r="H116" s="83">
        <f t="shared" si="42"/>
        <v>0</v>
      </c>
      <c r="I116" s="85">
        <f>SUM(I111:I115)</f>
        <v>0</v>
      </c>
      <c r="J116" s="83">
        <f t="shared" si="43"/>
        <v>0</v>
      </c>
      <c r="K116" s="85">
        <f>SUM(K111:K115)</f>
        <v>0</v>
      </c>
      <c r="L116" s="83">
        <f t="shared" si="44"/>
        <v>0</v>
      </c>
      <c r="M116" s="85">
        <f>SUM(M111:M115)</f>
        <v>0</v>
      </c>
      <c r="N116" s="83">
        <f t="shared" si="45"/>
        <v>0</v>
      </c>
      <c r="O116" s="85">
        <f>SUM(O111:O115)</f>
        <v>0</v>
      </c>
      <c r="P116" s="83">
        <f t="shared" si="46"/>
        <v>0</v>
      </c>
      <c r="Q116" s="85">
        <f>SUM(Q111:Q115)</f>
        <v>0</v>
      </c>
      <c r="R116" s="83">
        <f t="shared" si="47"/>
        <v>0</v>
      </c>
      <c r="S116" s="85">
        <f>SUM(S111:S115)</f>
        <v>0</v>
      </c>
      <c r="T116" s="83">
        <f t="shared" si="48"/>
        <v>0</v>
      </c>
      <c r="U116" s="85">
        <f>SUM(U111:U115)</f>
        <v>0</v>
      </c>
      <c r="V116" s="83">
        <f t="shared" si="49"/>
        <v>0</v>
      </c>
    </row>
    <row r="118" spans="1:22" ht="12.75" customHeight="1">
      <c r="A118" s="43" t="s">
        <v>452</v>
      </c>
      <c r="B118" s="43"/>
    </row>
    <row r="119" spans="1:22" ht="12.75" customHeight="1">
      <c r="A119" s="47" t="s">
        <v>453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9" tint="0.39997558519241921"/>
  </sheetPr>
  <dimension ref="A1:X119"/>
  <sheetViews>
    <sheetView topLeftCell="A9" zoomScale="70" zoomScaleNormal="70" workbookViewId="0" xr3:uid="{9F66A7E2-B849-5D6C-B1FC-020341BD0769}">
      <selection activeCell="V41" sqref="V41"/>
    </sheetView>
  </sheetViews>
  <sheetFormatPr defaultColWidth="9.140625" defaultRowHeight="12.75" customHeight="1"/>
  <cols>
    <col min="1" max="1" width="9.5703125" style="2" customWidth="1"/>
    <col min="2" max="2" width="45.5703125" style="2" customWidth="1"/>
    <col min="3" max="3" width="12.7109375" style="2" customWidth="1"/>
    <col min="4" max="4" width="8.7109375" style="2" customWidth="1"/>
    <col min="5" max="5" width="12.7109375" style="2" customWidth="1"/>
    <col min="6" max="6" width="8.7109375" style="2" customWidth="1"/>
    <col min="7" max="7" width="12.710937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513</v>
      </c>
      <c r="B1" s="1"/>
    </row>
    <row r="2" spans="1:22" ht="12.75" customHeight="1">
      <c r="A2" s="1" t="s">
        <v>1</v>
      </c>
      <c r="B2" s="1"/>
      <c r="D2" s="118" t="s">
        <v>355</v>
      </c>
      <c r="G2" s="33" t="s">
        <v>516</v>
      </c>
      <c r="H2" s="34"/>
      <c r="I2" s="34"/>
      <c r="V2" s="32"/>
    </row>
    <row r="3" spans="1:22" ht="12.75" customHeight="1">
      <c r="A3" s="1" t="s">
        <v>357</v>
      </c>
      <c r="D3" s="118" t="s">
        <v>358</v>
      </c>
      <c r="G3" s="115" t="str">
        <f>+G2</f>
        <v>Catering Services (BBC)</v>
      </c>
      <c r="H3" s="116"/>
      <c r="I3" s="116"/>
      <c r="V3" s="32"/>
    </row>
    <row r="4" spans="1:22" ht="12.75" customHeight="1">
      <c r="A4" s="1" t="s">
        <v>359</v>
      </c>
      <c r="B4" s="109" t="s">
        <v>221</v>
      </c>
      <c r="D4" s="118" t="s">
        <v>360</v>
      </c>
      <c r="G4" s="115" t="s">
        <v>65</v>
      </c>
      <c r="H4" s="116"/>
      <c r="I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89" t="s">
        <v>361</v>
      </c>
      <c r="B7" s="89"/>
      <c r="C7" s="90"/>
      <c r="D7" s="90"/>
      <c r="E7" s="90"/>
      <c r="F7" s="90"/>
      <c r="G7" s="90"/>
      <c r="H7" s="90"/>
      <c r="I7" s="90"/>
      <c r="J7" s="90"/>
      <c r="K7" s="90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</row>
    <row r="8" spans="1:22" ht="12.75" customHeight="1">
      <c r="A8" s="90" t="s">
        <v>362</v>
      </c>
      <c r="B8" s="90"/>
      <c r="C8" s="91"/>
      <c r="D8" s="90"/>
      <c r="E8" s="91"/>
      <c r="F8" s="90"/>
      <c r="G8" s="91"/>
      <c r="H8" s="90"/>
      <c r="I8" s="91"/>
      <c r="J8" s="90"/>
      <c r="K8" s="91"/>
      <c r="L8" s="90"/>
      <c r="M8" s="91"/>
      <c r="N8" s="90"/>
      <c r="O8" s="91"/>
      <c r="P8" s="90"/>
      <c r="Q8" s="91"/>
      <c r="R8" s="90"/>
      <c r="S8" s="91"/>
      <c r="T8" s="90"/>
      <c r="U8" s="91"/>
      <c r="V8" s="90"/>
    </row>
    <row r="9" spans="1:22" ht="12.75" customHeight="1">
      <c r="A9" s="90"/>
      <c r="B9" s="90"/>
      <c r="C9" s="90"/>
      <c r="D9" s="90"/>
      <c r="E9" s="90"/>
      <c r="F9" s="90"/>
      <c r="G9" s="90"/>
      <c r="H9" s="90"/>
      <c r="I9" s="90"/>
      <c r="J9" s="90"/>
      <c r="K9" s="90"/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</row>
    <row r="10" spans="1:22" ht="12.75" customHeight="1">
      <c r="A10" s="90" t="s">
        <v>462</v>
      </c>
      <c r="B10" s="90"/>
      <c r="C10" s="91"/>
      <c r="D10" s="90"/>
      <c r="E10" s="91"/>
      <c r="F10" s="90"/>
      <c r="G10" s="91"/>
      <c r="H10" s="90"/>
      <c r="I10" s="91"/>
      <c r="J10" s="90"/>
      <c r="K10" s="91"/>
      <c r="L10" s="90"/>
      <c r="M10" s="91"/>
      <c r="N10" s="90"/>
      <c r="O10" s="91"/>
      <c r="P10" s="90"/>
      <c r="Q10" s="91"/>
      <c r="R10" s="90"/>
      <c r="S10" s="91"/>
      <c r="T10" s="90"/>
      <c r="U10" s="91"/>
      <c r="V10" s="90"/>
    </row>
    <row r="11" spans="1:22" ht="12.75" customHeight="1">
      <c r="A11" s="90"/>
      <c r="B11" s="90"/>
      <c r="C11" s="90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1:22" ht="12.75" customHeight="1">
      <c r="A12" s="90" t="s">
        <v>463</v>
      </c>
      <c r="B12" s="90"/>
      <c r="C12" s="92"/>
      <c r="D12" s="90"/>
      <c r="E12" s="92"/>
      <c r="F12" s="90"/>
      <c r="G12" s="92"/>
      <c r="H12" s="90"/>
      <c r="I12" s="92"/>
      <c r="J12" s="90"/>
      <c r="K12" s="92"/>
      <c r="L12" s="90"/>
      <c r="M12" s="92"/>
      <c r="N12" s="90"/>
      <c r="O12" s="92"/>
      <c r="P12" s="90"/>
      <c r="Q12" s="92"/>
      <c r="R12" s="90"/>
      <c r="S12" s="92"/>
      <c r="T12" s="90"/>
      <c r="U12" s="92"/>
      <c r="V12" s="90"/>
    </row>
    <row r="13" spans="1:22" ht="12.75" customHeight="1">
      <c r="A13" s="90"/>
      <c r="B13" s="90"/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1:22" ht="12.75" customHeight="1">
      <c r="A14" s="90" t="s">
        <v>464</v>
      </c>
      <c r="B14" s="90"/>
      <c r="C14" s="124">
        <f>C12*C10*C8</f>
        <v>0</v>
      </c>
      <c r="D14" s="90"/>
      <c r="E14" s="124">
        <f>E12*E10*E8</f>
        <v>0</v>
      </c>
      <c r="F14" s="90"/>
      <c r="G14" s="124">
        <f>G12*G10*G8</f>
        <v>0</v>
      </c>
      <c r="H14" s="90"/>
      <c r="I14" s="124">
        <f>I12*I10*I8</f>
        <v>0</v>
      </c>
      <c r="J14" s="90"/>
      <c r="K14" s="124">
        <f>K12*K10*K8</f>
        <v>0</v>
      </c>
      <c r="L14" s="90"/>
      <c r="M14" s="124">
        <f>M12*M10*M8</f>
        <v>0</v>
      </c>
      <c r="N14" s="90"/>
      <c r="O14" s="124">
        <f>O12*O10*O8</f>
        <v>0</v>
      </c>
      <c r="P14" s="90"/>
      <c r="Q14" s="124">
        <f>Q12*Q10*Q8</f>
        <v>0</v>
      </c>
      <c r="R14" s="90"/>
      <c r="S14" s="124">
        <f>S12*S10*S8</f>
        <v>0</v>
      </c>
      <c r="T14" s="90"/>
      <c r="U14" s="124">
        <f>U12*U10*U8</f>
        <v>0</v>
      </c>
      <c r="V14" s="90"/>
    </row>
    <row r="15" spans="1:22" ht="12.75" customHeight="1">
      <c r="A15" s="39">
        <v>0.15</v>
      </c>
    </row>
    <row r="16" spans="1:22" ht="12.75" customHeight="1">
      <c r="B16" s="35"/>
      <c r="C16" s="86" t="str">
        <f>C6</f>
        <v>FY 2018-19</v>
      </c>
      <c r="D16" s="86" t="s">
        <v>366</v>
      </c>
      <c r="E16" s="86" t="str">
        <f>E6</f>
        <v>FY 2019-20</v>
      </c>
      <c r="F16" s="86" t="s">
        <v>366</v>
      </c>
      <c r="G16" s="86" t="str">
        <f>G6</f>
        <v>FY 2020-21</v>
      </c>
      <c r="H16" s="86" t="s">
        <v>366</v>
      </c>
      <c r="I16" s="86" t="str">
        <f>I6</f>
        <v>FY 2021-22</v>
      </c>
      <c r="J16" s="86" t="s">
        <v>366</v>
      </c>
      <c r="K16" s="86" t="str">
        <f>K6</f>
        <v>FY 2022-23</v>
      </c>
      <c r="L16" s="86" t="s">
        <v>366</v>
      </c>
      <c r="M16" s="86" t="str">
        <f>M6</f>
        <v>FY 2023-24</v>
      </c>
      <c r="N16" s="86" t="s">
        <v>366</v>
      </c>
      <c r="O16" s="86" t="str">
        <f>O6</f>
        <v>FY 2024-25</v>
      </c>
      <c r="P16" s="86" t="s">
        <v>366</v>
      </c>
      <c r="Q16" s="86" t="str">
        <f>Q6</f>
        <v>FY 2025-26</v>
      </c>
      <c r="R16" s="86" t="s">
        <v>366</v>
      </c>
      <c r="S16" s="86" t="str">
        <f>S6</f>
        <v>FY 2026-27</v>
      </c>
      <c r="T16" s="86" t="s">
        <v>366</v>
      </c>
      <c r="U16" s="86" t="str">
        <f>U6</f>
        <v>FY 2027-28</v>
      </c>
      <c r="V16" s="86" t="s">
        <v>366</v>
      </c>
    </row>
    <row r="17" spans="1:22" ht="12.75" customHeight="1">
      <c r="A17" s="1" t="s">
        <v>367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2" ht="12.75" customHeight="1">
      <c r="A18" s="2" t="s">
        <v>368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</row>
    <row r="19" spans="1:22" ht="12.75" customHeight="1">
      <c r="A19" s="122" t="s">
        <v>369</v>
      </c>
      <c r="B19" s="35"/>
      <c r="C19" s="79"/>
      <c r="D19" s="80">
        <f>IFERROR(C19/C$28,0)</f>
        <v>0</v>
      </c>
      <c r="E19" s="79"/>
      <c r="F19" s="80">
        <f>IFERROR(E19/E$28,0)</f>
        <v>0</v>
      </c>
      <c r="G19" s="79"/>
      <c r="H19" s="80">
        <f>IFERROR(G19/G$28,0)</f>
        <v>0</v>
      </c>
      <c r="I19" s="79"/>
      <c r="J19" s="80">
        <f>IFERROR(I19/I$28,0)</f>
        <v>0</v>
      </c>
      <c r="K19" s="79"/>
      <c r="L19" s="80">
        <f>IFERROR(K19/K$28,0)</f>
        <v>0</v>
      </c>
      <c r="M19" s="79"/>
      <c r="N19" s="80">
        <f>IFERROR(M19/M$28,0)</f>
        <v>0</v>
      </c>
      <c r="O19" s="79"/>
      <c r="P19" s="80">
        <f>IFERROR(O19/O$28,0)</f>
        <v>0</v>
      </c>
      <c r="Q19" s="79"/>
      <c r="R19" s="80">
        <f>IFERROR(Q19/Q$28,0)</f>
        <v>0</v>
      </c>
      <c r="S19" s="79"/>
      <c r="T19" s="80">
        <f>IFERROR(S19/S$28,0)</f>
        <v>0</v>
      </c>
      <c r="U19" s="79"/>
      <c r="V19" s="80">
        <f>IFERROR(U19/U$28,0)</f>
        <v>0</v>
      </c>
    </row>
    <row r="20" spans="1:22" ht="12.75" customHeight="1">
      <c r="A20" s="122" t="s">
        <v>370</v>
      </c>
      <c r="B20" s="35"/>
      <c r="C20" s="79"/>
      <c r="D20" s="80">
        <f>IFERROR(C20/C$28,0)</f>
        <v>0</v>
      </c>
      <c r="E20" s="79"/>
      <c r="F20" s="80">
        <f>IFERROR(E20/E$28,0)</f>
        <v>0</v>
      </c>
      <c r="G20" s="79"/>
      <c r="H20" s="80">
        <f>IFERROR(G20/G$28,0)</f>
        <v>0</v>
      </c>
      <c r="I20" s="79"/>
      <c r="J20" s="80">
        <f>IFERROR(I20/I$28,0)</f>
        <v>0</v>
      </c>
      <c r="K20" s="79"/>
      <c r="L20" s="80">
        <f>IFERROR(K20/K$28,0)</f>
        <v>0</v>
      </c>
      <c r="M20" s="79"/>
      <c r="N20" s="80">
        <f>IFERROR(M20/M$28,0)</f>
        <v>0</v>
      </c>
      <c r="O20" s="79"/>
      <c r="P20" s="80">
        <f>IFERROR(O20/O$28,0)</f>
        <v>0</v>
      </c>
      <c r="Q20" s="79"/>
      <c r="R20" s="80">
        <f>IFERROR(Q20/Q$28,0)</f>
        <v>0</v>
      </c>
      <c r="S20" s="79"/>
      <c r="T20" s="80">
        <f>IFERROR(S20/S$28,0)</f>
        <v>0</v>
      </c>
      <c r="U20" s="79"/>
      <c r="V20" s="80">
        <f>IFERROR(U20/U$28,0)</f>
        <v>0</v>
      </c>
    </row>
    <row r="21" spans="1:22" ht="12.75" customHeight="1">
      <c r="A21" s="122" t="s">
        <v>371</v>
      </c>
      <c r="B21" s="35"/>
      <c r="C21" s="79"/>
      <c r="D21" s="80">
        <f>IFERROR(C21/C$28,0)</f>
        <v>0</v>
      </c>
      <c r="E21" s="79"/>
      <c r="F21" s="80">
        <f>IFERROR(E21/E$28,0)</f>
        <v>0</v>
      </c>
      <c r="G21" s="79"/>
      <c r="H21" s="80">
        <f>IFERROR(G21/G$28,0)</f>
        <v>0</v>
      </c>
      <c r="I21" s="79"/>
      <c r="J21" s="80">
        <f>IFERROR(I21/I$28,0)</f>
        <v>0</v>
      </c>
      <c r="K21" s="79"/>
      <c r="L21" s="80">
        <f>IFERROR(K21/K$28,0)</f>
        <v>0</v>
      </c>
      <c r="M21" s="79"/>
      <c r="N21" s="80">
        <f>IFERROR(M21/M$28,0)</f>
        <v>0</v>
      </c>
      <c r="O21" s="79"/>
      <c r="P21" s="80">
        <f>IFERROR(O21/O$28,0)</f>
        <v>0</v>
      </c>
      <c r="Q21" s="79"/>
      <c r="R21" s="80">
        <f>IFERROR(Q21/Q$28,0)</f>
        <v>0</v>
      </c>
      <c r="S21" s="79"/>
      <c r="T21" s="80">
        <f>IFERROR(S21/S$28,0)</f>
        <v>0</v>
      </c>
      <c r="U21" s="79"/>
      <c r="V21" s="80">
        <f>IFERROR(U21/U$28,0)</f>
        <v>0</v>
      </c>
    </row>
    <row r="22" spans="1:22" ht="12.75" customHeight="1">
      <c r="A22" s="2" t="s">
        <v>372</v>
      </c>
      <c r="B22" s="35"/>
      <c r="C22" s="79"/>
      <c r="D22" s="80"/>
      <c r="E22" s="79"/>
      <c r="F22" s="80"/>
      <c r="G22" s="79"/>
      <c r="H22" s="80"/>
      <c r="I22" s="79"/>
      <c r="J22" s="80"/>
      <c r="K22" s="79"/>
      <c r="L22" s="80"/>
      <c r="M22" s="79"/>
      <c r="N22" s="80"/>
      <c r="O22" s="79"/>
      <c r="P22" s="80"/>
      <c r="Q22" s="79"/>
      <c r="R22" s="80"/>
      <c r="S22" s="79"/>
      <c r="T22" s="80"/>
      <c r="U22" s="79"/>
      <c r="V22" s="80"/>
    </row>
    <row r="23" spans="1:22" ht="12.75" customHeight="1">
      <c r="A23" s="122" t="s">
        <v>373</v>
      </c>
      <c r="B23" s="35"/>
      <c r="C23" s="79"/>
      <c r="D23" s="80">
        <f t="shared" ref="D23:D28" si="0">IFERROR(C23/C$28,0)</f>
        <v>0</v>
      </c>
      <c r="E23" s="79"/>
      <c r="F23" s="80">
        <f t="shared" ref="F23:F28" si="1">IFERROR(E23/E$28,0)</f>
        <v>0</v>
      </c>
      <c r="G23" s="79"/>
      <c r="H23" s="80">
        <f t="shared" ref="H23:H28" si="2">IFERROR(G23/G$28,0)</f>
        <v>0</v>
      </c>
      <c r="I23" s="79"/>
      <c r="J23" s="80">
        <f t="shared" ref="J23:J28" si="3">IFERROR(I23/I$28,0)</f>
        <v>0</v>
      </c>
      <c r="K23" s="79"/>
      <c r="L23" s="80">
        <f t="shared" ref="L23:L28" si="4">IFERROR(K23/K$28,0)</f>
        <v>0</v>
      </c>
      <c r="M23" s="79"/>
      <c r="N23" s="80">
        <f t="shared" ref="N23:N28" si="5">IFERROR(M23/M$28,0)</f>
        <v>0</v>
      </c>
      <c r="O23" s="79"/>
      <c r="P23" s="80">
        <f t="shared" ref="P23:P28" si="6">IFERROR(O23/O$28,0)</f>
        <v>0</v>
      </c>
      <c r="Q23" s="79"/>
      <c r="R23" s="80">
        <f t="shared" ref="R23:R28" si="7">IFERROR(Q23/Q$28,0)</f>
        <v>0</v>
      </c>
      <c r="S23" s="79"/>
      <c r="T23" s="80">
        <f t="shared" ref="T23:T28" si="8">IFERROR(S23/S$28,0)</f>
        <v>0</v>
      </c>
      <c r="U23" s="79"/>
      <c r="V23" s="80">
        <f t="shared" ref="V23:V28" si="9">IFERROR(U23/U$28,0)</f>
        <v>0</v>
      </c>
    </row>
    <row r="24" spans="1:22" ht="12.75" customHeight="1">
      <c r="A24" s="122" t="s">
        <v>374</v>
      </c>
      <c r="B24" s="35"/>
      <c r="C24" s="79"/>
      <c r="D24" s="80">
        <f t="shared" si="0"/>
        <v>0</v>
      </c>
      <c r="E24" s="79"/>
      <c r="F24" s="80">
        <f t="shared" si="1"/>
        <v>0</v>
      </c>
      <c r="G24" s="79"/>
      <c r="H24" s="80">
        <f t="shared" si="2"/>
        <v>0</v>
      </c>
      <c r="I24" s="79"/>
      <c r="J24" s="80">
        <f t="shared" si="3"/>
        <v>0</v>
      </c>
      <c r="K24" s="79"/>
      <c r="L24" s="80">
        <f t="shared" si="4"/>
        <v>0</v>
      </c>
      <c r="M24" s="79"/>
      <c r="N24" s="80">
        <f t="shared" si="5"/>
        <v>0</v>
      </c>
      <c r="O24" s="79"/>
      <c r="P24" s="80">
        <f t="shared" si="6"/>
        <v>0</v>
      </c>
      <c r="Q24" s="79"/>
      <c r="R24" s="80">
        <f t="shared" si="7"/>
        <v>0</v>
      </c>
      <c r="S24" s="79"/>
      <c r="T24" s="80">
        <f t="shared" si="8"/>
        <v>0</v>
      </c>
      <c r="U24" s="79"/>
      <c r="V24" s="80">
        <f t="shared" si="9"/>
        <v>0</v>
      </c>
    </row>
    <row r="25" spans="1:22" ht="12.75" customHeight="1">
      <c r="A25" s="2" t="s">
        <v>375</v>
      </c>
      <c r="B25" s="35"/>
      <c r="C25" s="111">
        <f>188500+2400</f>
        <v>190900</v>
      </c>
      <c r="D25" s="80">
        <f t="shared" si="0"/>
        <v>1</v>
      </c>
      <c r="E25" s="111">
        <f>+C25*1.02</f>
        <v>194718</v>
      </c>
      <c r="F25" s="80">
        <f t="shared" si="1"/>
        <v>1</v>
      </c>
      <c r="G25" s="111">
        <f>+E25*1.02</f>
        <v>198612.36000000002</v>
      </c>
      <c r="H25" s="80">
        <f t="shared" si="2"/>
        <v>1</v>
      </c>
      <c r="I25" s="111">
        <f>+G25*1.02</f>
        <v>202584.60720000003</v>
      </c>
      <c r="J25" s="80">
        <f t="shared" si="3"/>
        <v>1</v>
      </c>
      <c r="K25" s="111">
        <f>+I25*1.02</f>
        <v>206636.29934400003</v>
      </c>
      <c r="L25" s="80">
        <f t="shared" si="4"/>
        <v>1</v>
      </c>
      <c r="M25" s="111">
        <f>+K25*1.02</f>
        <v>210769.02533088005</v>
      </c>
      <c r="N25" s="80">
        <f t="shared" si="5"/>
        <v>1</v>
      </c>
      <c r="O25" s="111">
        <f>+M25*1.02-1000</f>
        <v>213984.40583749764</v>
      </c>
      <c r="P25" s="80">
        <f t="shared" si="6"/>
        <v>1</v>
      </c>
      <c r="Q25" s="111">
        <f>+O25*1.02-500</f>
        <v>217764.0939542476</v>
      </c>
      <c r="R25" s="80">
        <f t="shared" si="7"/>
        <v>1</v>
      </c>
      <c r="S25" s="111">
        <f>+Q25*1.02</f>
        <v>222119.37583333254</v>
      </c>
      <c r="T25" s="80">
        <f t="shared" si="8"/>
        <v>1</v>
      </c>
      <c r="U25" s="111">
        <f>+S25*1.02</f>
        <v>226561.76334999918</v>
      </c>
      <c r="V25" s="80">
        <f t="shared" si="9"/>
        <v>1</v>
      </c>
    </row>
    <row r="26" spans="1:22" ht="12.75" customHeight="1">
      <c r="A26" s="122" t="s">
        <v>376</v>
      </c>
      <c r="B26" s="35"/>
      <c r="C26" s="79"/>
      <c r="D26" s="80">
        <f t="shared" si="0"/>
        <v>0</v>
      </c>
      <c r="E26" s="79"/>
      <c r="F26" s="80">
        <f t="shared" si="1"/>
        <v>0</v>
      </c>
      <c r="G26" s="79"/>
      <c r="H26" s="80">
        <f t="shared" si="2"/>
        <v>0</v>
      </c>
      <c r="I26" s="79"/>
      <c r="J26" s="80">
        <f t="shared" si="3"/>
        <v>0</v>
      </c>
      <c r="K26" s="79"/>
      <c r="L26" s="80">
        <f t="shared" si="4"/>
        <v>0</v>
      </c>
      <c r="M26" s="79"/>
      <c r="N26" s="80">
        <f t="shared" si="5"/>
        <v>0</v>
      </c>
      <c r="O26" s="79"/>
      <c r="P26" s="80">
        <f t="shared" si="6"/>
        <v>0</v>
      </c>
      <c r="Q26" s="79"/>
      <c r="R26" s="80">
        <f t="shared" si="7"/>
        <v>0</v>
      </c>
      <c r="S26" s="79"/>
      <c r="T26" s="80">
        <f t="shared" si="8"/>
        <v>0</v>
      </c>
      <c r="U26" s="79"/>
      <c r="V26" s="80">
        <f t="shared" si="9"/>
        <v>0</v>
      </c>
    </row>
    <row r="27" spans="1:22" ht="12.75" customHeight="1">
      <c r="A27" s="2" t="s">
        <v>377</v>
      </c>
      <c r="B27" s="35"/>
      <c r="C27" s="112"/>
      <c r="D27" s="80">
        <f t="shared" si="0"/>
        <v>0</v>
      </c>
      <c r="E27" s="112"/>
      <c r="F27" s="80">
        <f t="shared" si="1"/>
        <v>0</v>
      </c>
      <c r="G27" s="112"/>
      <c r="H27" s="80">
        <f t="shared" si="2"/>
        <v>0</v>
      </c>
      <c r="I27" s="112"/>
      <c r="J27" s="80">
        <f t="shared" si="3"/>
        <v>0</v>
      </c>
      <c r="K27" s="112"/>
      <c r="L27" s="80">
        <f t="shared" si="4"/>
        <v>0</v>
      </c>
      <c r="M27" s="112"/>
      <c r="N27" s="80">
        <f t="shared" si="5"/>
        <v>0</v>
      </c>
      <c r="O27" s="112"/>
      <c r="P27" s="80">
        <f t="shared" si="6"/>
        <v>0</v>
      </c>
      <c r="Q27" s="112"/>
      <c r="R27" s="80">
        <f t="shared" si="7"/>
        <v>0</v>
      </c>
      <c r="S27" s="112"/>
      <c r="T27" s="80">
        <f t="shared" si="8"/>
        <v>0</v>
      </c>
      <c r="U27" s="112"/>
      <c r="V27" s="80">
        <f t="shared" si="9"/>
        <v>0</v>
      </c>
    </row>
    <row r="28" spans="1:22" ht="12.75" customHeight="1">
      <c r="A28" s="1" t="s">
        <v>378</v>
      </c>
      <c r="B28" s="53"/>
      <c r="C28" s="82">
        <f>SUM(C19:C27)</f>
        <v>190900</v>
      </c>
      <c r="D28" s="83">
        <f t="shared" si="0"/>
        <v>1</v>
      </c>
      <c r="E28" s="82">
        <f>SUM(E19:E27)</f>
        <v>194718</v>
      </c>
      <c r="F28" s="83">
        <f t="shared" si="1"/>
        <v>1</v>
      </c>
      <c r="G28" s="82">
        <f>SUM(G19:G27)</f>
        <v>198612.36000000002</v>
      </c>
      <c r="H28" s="83">
        <f t="shared" si="2"/>
        <v>1</v>
      </c>
      <c r="I28" s="82">
        <f>SUM(I19:I27)</f>
        <v>202584.60720000003</v>
      </c>
      <c r="J28" s="83">
        <f t="shared" si="3"/>
        <v>1</v>
      </c>
      <c r="K28" s="82">
        <f>SUM(K19:K27)</f>
        <v>206636.29934400003</v>
      </c>
      <c r="L28" s="83">
        <f t="shared" si="4"/>
        <v>1</v>
      </c>
      <c r="M28" s="82">
        <f>SUM(M19:M27)</f>
        <v>210769.02533088005</v>
      </c>
      <c r="N28" s="83">
        <f t="shared" si="5"/>
        <v>1</v>
      </c>
      <c r="O28" s="82">
        <f>SUM(O19:O27)</f>
        <v>213984.40583749764</v>
      </c>
      <c r="P28" s="83">
        <f t="shared" si="6"/>
        <v>1</v>
      </c>
      <c r="Q28" s="82">
        <f>SUM(Q19:Q27)</f>
        <v>217764.0939542476</v>
      </c>
      <c r="R28" s="83">
        <f t="shared" si="7"/>
        <v>1</v>
      </c>
      <c r="S28" s="82">
        <f>SUM(S19:S27)</f>
        <v>222119.37583333254</v>
      </c>
      <c r="T28" s="83">
        <f t="shared" si="8"/>
        <v>1</v>
      </c>
      <c r="U28" s="82">
        <f>SUM(U19:U27)</f>
        <v>226561.76334999918</v>
      </c>
      <c r="V28" s="83">
        <f t="shared" si="9"/>
        <v>1</v>
      </c>
    </row>
    <row r="29" spans="1:22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2" ht="12.75" customHeight="1">
      <c r="A30" s="1" t="s">
        <v>379</v>
      </c>
      <c r="B30" s="53"/>
      <c r="C30" s="80">
        <v>0.34</v>
      </c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2" ht="12.75" customHeight="1">
      <c r="A31" s="2" t="s">
        <v>380</v>
      </c>
      <c r="B31" s="35"/>
      <c r="C31" s="178">
        <f>+C28*C30</f>
        <v>64906.000000000007</v>
      </c>
      <c r="D31" s="80">
        <f>IFERROR(C31/C$28,0)</f>
        <v>0.34</v>
      </c>
      <c r="E31" s="213">
        <f>+D31*E28</f>
        <v>66204.12000000001</v>
      </c>
      <c r="F31" s="80">
        <f>IFERROR(E31/E$28,0)</f>
        <v>0.34</v>
      </c>
      <c r="G31" s="213">
        <f>+F31*G28</f>
        <v>67528.202400000009</v>
      </c>
      <c r="H31" s="80">
        <f>IFERROR(G31/G$28,0)</f>
        <v>0.34</v>
      </c>
      <c r="I31" s="213">
        <f>+H31*I28</f>
        <v>68878.766448000009</v>
      </c>
      <c r="J31" s="80">
        <f>IFERROR(I31/I$28,0)</f>
        <v>0.34</v>
      </c>
      <c r="K31" s="213">
        <f>+J31*K28</f>
        <v>70256.34177696002</v>
      </c>
      <c r="L31" s="80">
        <f>IFERROR(K31/K$28,0)</f>
        <v>0.34</v>
      </c>
      <c r="M31" s="213">
        <f>+L31*M28</f>
        <v>71661.468612499215</v>
      </c>
      <c r="N31" s="80">
        <f>IFERROR(M31/M$28,0)</f>
        <v>0.34</v>
      </c>
      <c r="O31" s="213">
        <f>+N31*O28</f>
        <v>72754.697984749204</v>
      </c>
      <c r="P31" s="80">
        <f>IFERROR(O31/O$28,0)</f>
        <v>0.34</v>
      </c>
      <c r="Q31" s="213">
        <f>+P31*Q28</f>
        <v>74039.791944444194</v>
      </c>
      <c r="R31" s="80">
        <f>IFERROR(Q31/Q$28,0)</f>
        <v>0.34</v>
      </c>
      <c r="S31" s="213">
        <f>+R31*S28</f>
        <v>75520.587783333074</v>
      </c>
      <c r="T31" s="80">
        <f>IFERROR(S31/S$28,0)</f>
        <v>0.34</v>
      </c>
      <c r="U31" s="213">
        <f>+T31*U28</f>
        <v>77030.99953899972</v>
      </c>
      <c r="V31" s="80">
        <f>IFERROR(U31/U$28,0)</f>
        <v>0.34</v>
      </c>
    </row>
    <row r="32" spans="1:22" ht="12.75" customHeight="1">
      <c r="A32" s="8" t="s">
        <v>381</v>
      </c>
      <c r="B32" s="8"/>
      <c r="C32" s="114"/>
      <c r="D32" s="80">
        <f>IFERROR(C32/C$28,0)</f>
        <v>0</v>
      </c>
      <c r="E32" s="114"/>
      <c r="F32" s="80">
        <f>IFERROR(E32/E$28,0)</f>
        <v>0</v>
      </c>
      <c r="G32" s="114"/>
      <c r="H32" s="80">
        <f>IFERROR(G32/G$28,0)</f>
        <v>0</v>
      </c>
      <c r="I32" s="114"/>
      <c r="J32" s="80">
        <f>IFERROR(I32/I$28,0)</f>
        <v>0</v>
      </c>
      <c r="K32" s="114"/>
      <c r="L32" s="80">
        <f>IFERROR(K32/K$28,0)</f>
        <v>0</v>
      </c>
      <c r="M32" s="114"/>
      <c r="N32" s="80">
        <f>IFERROR(M32/M$28,0)</f>
        <v>0</v>
      </c>
      <c r="O32" s="114"/>
      <c r="P32" s="80">
        <f>IFERROR(O32/O$28,0)</f>
        <v>0</v>
      </c>
      <c r="Q32" s="114"/>
      <c r="R32" s="80">
        <f>IFERROR(Q32/Q$28,0)</f>
        <v>0</v>
      </c>
      <c r="S32" s="114"/>
      <c r="T32" s="80">
        <f>IFERROR(S32/S$28,0)</f>
        <v>0</v>
      </c>
      <c r="U32" s="114"/>
      <c r="V32" s="80">
        <f>IFERROR(U32/U$28,0)</f>
        <v>0</v>
      </c>
    </row>
    <row r="33" spans="1:22" ht="12.75" customHeight="1">
      <c r="A33" s="1" t="s">
        <v>382</v>
      </c>
      <c r="B33" s="53"/>
      <c r="C33" s="82">
        <f>SUM(C31:C32)</f>
        <v>64906.000000000007</v>
      </c>
      <c r="D33" s="83">
        <f>IFERROR(C33/C$28,0)</f>
        <v>0.34</v>
      </c>
      <c r="E33" s="82">
        <f>SUM(E31:E32)</f>
        <v>66204.12000000001</v>
      </c>
      <c r="F33" s="83">
        <f>IFERROR(E33/E$28,0)</f>
        <v>0.34</v>
      </c>
      <c r="G33" s="82">
        <f>SUM(G31:G32)</f>
        <v>67528.202400000009</v>
      </c>
      <c r="H33" s="83">
        <f>IFERROR(G33/G$28,0)</f>
        <v>0.34</v>
      </c>
      <c r="I33" s="82">
        <f>SUM(I31:I32)</f>
        <v>68878.766448000009</v>
      </c>
      <c r="J33" s="83">
        <f>IFERROR(I33/I$28,0)</f>
        <v>0.34</v>
      </c>
      <c r="K33" s="82">
        <f>SUM(K31:K32)</f>
        <v>70256.34177696002</v>
      </c>
      <c r="L33" s="83">
        <f>IFERROR(K33/K$28,0)</f>
        <v>0.34</v>
      </c>
      <c r="M33" s="82">
        <f>SUM(M31:M32)</f>
        <v>71661.468612499215</v>
      </c>
      <c r="N33" s="83">
        <f>IFERROR(M33/M$28,0)</f>
        <v>0.34</v>
      </c>
      <c r="O33" s="82">
        <f>SUM(O31:O32)</f>
        <v>72754.697984749204</v>
      </c>
      <c r="P33" s="83">
        <f>IFERROR(O33/O$28,0)</f>
        <v>0.34</v>
      </c>
      <c r="Q33" s="82">
        <f>SUM(Q31:Q32)</f>
        <v>74039.791944444194</v>
      </c>
      <c r="R33" s="83">
        <f>IFERROR(Q33/Q$28,0)</f>
        <v>0.34</v>
      </c>
      <c r="S33" s="82">
        <f>SUM(S31:S32)</f>
        <v>75520.587783333074</v>
      </c>
      <c r="T33" s="83">
        <f>IFERROR(S33/S$28,0)</f>
        <v>0.34</v>
      </c>
      <c r="U33" s="82">
        <f>SUM(U31:U32)</f>
        <v>77030.99953899972</v>
      </c>
      <c r="V33" s="83">
        <f>IFERROR(U33/U$28,0)</f>
        <v>0.34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383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384</v>
      </c>
      <c r="B36" s="35"/>
      <c r="C36" s="178"/>
      <c r="D36" s="80">
        <f t="shared" ref="D36:D46" si="10">IFERROR(C36/C$28,0)</f>
        <v>0</v>
      </c>
      <c r="E36" s="178"/>
      <c r="F36" s="80">
        <f t="shared" ref="F36:F46" si="11">IFERROR(E36/E$28,0)</f>
        <v>0</v>
      </c>
      <c r="G36" s="178"/>
      <c r="H36" s="80">
        <f t="shared" ref="H36:H46" si="12">IFERROR(G36/G$28,0)</f>
        <v>0</v>
      </c>
      <c r="I36" s="178"/>
      <c r="J36" s="80">
        <f t="shared" ref="J36:J46" si="13">IFERROR(I36/I$28,0)</f>
        <v>0</v>
      </c>
      <c r="K36" s="178"/>
      <c r="L36" s="80">
        <f t="shared" ref="L36:L46" si="14">IFERROR(K36/K$28,0)</f>
        <v>0</v>
      </c>
      <c r="M36" s="178"/>
      <c r="N36" s="80">
        <f t="shared" ref="N36:N46" si="15">IFERROR(M36/M$28,0)</f>
        <v>0</v>
      </c>
      <c r="O36" s="178"/>
      <c r="P36" s="80">
        <f t="shared" ref="P36:P46" si="16">IFERROR(O36/O$28,0)</f>
        <v>0</v>
      </c>
      <c r="Q36" s="178"/>
      <c r="R36" s="80">
        <f t="shared" ref="R36:R46" si="17">IFERROR(Q36/Q$28,0)</f>
        <v>0</v>
      </c>
      <c r="S36" s="178"/>
      <c r="T36" s="80">
        <f t="shared" ref="T36:T46" si="18">IFERROR(S36/S$28,0)</f>
        <v>0</v>
      </c>
      <c r="U36" s="178"/>
      <c r="V36" s="80">
        <f t="shared" ref="V36:V46" si="19">IFERROR(U36/U$28,0)</f>
        <v>0</v>
      </c>
    </row>
    <row r="37" spans="1:22" ht="12.75" customHeight="1">
      <c r="A37" s="2" t="s">
        <v>385</v>
      </c>
      <c r="B37" s="35"/>
      <c r="C37" s="178">
        <v>50704</v>
      </c>
      <c r="D37" s="80">
        <f t="shared" si="10"/>
        <v>0.26560502881089576</v>
      </c>
      <c r="E37" s="178">
        <v>50704</v>
      </c>
      <c r="F37" s="80">
        <f t="shared" si="11"/>
        <v>0.26039708706950565</v>
      </c>
      <c r="G37" s="178">
        <v>50704</v>
      </c>
      <c r="H37" s="80">
        <f t="shared" si="12"/>
        <v>0.25529126183284867</v>
      </c>
      <c r="I37" s="178">
        <v>50704</v>
      </c>
      <c r="J37" s="80">
        <f t="shared" si="13"/>
        <v>0.25028555081651827</v>
      </c>
      <c r="K37" s="178">
        <v>50704</v>
      </c>
      <c r="L37" s="80">
        <f t="shared" si="14"/>
        <v>0.24537799099658653</v>
      </c>
      <c r="M37" s="178">
        <v>50704</v>
      </c>
      <c r="N37" s="80">
        <f t="shared" si="15"/>
        <v>0.2405666578397907</v>
      </c>
      <c r="O37" s="178">
        <v>50704</v>
      </c>
      <c r="P37" s="80">
        <f t="shared" si="16"/>
        <v>0.23695184610090342</v>
      </c>
      <c r="Q37" s="178">
        <v>50704</v>
      </c>
      <c r="R37" s="80">
        <f t="shared" si="17"/>
        <v>0.23283911998207082</v>
      </c>
      <c r="S37" s="178">
        <v>50704</v>
      </c>
      <c r="T37" s="80">
        <f t="shared" si="18"/>
        <v>0.22827364704124592</v>
      </c>
      <c r="U37" s="178">
        <v>50704</v>
      </c>
      <c r="V37" s="80">
        <f t="shared" si="19"/>
        <v>0.22379769317769208</v>
      </c>
    </row>
    <row r="38" spans="1:22" ht="12.75" customHeight="1">
      <c r="A38" s="2" t="s">
        <v>386</v>
      </c>
      <c r="B38" s="35"/>
      <c r="C38" s="178"/>
      <c r="D38" s="80">
        <f t="shared" si="10"/>
        <v>0</v>
      </c>
      <c r="E38" s="178"/>
      <c r="F38" s="80">
        <f t="shared" si="11"/>
        <v>0</v>
      </c>
      <c r="G38" s="178"/>
      <c r="H38" s="80">
        <f t="shared" si="12"/>
        <v>0</v>
      </c>
      <c r="I38" s="178"/>
      <c r="J38" s="80">
        <f t="shared" si="13"/>
        <v>0</v>
      </c>
      <c r="K38" s="178"/>
      <c r="L38" s="80">
        <f t="shared" si="14"/>
        <v>0</v>
      </c>
      <c r="M38" s="178"/>
      <c r="N38" s="80">
        <f t="shared" si="15"/>
        <v>0</v>
      </c>
      <c r="O38" s="178"/>
      <c r="P38" s="80">
        <f t="shared" si="16"/>
        <v>0</v>
      </c>
      <c r="Q38" s="178"/>
      <c r="R38" s="80">
        <f t="shared" si="17"/>
        <v>0</v>
      </c>
      <c r="S38" s="178"/>
      <c r="T38" s="80">
        <f t="shared" si="18"/>
        <v>0</v>
      </c>
      <c r="U38" s="178"/>
      <c r="V38" s="80">
        <f t="shared" si="19"/>
        <v>0</v>
      </c>
    </row>
    <row r="39" spans="1:22" ht="12.75" customHeight="1">
      <c r="A39" s="2" t="s">
        <v>387</v>
      </c>
      <c r="B39" s="35"/>
      <c r="C39" s="178"/>
      <c r="D39" s="80">
        <f t="shared" si="10"/>
        <v>0</v>
      </c>
      <c r="E39" s="178"/>
      <c r="F39" s="80">
        <f t="shared" si="11"/>
        <v>0</v>
      </c>
      <c r="G39" s="178"/>
      <c r="H39" s="80">
        <f t="shared" si="12"/>
        <v>0</v>
      </c>
      <c r="I39" s="178"/>
      <c r="J39" s="80">
        <f t="shared" si="13"/>
        <v>0</v>
      </c>
      <c r="K39" s="178"/>
      <c r="L39" s="80">
        <f t="shared" si="14"/>
        <v>0</v>
      </c>
      <c r="M39" s="178"/>
      <c r="N39" s="80">
        <f t="shared" si="15"/>
        <v>0</v>
      </c>
      <c r="O39" s="178"/>
      <c r="P39" s="80">
        <f t="shared" si="16"/>
        <v>0</v>
      </c>
      <c r="Q39" s="178"/>
      <c r="R39" s="80">
        <f t="shared" si="17"/>
        <v>0</v>
      </c>
      <c r="S39" s="178"/>
      <c r="T39" s="80">
        <f t="shared" si="18"/>
        <v>0</v>
      </c>
      <c r="U39" s="178"/>
      <c r="V39" s="80">
        <f t="shared" si="19"/>
        <v>0</v>
      </c>
    </row>
    <row r="40" spans="1:22" ht="12.75" customHeight="1">
      <c r="A40" s="2" t="s">
        <v>388</v>
      </c>
      <c r="B40" s="35"/>
      <c r="C40" s="178">
        <f>+C36*0.124</f>
        <v>0</v>
      </c>
      <c r="D40" s="80">
        <f t="shared" si="10"/>
        <v>0</v>
      </c>
      <c r="E40" s="178">
        <f>+E36*0.124</f>
        <v>0</v>
      </c>
      <c r="F40" s="80">
        <f t="shared" si="11"/>
        <v>0</v>
      </c>
      <c r="G40" s="178">
        <f>+G36*0.124</f>
        <v>0</v>
      </c>
      <c r="H40" s="80">
        <f t="shared" si="12"/>
        <v>0</v>
      </c>
      <c r="I40" s="178">
        <f>+I36*0.124</f>
        <v>0</v>
      </c>
      <c r="J40" s="80">
        <f t="shared" si="13"/>
        <v>0</v>
      </c>
      <c r="K40" s="178">
        <f>+K36*0.124</f>
        <v>0</v>
      </c>
      <c r="L40" s="80">
        <f t="shared" si="14"/>
        <v>0</v>
      </c>
      <c r="M40" s="178">
        <f>+M36*0.124</f>
        <v>0</v>
      </c>
      <c r="N40" s="80">
        <f t="shared" si="15"/>
        <v>0</v>
      </c>
      <c r="O40" s="178">
        <f>+O36*0.124</f>
        <v>0</v>
      </c>
      <c r="P40" s="80">
        <f t="shared" si="16"/>
        <v>0</v>
      </c>
      <c r="Q40" s="178">
        <f>+Q36*0.124</f>
        <v>0</v>
      </c>
      <c r="R40" s="80">
        <f t="shared" si="17"/>
        <v>0</v>
      </c>
      <c r="S40" s="178">
        <f>+S36*0.124</f>
        <v>0</v>
      </c>
      <c r="T40" s="80">
        <f t="shared" si="18"/>
        <v>0</v>
      </c>
      <c r="U40" s="178">
        <f>+U36*0.124</f>
        <v>0</v>
      </c>
      <c r="V40" s="80">
        <f t="shared" si="19"/>
        <v>0</v>
      </c>
    </row>
    <row r="41" spans="1:22" ht="12.75" customHeight="1">
      <c r="A41" s="2" t="s">
        <v>389</v>
      </c>
      <c r="B41" s="35"/>
      <c r="C41" s="178">
        <f>+C37*0.124</f>
        <v>6287.2960000000003</v>
      </c>
      <c r="D41" s="80">
        <f t="shared" si="10"/>
        <v>3.2935023572551077E-2</v>
      </c>
      <c r="E41" s="178">
        <f>+E37*0.124</f>
        <v>6287.2960000000003</v>
      </c>
      <c r="F41" s="80">
        <f t="shared" si="11"/>
        <v>3.2289238796618699E-2</v>
      </c>
      <c r="G41" s="178">
        <f>+G37*0.124</f>
        <v>6287.2960000000003</v>
      </c>
      <c r="H41" s="80">
        <f t="shared" si="12"/>
        <v>3.1656116467273232E-2</v>
      </c>
      <c r="I41" s="178">
        <f>+I37*0.124</f>
        <v>6287.2960000000003</v>
      </c>
      <c r="J41" s="80">
        <f t="shared" si="13"/>
        <v>3.1035408301248266E-2</v>
      </c>
      <c r="K41" s="178">
        <f>+K37*0.124</f>
        <v>6287.2960000000003</v>
      </c>
      <c r="L41" s="80">
        <f t="shared" si="14"/>
        <v>3.0426870883576731E-2</v>
      </c>
      <c r="M41" s="178">
        <f>+M37*0.124</f>
        <v>6287.2960000000003</v>
      </c>
      <c r="N41" s="80">
        <f t="shared" si="15"/>
        <v>2.983026557213405E-2</v>
      </c>
      <c r="O41" s="178">
        <f>+O37*0.124</f>
        <v>6287.2960000000003</v>
      </c>
      <c r="P41" s="80">
        <f t="shared" si="16"/>
        <v>2.9382028916512024E-2</v>
      </c>
      <c r="Q41" s="178">
        <f>+Q37*0.124</f>
        <v>6287.2960000000003</v>
      </c>
      <c r="R41" s="80">
        <f t="shared" si="17"/>
        <v>2.8872050877776785E-2</v>
      </c>
      <c r="S41" s="178">
        <f>+S37*0.124</f>
        <v>6287.2960000000003</v>
      </c>
      <c r="T41" s="80">
        <f t="shared" si="18"/>
        <v>2.8305932233114495E-2</v>
      </c>
      <c r="U41" s="178">
        <f>+U37*0.124</f>
        <v>6287.2960000000003</v>
      </c>
      <c r="V41" s="80">
        <f t="shared" si="19"/>
        <v>2.7750913954033819E-2</v>
      </c>
    </row>
    <row r="42" spans="1:22" ht="12.75" customHeight="1">
      <c r="A42" s="2" t="s">
        <v>390</v>
      </c>
      <c r="B42" s="35"/>
      <c r="C42" s="178"/>
      <c r="D42" s="80">
        <f t="shared" si="10"/>
        <v>0</v>
      </c>
      <c r="E42" s="178"/>
      <c r="F42" s="80">
        <f t="shared" si="11"/>
        <v>0</v>
      </c>
      <c r="G42" s="178"/>
      <c r="H42" s="80">
        <f t="shared" si="12"/>
        <v>0</v>
      </c>
      <c r="I42" s="178"/>
      <c r="J42" s="80">
        <f t="shared" si="13"/>
        <v>0</v>
      </c>
      <c r="K42" s="178"/>
      <c r="L42" s="80">
        <f t="shared" si="14"/>
        <v>0</v>
      </c>
      <c r="M42" s="178"/>
      <c r="N42" s="80">
        <f t="shared" si="15"/>
        <v>0</v>
      </c>
      <c r="O42" s="178"/>
      <c r="P42" s="80">
        <f t="shared" si="16"/>
        <v>0</v>
      </c>
      <c r="Q42" s="178"/>
      <c r="R42" s="80">
        <f t="shared" si="17"/>
        <v>0</v>
      </c>
      <c r="S42" s="178"/>
      <c r="T42" s="80">
        <f t="shared" si="18"/>
        <v>0</v>
      </c>
      <c r="U42" s="178"/>
      <c r="V42" s="80">
        <f t="shared" si="19"/>
        <v>0</v>
      </c>
    </row>
    <row r="43" spans="1:22" ht="12.75" customHeight="1">
      <c r="A43" s="2" t="s">
        <v>391</v>
      </c>
      <c r="B43" s="35"/>
      <c r="C43" s="178"/>
      <c r="D43" s="80">
        <f t="shared" si="10"/>
        <v>0</v>
      </c>
      <c r="E43" s="178"/>
      <c r="F43" s="80">
        <f t="shared" si="11"/>
        <v>0</v>
      </c>
      <c r="G43" s="178"/>
      <c r="H43" s="80">
        <f t="shared" si="12"/>
        <v>0</v>
      </c>
      <c r="I43" s="178"/>
      <c r="J43" s="80">
        <f t="shared" si="13"/>
        <v>0</v>
      </c>
      <c r="K43" s="178"/>
      <c r="L43" s="80">
        <f t="shared" si="14"/>
        <v>0</v>
      </c>
      <c r="M43" s="178"/>
      <c r="N43" s="80">
        <f t="shared" si="15"/>
        <v>0</v>
      </c>
      <c r="O43" s="178"/>
      <c r="P43" s="80">
        <f t="shared" si="16"/>
        <v>0</v>
      </c>
      <c r="Q43" s="178"/>
      <c r="R43" s="80">
        <f t="shared" si="17"/>
        <v>0</v>
      </c>
      <c r="S43" s="178"/>
      <c r="T43" s="80">
        <f t="shared" si="18"/>
        <v>0</v>
      </c>
      <c r="U43" s="178"/>
      <c r="V43" s="80">
        <f t="shared" si="19"/>
        <v>0</v>
      </c>
    </row>
    <row r="44" spans="1:22" ht="12.75" customHeight="1">
      <c r="A44" s="2" t="s">
        <v>392</v>
      </c>
      <c r="B44" s="35"/>
      <c r="C44" s="178"/>
      <c r="D44" s="80">
        <f t="shared" si="10"/>
        <v>0</v>
      </c>
      <c r="E44" s="178"/>
      <c r="F44" s="80">
        <f t="shared" si="11"/>
        <v>0</v>
      </c>
      <c r="G44" s="178"/>
      <c r="H44" s="80">
        <f t="shared" si="12"/>
        <v>0</v>
      </c>
      <c r="I44" s="178"/>
      <c r="J44" s="80">
        <f t="shared" si="13"/>
        <v>0</v>
      </c>
      <c r="K44" s="178"/>
      <c r="L44" s="80">
        <f t="shared" si="14"/>
        <v>0</v>
      </c>
      <c r="M44" s="178"/>
      <c r="N44" s="80">
        <f t="shared" si="15"/>
        <v>0</v>
      </c>
      <c r="O44" s="178"/>
      <c r="P44" s="80">
        <f t="shared" si="16"/>
        <v>0</v>
      </c>
      <c r="Q44" s="178"/>
      <c r="R44" s="80">
        <f t="shared" si="17"/>
        <v>0</v>
      </c>
      <c r="S44" s="178"/>
      <c r="T44" s="80">
        <f t="shared" si="18"/>
        <v>0</v>
      </c>
      <c r="U44" s="178"/>
      <c r="V44" s="80">
        <f t="shared" si="19"/>
        <v>0</v>
      </c>
    </row>
    <row r="45" spans="1:22" ht="12.75" customHeight="1">
      <c r="A45" s="2" t="s">
        <v>393</v>
      </c>
      <c r="B45" s="35"/>
      <c r="C45" s="181">
        <f>+SUM(C36+C37+C39)*0.094</f>
        <v>4766.1760000000004</v>
      </c>
      <c r="D45" s="80">
        <f t="shared" si="10"/>
        <v>2.4966872708224203E-2</v>
      </c>
      <c r="E45" s="181">
        <f>+SUM(E36+E37+E39)*0.094</f>
        <v>4766.1760000000004</v>
      </c>
      <c r="F45" s="80">
        <f t="shared" si="11"/>
        <v>2.4477326184533531E-2</v>
      </c>
      <c r="G45" s="181">
        <f>+SUM(G36+G37+G39)*0.094</f>
        <v>4766.1760000000004</v>
      </c>
      <c r="H45" s="80">
        <f t="shared" si="12"/>
        <v>2.3997378612287776E-2</v>
      </c>
      <c r="I45" s="181">
        <f>+SUM(I36+I37+I39)*0.094</f>
        <v>4766.1760000000004</v>
      </c>
      <c r="J45" s="80">
        <f t="shared" si="13"/>
        <v>2.3526841776752721E-2</v>
      </c>
      <c r="K45" s="181">
        <f>+SUM(K36+K37+K39)*0.094</f>
        <v>4766.1760000000004</v>
      </c>
      <c r="L45" s="80">
        <f t="shared" si="14"/>
        <v>2.3065531153679136E-2</v>
      </c>
      <c r="M45" s="181">
        <f>+SUM(M36+M37+M39)*0.094</f>
        <v>4766.1760000000004</v>
      </c>
      <c r="N45" s="80">
        <f t="shared" si="15"/>
        <v>2.2613265836940327E-2</v>
      </c>
      <c r="O45" s="181">
        <f>+SUM(O36+O37+O39)*0.094</f>
        <v>4766.1760000000004</v>
      </c>
      <c r="P45" s="80">
        <f t="shared" si="16"/>
        <v>2.2273473533484921E-2</v>
      </c>
      <c r="Q45" s="181">
        <f>+SUM(Q36+Q37+Q39)*0.094</f>
        <v>4766.1760000000004</v>
      </c>
      <c r="R45" s="80">
        <f t="shared" si="17"/>
        <v>2.1886877278314659E-2</v>
      </c>
      <c r="S45" s="181">
        <f>+SUM(S36+S37+S39)*0.094</f>
        <v>4766.1760000000004</v>
      </c>
      <c r="T45" s="80">
        <f t="shared" si="18"/>
        <v>2.1457722821877117E-2</v>
      </c>
      <c r="U45" s="181">
        <f>+SUM(U36+U37+U39)*0.094</f>
        <v>4766.1760000000004</v>
      </c>
      <c r="V45" s="80">
        <f t="shared" si="19"/>
        <v>2.1036983158703056E-2</v>
      </c>
    </row>
    <row r="46" spans="1:22" ht="12.75" customHeight="1">
      <c r="A46" s="1" t="s">
        <v>394</v>
      </c>
      <c r="B46" s="53"/>
      <c r="C46" s="82">
        <f>SUM(C36:C45)</f>
        <v>61757.472000000002</v>
      </c>
      <c r="D46" s="83">
        <f t="shared" si="10"/>
        <v>0.32350692509167106</v>
      </c>
      <c r="E46" s="82">
        <f>SUM(E36:E45)</f>
        <v>61757.472000000002</v>
      </c>
      <c r="F46" s="83">
        <f t="shared" si="11"/>
        <v>0.31716365205065788</v>
      </c>
      <c r="G46" s="82">
        <f>SUM(G36:G45)</f>
        <v>61757.472000000002</v>
      </c>
      <c r="H46" s="83">
        <f t="shared" si="12"/>
        <v>0.31094475691240969</v>
      </c>
      <c r="I46" s="82">
        <f>SUM(I36:I45)</f>
        <v>61757.472000000002</v>
      </c>
      <c r="J46" s="83">
        <f t="shared" si="13"/>
        <v>0.30484780089451924</v>
      </c>
      <c r="K46" s="82">
        <f>SUM(K36:K45)</f>
        <v>61757.472000000002</v>
      </c>
      <c r="L46" s="83">
        <f t="shared" si="14"/>
        <v>0.29887039303384239</v>
      </c>
      <c r="M46" s="82">
        <f>SUM(M36:M45)</f>
        <v>61757.472000000002</v>
      </c>
      <c r="N46" s="83">
        <f t="shared" si="15"/>
        <v>0.29301018924886507</v>
      </c>
      <c r="O46" s="82">
        <f>SUM(O36:O45)</f>
        <v>61757.472000000002</v>
      </c>
      <c r="P46" s="83">
        <f t="shared" si="16"/>
        <v>0.28860734855090037</v>
      </c>
      <c r="Q46" s="82">
        <f>SUM(Q36:Q45)</f>
        <v>61757.472000000002</v>
      </c>
      <c r="R46" s="83">
        <f t="shared" si="17"/>
        <v>0.28359804813816225</v>
      </c>
      <c r="S46" s="82">
        <f>SUM(S36:S45)</f>
        <v>61757.472000000002</v>
      </c>
      <c r="T46" s="83">
        <f t="shared" si="18"/>
        <v>0.27803730209623756</v>
      </c>
      <c r="U46" s="82">
        <f>SUM(U36:U45)</f>
        <v>61757.472000000002</v>
      </c>
      <c r="V46" s="83">
        <f t="shared" si="19"/>
        <v>0.27258559029042895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4" ht="12.75" customHeight="1">
      <c r="A49" s="1"/>
      <c r="B49" s="118"/>
    </row>
    <row r="50" spans="1:24" ht="12.75" customHeight="1">
      <c r="C50" s="86" t="str">
        <f>C6</f>
        <v>FY 2018-19</v>
      </c>
      <c r="D50" s="86" t="s">
        <v>366</v>
      </c>
      <c r="E50" s="86" t="str">
        <f>E6</f>
        <v>FY 2019-20</v>
      </c>
      <c r="F50" s="86" t="s">
        <v>366</v>
      </c>
      <c r="G50" s="86" t="str">
        <f>G6</f>
        <v>FY 2020-21</v>
      </c>
      <c r="H50" s="86" t="s">
        <v>366</v>
      </c>
      <c r="I50" s="86" t="str">
        <f>I6</f>
        <v>FY 2021-22</v>
      </c>
      <c r="J50" s="86" t="s">
        <v>366</v>
      </c>
      <c r="K50" s="86" t="str">
        <f>K6</f>
        <v>FY 2022-23</v>
      </c>
      <c r="L50" s="86" t="s">
        <v>366</v>
      </c>
      <c r="M50" s="86" t="str">
        <f>M6</f>
        <v>FY 2023-24</v>
      </c>
      <c r="N50" s="86" t="s">
        <v>366</v>
      </c>
      <c r="O50" s="86" t="str">
        <f>O6</f>
        <v>FY 2024-25</v>
      </c>
      <c r="P50" s="86" t="s">
        <v>366</v>
      </c>
      <c r="Q50" s="86" t="str">
        <f>Q6</f>
        <v>FY 2025-26</v>
      </c>
      <c r="R50" s="86" t="s">
        <v>366</v>
      </c>
      <c r="S50" s="86" t="str">
        <f>S6</f>
        <v>FY 2026-27</v>
      </c>
      <c r="T50" s="86" t="s">
        <v>366</v>
      </c>
      <c r="U50" s="86" t="str">
        <f>U6</f>
        <v>FY 2027-28</v>
      </c>
      <c r="V50" s="86" t="s">
        <v>366</v>
      </c>
    </row>
    <row r="51" spans="1:24" ht="12.75" customHeight="1">
      <c r="A51" s="1" t="s">
        <v>395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4" ht="12.75" customHeight="1">
      <c r="A52" s="2" t="s">
        <v>396</v>
      </c>
      <c r="B52" s="35"/>
      <c r="C52" s="178">
        <v>0</v>
      </c>
      <c r="D52" s="80">
        <f t="shared" ref="D52:D104" si="20">IFERROR(C52/C$28,0)</f>
        <v>0</v>
      </c>
      <c r="E52" s="178">
        <v>0</v>
      </c>
      <c r="F52" s="80">
        <f t="shared" ref="F52:F104" si="21">IFERROR(E52/E$28,0)</f>
        <v>0</v>
      </c>
      <c r="G52" s="178">
        <v>0</v>
      </c>
      <c r="H52" s="80">
        <f t="shared" ref="H52:H104" si="22">IFERROR(G52/G$28,0)</f>
        <v>0</v>
      </c>
      <c r="I52" s="178">
        <v>0</v>
      </c>
      <c r="J52" s="80">
        <f t="shared" ref="J52:J104" si="23">IFERROR(I52/I$28,0)</f>
        <v>0</v>
      </c>
      <c r="K52" s="178">
        <v>0</v>
      </c>
      <c r="L52" s="80">
        <f t="shared" ref="L52:L104" si="24">IFERROR(K52/K$28,0)</f>
        <v>0</v>
      </c>
      <c r="M52" s="178">
        <v>0</v>
      </c>
      <c r="N52" s="80">
        <f t="shared" ref="N52:N104" si="25">IFERROR(M52/M$28,0)</f>
        <v>0</v>
      </c>
      <c r="O52" s="178">
        <v>0</v>
      </c>
      <c r="P52" s="80">
        <f t="shared" ref="P52:P104" si="26">IFERROR(O52/O$28,0)</f>
        <v>0</v>
      </c>
      <c r="Q52" s="178">
        <v>0</v>
      </c>
      <c r="R52" s="80">
        <f t="shared" ref="R52:R104" si="27">IFERROR(Q52/Q$28,0)</f>
        <v>0</v>
      </c>
      <c r="S52" s="178">
        <v>0</v>
      </c>
      <c r="T52" s="80">
        <f t="shared" ref="T52:T104" si="28">IFERROR(S52/S$28,0)</f>
        <v>0</v>
      </c>
      <c r="U52" s="178">
        <v>0</v>
      </c>
      <c r="V52" s="80">
        <f t="shared" ref="V52" si="29">IFERROR(U52/U$28,0)</f>
        <v>0</v>
      </c>
      <c r="X52" s="194"/>
    </row>
    <row r="53" spans="1:24" ht="12.75" customHeight="1">
      <c r="A53" s="2" t="s">
        <v>397</v>
      </c>
      <c r="B53" s="35"/>
      <c r="C53" s="178">
        <v>0</v>
      </c>
      <c r="D53" s="80">
        <f t="shared" si="20"/>
        <v>0</v>
      </c>
      <c r="E53" s="178">
        <v>0</v>
      </c>
      <c r="F53" s="80">
        <f t="shared" si="21"/>
        <v>0</v>
      </c>
      <c r="G53" s="178">
        <v>0</v>
      </c>
      <c r="H53" s="80">
        <f t="shared" si="22"/>
        <v>0</v>
      </c>
      <c r="I53" s="178">
        <v>0</v>
      </c>
      <c r="J53" s="80">
        <f t="shared" si="23"/>
        <v>0</v>
      </c>
      <c r="K53" s="178">
        <v>0</v>
      </c>
      <c r="L53" s="80">
        <f t="shared" si="24"/>
        <v>0</v>
      </c>
      <c r="M53" s="178">
        <v>0</v>
      </c>
      <c r="N53" s="80">
        <f t="shared" si="25"/>
        <v>0</v>
      </c>
      <c r="O53" s="178">
        <v>0</v>
      </c>
      <c r="P53" s="80">
        <f t="shared" si="26"/>
        <v>0</v>
      </c>
      <c r="Q53" s="178">
        <v>0</v>
      </c>
      <c r="R53" s="80">
        <f t="shared" si="27"/>
        <v>0</v>
      </c>
      <c r="S53" s="178">
        <v>0</v>
      </c>
      <c r="T53" s="80">
        <f t="shared" si="28"/>
        <v>0</v>
      </c>
      <c r="U53" s="178">
        <v>0</v>
      </c>
      <c r="V53" s="80">
        <f t="shared" ref="V53:V105" si="30">IFERROR(U53/U$28,0)</f>
        <v>0</v>
      </c>
      <c r="X53" s="194"/>
    </row>
    <row r="54" spans="1:24" ht="12.75" customHeight="1">
      <c r="A54" s="2" t="s">
        <v>398</v>
      </c>
      <c r="B54" s="35"/>
      <c r="C54" s="178">
        <v>133.63</v>
      </c>
      <c r="D54" s="80">
        <f t="shared" si="20"/>
        <v>6.9999999999999999E-4</v>
      </c>
      <c r="E54" s="178">
        <v>136.30259999999998</v>
      </c>
      <c r="F54" s="80">
        <f t="shared" si="21"/>
        <v>6.9999999999999988E-4</v>
      </c>
      <c r="G54" s="178">
        <v>139.02865200000002</v>
      </c>
      <c r="H54" s="80">
        <f t="shared" si="22"/>
        <v>7.000000000000001E-4</v>
      </c>
      <c r="I54" s="178">
        <v>141.80922504000003</v>
      </c>
      <c r="J54" s="80">
        <f t="shared" si="23"/>
        <v>7.000000000000001E-4</v>
      </c>
      <c r="K54" s="178">
        <v>144.64540954080002</v>
      </c>
      <c r="L54" s="80">
        <f t="shared" si="24"/>
        <v>6.9999999999999999E-4</v>
      </c>
      <c r="M54" s="178">
        <v>147.53831773161605</v>
      </c>
      <c r="N54" s="80">
        <f t="shared" si="25"/>
        <v>7.000000000000001E-4</v>
      </c>
      <c r="O54" s="178">
        <v>149.78908408624835</v>
      </c>
      <c r="P54" s="80">
        <f t="shared" si="26"/>
        <v>6.9999999999999999E-4</v>
      </c>
      <c r="Q54" s="178">
        <v>152.43486576797332</v>
      </c>
      <c r="R54" s="80">
        <f t="shared" si="27"/>
        <v>6.9999999999999999E-4</v>
      </c>
      <c r="S54" s="178">
        <v>155.48356308333277</v>
      </c>
      <c r="T54" s="80">
        <f t="shared" si="28"/>
        <v>6.9999999999999999E-4</v>
      </c>
      <c r="U54" s="178">
        <v>158.59323434499942</v>
      </c>
      <c r="V54" s="80">
        <f t="shared" si="30"/>
        <v>6.9999999999999999E-4</v>
      </c>
      <c r="X54" s="194"/>
    </row>
    <row r="55" spans="1:24" ht="12.75" customHeight="1">
      <c r="A55" s="2" t="s">
        <v>399</v>
      </c>
      <c r="B55" s="35"/>
      <c r="C55" s="178"/>
      <c r="D55" s="80">
        <f t="shared" si="20"/>
        <v>0</v>
      </c>
      <c r="E55" s="178"/>
      <c r="F55" s="80">
        <f t="shared" si="21"/>
        <v>0</v>
      </c>
      <c r="G55" s="178"/>
      <c r="H55" s="80">
        <f t="shared" si="22"/>
        <v>0</v>
      </c>
      <c r="I55" s="178"/>
      <c r="J55" s="80">
        <f t="shared" si="23"/>
        <v>0</v>
      </c>
      <c r="K55" s="178"/>
      <c r="L55" s="80">
        <f t="shared" si="24"/>
        <v>0</v>
      </c>
      <c r="M55" s="178"/>
      <c r="N55" s="80">
        <f t="shared" si="25"/>
        <v>0</v>
      </c>
      <c r="O55" s="178"/>
      <c r="P55" s="80">
        <f t="shared" si="26"/>
        <v>0</v>
      </c>
      <c r="Q55" s="178"/>
      <c r="R55" s="80">
        <f t="shared" si="27"/>
        <v>0</v>
      </c>
      <c r="S55" s="178"/>
      <c r="T55" s="80">
        <f t="shared" si="28"/>
        <v>0</v>
      </c>
      <c r="U55" s="178"/>
      <c r="V55" s="80">
        <f t="shared" si="30"/>
        <v>0</v>
      </c>
      <c r="X55" s="194"/>
    </row>
    <row r="56" spans="1:24" ht="12.75" customHeight="1">
      <c r="A56" s="2" t="s">
        <v>400</v>
      </c>
      <c r="B56" s="35"/>
      <c r="C56" s="178">
        <v>97.358999999999995</v>
      </c>
      <c r="D56" s="80">
        <f t="shared" si="20"/>
        <v>5.0999999999999993E-4</v>
      </c>
      <c r="E56" s="178">
        <v>99.306179999999998</v>
      </c>
      <c r="F56" s="80">
        <f t="shared" si="21"/>
        <v>5.1000000000000004E-4</v>
      </c>
      <c r="G56" s="178">
        <v>101.29230360000001</v>
      </c>
      <c r="H56" s="80">
        <f t="shared" si="22"/>
        <v>5.1000000000000004E-4</v>
      </c>
      <c r="I56" s="178">
        <v>103.31814967200002</v>
      </c>
      <c r="J56" s="80">
        <f t="shared" si="23"/>
        <v>5.1000000000000004E-4</v>
      </c>
      <c r="K56" s="178">
        <v>105.38451266544003</v>
      </c>
      <c r="L56" s="80">
        <f t="shared" si="24"/>
        <v>5.1000000000000004E-4</v>
      </c>
      <c r="M56" s="178">
        <v>107.49220291874883</v>
      </c>
      <c r="N56" s="80">
        <f t="shared" si="25"/>
        <v>5.1000000000000004E-4</v>
      </c>
      <c r="O56" s="178">
        <v>109.13204697712381</v>
      </c>
      <c r="P56" s="80">
        <f t="shared" si="26"/>
        <v>5.1000000000000004E-4</v>
      </c>
      <c r="Q56" s="178">
        <v>111.05968791666628</v>
      </c>
      <c r="R56" s="80">
        <f t="shared" si="27"/>
        <v>5.1000000000000004E-4</v>
      </c>
      <c r="S56" s="178">
        <v>113.28088167499959</v>
      </c>
      <c r="T56" s="80">
        <f t="shared" si="28"/>
        <v>5.1000000000000004E-4</v>
      </c>
      <c r="U56" s="178">
        <v>115.54649930849958</v>
      </c>
      <c r="V56" s="80">
        <f t="shared" si="30"/>
        <v>5.0999999999999993E-4</v>
      </c>
      <c r="X56" s="194"/>
    </row>
    <row r="57" spans="1:24" ht="12.75" customHeight="1">
      <c r="A57" s="2" t="s">
        <v>401</v>
      </c>
      <c r="B57" s="35"/>
      <c r="C57" s="178">
        <v>0</v>
      </c>
      <c r="D57" s="80">
        <f t="shared" si="20"/>
        <v>0</v>
      </c>
      <c r="E57" s="178">
        <v>0</v>
      </c>
      <c r="F57" s="80">
        <f t="shared" si="21"/>
        <v>0</v>
      </c>
      <c r="G57" s="178">
        <v>0</v>
      </c>
      <c r="H57" s="80">
        <f t="shared" si="22"/>
        <v>0</v>
      </c>
      <c r="I57" s="178">
        <v>0</v>
      </c>
      <c r="J57" s="80">
        <f t="shared" si="23"/>
        <v>0</v>
      </c>
      <c r="K57" s="178">
        <v>0</v>
      </c>
      <c r="L57" s="80">
        <f t="shared" si="24"/>
        <v>0</v>
      </c>
      <c r="M57" s="178">
        <v>0</v>
      </c>
      <c r="N57" s="80">
        <f t="shared" si="25"/>
        <v>0</v>
      </c>
      <c r="O57" s="178">
        <v>0</v>
      </c>
      <c r="P57" s="80">
        <f t="shared" si="26"/>
        <v>0</v>
      </c>
      <c r="Q57" s="178">
        <v>0</v>
      </c>
      <c r="R57" s="80">
        <f t="shared" si="27"/>
        <v>0</v>
      </c>
      <c r="S57" s="178">
        <v>0</v>
      </c>
      <c r="T57" s="80">
        <f t="shared" si="28"/>
        <v>0</v>
      </c>
      <c r="U57" s="178">
        <v>0</v>
      </c>
      <c r="V57" s="80">
        <f t="shared" si="30"/>
        <v>0</v>
      </c>
      <c r="X57" s="194"/>
    </row>
    <row r="58" spans="1:24" ht="12.75" customHeight="1">
      <c r="A58" s="2" t="s">
        <v>402</v>
      </c>
      <c r="B58" s="35"/>
      <c r="C58" s="178">
        <v>0</v>
      </c>
      <c r="D58" s="80">
        <f t="shared" si="20"/>
        <v>0</v>
      </c>
      <c r="E58" s="178">
        <v>0</v>
      </c>
      <c r="F58" s="80">
        <f t="shared" si="21"/>
        <v>0</v>
      </c>
      <c r="G58" s="178">
        <v>0</v>
      </c>
      <c r="H58" s="80">
        <f t="shared" si="22"/>
        <v>0</v>
      </c>
      <c r="I58" s="178">
        <v>0</v>
      </c>
      <c r="J58" s="80">
        <f t="shared" si="23"/>
        <v>0</v>
      </c>
      <c r="K58" s="178">
        <v>0</v>
      </c>
      <c r="L58" s="80">
        <f t="shared" si="24"/>
        <v>0</v>
      </c>
      <c r="M58" s="178">
        <v>0</v>
      </c>
      <c r="N58" s="80">
        <f t="shared" si="25"/>
        <v>0</v>
      </c>
      <c r="O58" s="178">
        <v>0</v>
      </c>
      <c r="P58" s="80">
        <f t="shared" si="26"/>
        <v>0</v>
      </c>
      <c r="Q58" s="178">
        <v>0</v>
      </c>
      <c r="R58" s="80">
        <f t="shared" si="27"/>
        <v>0</v>
      </c>
      <c r="S58" s="178">
        <v>0</v>
      </c>
      <c r="T58" s="80">
        <f t="shared" si="28"/>
        <v>0</v>
      </c>
      <c r="U58" s="178">
        <v>0</v>
      </c>
      <c r="V58" s="80">
        <f t="shared" si="30"/>
        <v>0</v>
      </c>
      <c r="X58" s="194"/>
    </row>
    <row r="59" spans="1:24" ht="12.75" customHeight="1">
      <c r="A59" s="2" t="s">
        <v>403</v>
      </c>
      <c r="B59" s="35"/>
      <c r="C59" s="178"/>
      <c r="D59" s="80">
        <f t="shared" si="20"/>
        <v>0</v>
      </c>
      <c r="E59" s="178"/>
      <c r="F59" s="80">
        <f t="shared" si="21"/>
        <v>0</v>
      </c>
      <c r="G59" s="178"/>
      <c r="H59" s="80">
        <f t="shared" si="22"/>
        <v>0</v>
      </c>
      <c r="I59" s="178"/>
      <c r="J59" s="80">
        <f t="shared" si="23"/>
        <v>0</v>
      </c>
      <c r="K59" s="178"/>
      <c r="L59" s="80">
        <f t="shared" si="24"/>
        <v>0</v>
      </c>
      <c r="M59" s="178"/>
      <c r="N59" s="80">
        <f t="shared" si="25"/>
        <v>0</v>
      </c>
      <c r="O59" s="178"/>
      <c r="P59" s="80">
        <f t="shared" si="26"/>
        <v>0</v>
      </c>
      <c r="Q59" s="178"/>
      <c r="R59" s="80">
        <f t="shared" si="27"/>
        <v>0</v>
      </c>
      <c r="S59" s="178"/>
      <c r="T59" s="80">
        <f t="shared" si="28"/>
        <v>0</v>
      </c>
      <c r="U59" s="178"/>
      <c r="V59" s="80">
        <f t="shared" si="30"/>
        <v>0</v>
      </c>
      <c r="X59" s="194"/>
    </row>
    <row r="60" spans="1:24" ht="12.75" customHeight="1">
      <c r="A60" s="2" t="s">
        <v>404</v>
      </c>
      <c r="B60" s="35"/>
      <c r="C60" s="178">
        <v>0</v>
      </c>
      <c r="D60" s="80">
        <f t="shared" si="20"/>
        <v>0</v>
      </c>
      <c r="E60" s="178">
        <v>0</v>
      </c>
      <c r="F60" s="80">
        <f t="shared" si="21"/>
        <v>0</v>
      </c>
      <c r="G60" s="178">
        <v>0</v>
      </c>
      <c r="H60" s="80">
        <f t="shared" si="22"/>
        <v>0</v>
      </c>
      <c r="I60" s="178">
        <v>0</v>
      </c>
      <c r="J60" s="80">
        <f t="shared" si="23"/>
        <v>0</v>
      </c>
      <c r="K60" s="178">
        <v>0</v>
      </c>
      <c r="L60" s="80">
        <f t="shared" si="24"/>
        <v>0</v>
      </c>
      <c r="M60" s="178">
        <v>0</v>
      </c>
      <c r="N60" s="80">
        <f t="shared" si="25"/>
        <v>0</v>
      </c>
      <c r="O60" s="178">
        <v>0</v>
      </c>
      <c r="P60" s="80">
        <f t="shared" si="26"/>
        <v>0</v>
      </c>
      <c r="Q60" s="178">
        <v>0</v>
      </c>
      <c r="R60" s="80">
        <f t="shared" si="27"/>
        <v>0</v>
      </c>
      <c r="S60" s="178">
        <v>0</v>
      </c>
      <c r="T60" s="80">
        <f t="shared" si="28"/>
        <v>0</v>
      </c>
      <c r="U60" s="178">
        <v>0</v>
      </c>
      <c r="V60" s="80">
        <f t="shared" si="30"/>
        <v>0</v>
      </c>
      <c r="X60" s="194"/>
    </row>
    <row r="61" spans="1:24" ht="12.75" customHeight="1">
      <c r="A61" s="2" t="s">
        <v>405</v>
      </c>
      <c r="B61" s="35"/>
      <c r="C61" s="178">
        <v>0</v>
      </c>
      <c r="D61" s="80">
        <f t="shared" si="20"/>
        <v>0</v>
      </c>
      <c r="E61" s="178">
        <v>0</v>
      </c>
      <c r="F61" s="80">
        <f t="shared" si="21"/>
        <v>0</v>
      </c>
      <c r="G61" s="178">
        <v>0</v>
      </c>
      <c r="H61" s="80">
        <f t="shared" si="22"/>
        <v>0</v>
      </c>
      <c r="I61" s="178">
        <v>0</v>
      </c>
      <c r="J61" s="80">
        <f t="shared" si="23"/>
        <v>0</v>
      </c>
      <c r="K61" s="178">
        <v>0</v>
      </c>
      <c r="L61" s="80">
        <f t="shared" si="24"/>
        <v>0</v>
      </c>
      <c r="M61" s="178">
        <v>0</v>
      </c>
      <c r="N61" s="80">
        <f t="shared" si="25"/>
        <v>0</v>
      </c>
      <c r="O61" s="178">
        <v>0</v>
      </c>
      <c r="P61" s="80">
        <f t="shared" si="26"/>
        <v>0</v>
      </c>
      <c r="Q61" s="178">
        <v>0</v>
      </c>
      <c r="R61" s="80">
        <f t="shared" si="27"/>
        <v>0</v>
      </c>
      <c r="S61" s="178">
        <v>0</v>
      </c>
      <c r="T61" s="80">
        <f t="shared" si="28"/>
        <v>0</v>
      </c>
      <c r="U61" s="178">
        <v>0</v>
      </c>
      <c r="V61" s="80">
        <f t="shared" si="30"/>
        <v>0</v>
      </c>
      <c r="X61" s="194"/>
    </row>
    <row r="62" spans="1:24" ht="12.75" customHeight="1">
      <c r="A62" s="2" t="s">
        <v>406</v>
      </c>
      <c r="B62" s="35"/>
      <c r="C62" s="178">
        <v>0</v>
      </c>
      <c r="D62" s="80">
        <f t="shared" si="20"/>
        <v>0</v>
      </c>
      <c r="E62" s="178">
        <v>0</v>
      </c>
      <c r="F62" s="80">
        <f t="shared" si="21"/>
        <v>0</v>
      </c>
      <c r="G62" s="178">
        <v>0</v>
      </c>
      <c r="H62" s="80">
        <f t="shared" si="22"/>
        <v>0</v>
      </c>
      <c r="I62" s="178">
        <v>0</v>
      </c>
      <c r="J62" s="80">
        <f t="shared" si="23"/>
        <v>0</v>
      </c>
      <c r="K62" s="178">
        <v>0</v>
      </c>
      <c r="L62" s="80">
        <f t="shared" si="24"/>
        <v>0</v>
      </c>
      <c r="M62" s="178">
        <v>0</v>
      </c>
      <c r="N62" s="80">
        <f t="shared" si="25"/>
        <v>0</v>
      </c>
      <c r="O62" s="178">
        <v>0</v>
      </c>
      <c r="P62" s="80">
        <f t="shared" si="26"/>
        <v>0</v>
      </c>
      <c r="Q62" s="178">
        <v>0</v>
      </c>
      <c r="R62" s="80">
        <f t="shared" si="27"/>
        <v>0</v>
      </c>
      <c r="S62" s="178">
        <v>0</v>
      </c>
      <c r="T62" s="80">
        <f t="shared" si="28"/>
        <v>0</v>
      </c>
      <c r="U62" s="178">
        <v>0</v>
      </c>
      <c r="V62" s="80">
        <f t="shared" si="30"/>
        <v>0</v>
      </c>
      <c r="X62" s="194"/>
    </row>
    <row r="63" spans="1:24" ht="12.75" customHeight="1">
      <c r="A63" s="2" t="s">
        <v>407</v>
      </c>
      <c r="B63" s="35"/>
      <c r="C63" s="178">
        <v>2322.4282821490592</v>
      </c>
      <c r="D63" s="80">
        <f t="shared" si="20"/>
        <v>1.2165679843630484E-2</v>
      </c>
      <c r="E63" s="178">
        <v>2403.8503784986369</v>
      </c>
      <c r="F63" s="80">
        <f t="shared" si="21"/>
        <v>1.2345291028557385E-2</v>
      </c>
      <c r="G63" s="178">
        <v>2425.9737620764308</v>
      </c>
      <c r="H63" s="80">
        <f t="shared" si="22"/>
        <v>1.2214616260923693E-2</v>
      </c>
      <c r="I63" s="178">
        <v>2480.8471777369973</v>
      </c>
      <c r="J63" s="80">
        <f t="shared" si="23"/>
        <v>1.224598064001872E-2</v>
      </c>
      <c r="K63" s="178">
        <v>2522.6653235783097</v>
      </c>
      <c r="L63" s="80">
        <f t="shared" si="24"/>
        <v>1.2208238976341108E-2</v>
      </c>
      <c r="M63" s="178">
        <v>2577.4566519712612</v>
      </c>
      <c r="N63" s="80">
        <f t="shared" si="25"/>
        <v>1.2228820852233806E-2</v>
      </c>
      <c r="O63" s="178">
        <v>2622.1717322013897</v>
      </c>
      <c r="P63" s="80">
        <f t="shared" si="26"/>
        <v>1.2254031885822084E-2</v>
      </c>
      <c r="Q63" s="178">
        <v>2676.3250311610077</v>
      </c>
      <c r="R63" s="80">
        <f t="shared" si="27"/>
        <v>1.2290019821740243E-2</v>
      </c>
      <c r="S63" s="178">
        <v>2737.6499224574054</v>
      </c>
      <c r="T63" s="80">
        <f t="shared" si="28"/>
        <v>1.2325128828525087E-2</v>
      </c>
      <c r="U63" s="178">
        <v>2800.9028234255638</v>
      </c>
      <c r="V63" s="80">
        <f t="shared" si="30"/>
        <v>1.236264576162681E-2</v>
      </c>
      <c r="X63" s="194"/>
    </row>
    <row r="64" spans="1:24" ht="12.75" customHeight="1">
      <c r="A64" s="2" t="s">
        <v>408</v>
      </c>
      <c r="B64" s="35"/>
      <c r="C64" s="178">
        <v>916.31999999999994</v>
      </c>
      <c r="D64" s="80">
        <f t="shared" si="20"/>
        <v>4.7999999999999996E-3</v>
      </c>
      <c r="E64" s="178">
        <v>934.64639999999986</v>
      </c>
      <c r="F64" s="80">
        <f t="shared" si="21"/>
        <v>4.7999999999999996E-3</v>
      </c>
      <c r="G64" s="178">
        <v>953.33932800000002</v>
      </c>
      <c r="H64" s="80">
        <f t="shared" si="22"/>
        <v>4.7999999999999996E-3</v>
      </c>
      <c r="I64" s="178">
        <v>972.40611455999999</v>
      </c>
      <c r="J64" s="80">
        <f t="shared" si="23"/>
        <v>4.7999999999999996E-3</v>
      </c>
      <c r="K64" s="178">
        <v>991.8542368512002</v>
      </c>
      <c r="L64" s="80">
        <f t="shared" si="24"/>
        <v>4.8000000000000004E-3</v>
      </c>
      <c r="M64" s="178">
        <v>1011.6913215882241</v>
      </c>
      <c r="N64" s="80">
        <f t="shared" si="25"/>
        <v>4.7999999999999996E-3</v>
      </c>
      <c r="O64" s="178">
        <v>1027.1251480199887</v>
      </c>
      <c r="P64" s="80">
        <f t="shared" si="26"/>
        <v>4.8000000000000004E-3</v>
      </c>
      <c r="Q64" s="178">
        <v>1045.2676509803882</v>
      </c>
      <c r="R64" s="80">
        <f t="shared" si="27"/>
        <v>4.7999999999999987E-3</v>
      </c>
      <c r="S64" s="178">
        <v>1066.1730039999959</v>
      </c>
      <c r="T64" s="80">
        <f t="shared" si="28"/>
        <v>4.7999999999999987E-3</v>
      </c>
      <c r="U64" s="178">
        <v>1087.496464079996</v>
      </c>
      <c r="V64" s="80">
        <f t="shared" si="30"/>
        <v>4.7999999999999996E-3</v>
      </c>
      <c r="X64" s="194"/>
    </row>
    <row r="65" spans="1:24" ht="12.75" customHeight="1">
      <c r="A65" s="2" t="s">
        <v>409</v>
      </c>
      <c r="B65" s="35"/>
      <c r="C65" s="178">
        <v>95.45</v>
      </c>
      <c r="D65" s="80">
        <f t="shared" si="20"/>
        <v>5.0000000000000001E-4</v>
      </c>
      <c r="E65" s="178">
        <v>97.359000000000009</v>
      </c>
      <c r="F65" s="80">
        <f t="shared" si="21"/>
        <v>5.0000000000000001E-4</v>
      </c>
      <c r="G65" s="178">
        <v>99.306180000000012</v>
      </c>
      <c r="H65" s="80">
        <f t="shared" si="22"/>
        <v>5.0000000000000001E-4</v>
      </c>
      <c r="I65" s="178">
        <v>101.29230360000001</v>
      </c>
      <c r="J65" s="80">
        <f t="shared" si="23"/>
        <v>5.0000000000000001E-4</v>
      </c>
      <c r="K65" s="178">
        <v>103.31814967200002</v>
      </c>
      <c r="L65" s="80">
        <f t="shared" si="24"/>
        <v>5.0000000000000001E-4</v>
      </c>
      <c r="M65" s="178">
        <v>105.38451266544001</v>
      </c>
      <c r="N65" s="80">
        <f t="shared" si="25"/>
        <v>4.999999999999999E-4</v>
      </c>
      <c r="O65" s="178">
        <v>106.99220291874883</v>
      </c>
      <c r="P65" s="80">
        <f t="shared" si="26"/>
        <v>5.0000000000000001E-4</v>
      </c>
      <c r="Q65" s="178">
        <v>108.88204697712379</v>
      </c>
      <c r="R65" s="80">
        <f t="shared" si="27"/>
        <v>5.0000000000000001E-4</v>
      </c>
      <c r="S65" s="178">
        <v>111.05968791666626</v>
      </c>
      <c r="T65" s="80">
        <f t="shared" si="28"/>
        <v>5.0000000000000001E-4</v>
      </c>
      <c r="U65" s="178">
        <v>113.28088167499958</v>
      </c>
      <c r="V65" s="80">
        <f t="shared" si="30"/>
        <v>4.999999999999999E-4</v>
      </c>
      <c r="X65" s="194"/>
    </row>
    <row r="66" spans="1:24" ht="12.75" customHeight="1">
      <c r="A66" s="2" t="s">
        <v>410</v>
      </c>
      <c r="B66" s="35"/>
      <c r="C66" s="178">
        <v>534.52</v>
      </c>
      <c r="D66" s="80">
        <f t="shared" si="20"/>
        <v>2.8E-3</v>
      </c>
      <c r="E66" s="178">
        <v>545.21039999999994</v>
      </c>
      <c r="F66" s="80">
        <f t="shared" si="21"/>
        <v>2.7999999999999995E-3</v>
      </c>
      <c r="G66" s="178">
        <v>556.11460800000009</v>
      </c>
      <c r="H66" s="80">
        <f t="shared" si="22"/>
        <v>2.8000000000000004E-3</v>
      </c>
      <c r="I66" s="178">
        <v>567.23690016000012</v>
      </c>
      <c r="J66" s="80">
        <f t="shared" si="23"/>
        <v>2.8000000000000004E-3</v>
      </c>
      <c r="K66" s="178">
        <v>578.58163816320007</v>
      </c>
      <c r="L66" s="80">
        <f t="shared" si="24"/>
        <v>2.8E-3</v>
      </c>
      <c r="M66" s="178">
        <v>590.15327092646419</v>
      </c>
      <c r="N66" s="80">
        <f t="shared" si="25"/>
        <v>2.8000000000000004E-3</v>
      </c>
      <c r="O66" s="178">
        <v>599.15633634499341</v>
      </c>
      <c r="P66" s="80">
        <f t="shared" si="26"/>
        <v>2.8E-3</v>
      </c>
      <c r="Q66" s="178">
        <v>609.73946307189328</v>
      </c>
      <c r="R66" s="80">
        <f t="shared" si="27"/>
        <v>2.8E-3</v>
      </c>
      <c r="S66" s="178">
        <v>621.93425233333107</v>
      </c>
      <c r="T66" s="80">
        <f t="shared" si="28"/>
        <v>2.8E-3</v>
      </c>
      <c r="U66" s="178">
        <v>634.37293737999767</v>
      </c>
      <c r="V66" s="80">
        <f t="shared" si="30"/>
        <v>2.8E-3</v>
      </c>
      <c r="X66" s="194"/>
    </row>
    <row r="67" spans="1:24" ht="12.75" customHeight="1">
      <c r="A67" s="2" t="s">
        <v>411</v>
      </c>
      <c r="B67" s="35"/>
      <c r="C67" s="178">
        <v>2863.5</v>
      </c>
      <c r="D67" s="80">
        <f t="shared" si="20"/>
        <v>1.4999999999999999E-2</v>
      </c>
      <c r="E67" s="178">
        <v>2920.77</v>
      </c>
      <c r="F67" s="80">
        <f t="shared" si="21"/>
        <v>1.4999999999999999E-2</v>
      </c>
      <c r="G67" s="178">
        <v>2979.1854000000003</v>
      </c>
      <c r="H67" s="80">
        <f t="shared" si="22"/>
        <v>1.5000000000000001E-2</v>
      </c>
      <c r="I67" s="178">
        <v>3038.7691080000004</v>
      </c>
      <c r="J67" s="80">
        <f t="shared" si="23"/>
        <v>1.4999999999999999E-2</v>
      </c>
      <c r="K67" s="178">
        <v>3099.5444901600004</v>
      </c>
      <c r="L67" s="80">
        <f t="shared" si="24"/>
        <v>1.4999999999999999E-2</v>
      </c>
      <c r="M67" s="178">
        <v>3161.5353799632007</v>
      </c>
      <c r="N67" s="80">
        <f t="shared" si="25"/>
        <v>1.4999999999999999E-2</v>
      </c>
      <c r="O67" s="178">
        <v>3209.7660875624647</v>
      </c>
      <c r="P67" s="80">
        <f t="shared" si="26"/>
        <v>1.4999999999999999E-2</v>
      </c>
      <c r="Q67" s="178">
        <v>3266.4614093137134</v>
      </c>
      <c r="R67" s="80">
        <f t="shared" si="27"/>
        <v>1.4999999999999998E-2</v>
      </c>
      <c r="S67" s="178">
        <v>3331.790637499988</v>
      </c>
      <c r="T67" s="80">
        <f t="shared" si="28"/>
        <v>1.4999999999999999E-2</v>
      </c>
      <c r="U67" s="178">
        <v>3398.4264502499873</v>
      </c>
      <c r="V67" s="80">
        <f t="shared" si="30"/>
        <v>1.4999999999999998E-2</v>
      </c>
      <c r="X67" s="194"/>
    </row>
    <row r="68" spans="1:24" ht="12.75" customHeight="1">
      <c r="A68" s="2" t="s">
        <v>412</v>
      </c>
      <c r="B68" s="35"/>
      <c r="C68" s="178">
        <v>324.52999999999997</v>
      </c>
      <c r="D68" s="80">
        <f t="shared" si="20"/>
        <v>1.6999999999999999E-3</v>
      </c>
      <c r="E68" s="178">
        <v>331.0206</v>
      </c>
      <c r="F68" s="80">
        <f t="shared" si="21"/>
        <v>1.6999999999999999E-3</v>
      </c>
      <c r="G68" s="178">
        <v>337.64101200000005</v>
      </c>
      <c r="H68" s="80">
        <f t="shared" si="22"/>
        <v>1.7000000000000001E-3</v>
      </c>
      <c r="I68" s="178">
        <v>344.39383223999999</v>
      </c>
      <c r="J68" s="80">
        <f t="shared" si="23"/>
        <v>1.6999999999999997E-3</v>
      </c>
      <c r="K68" s="178">
        <v>351.28170888480003</v>
      </c>
      <c r="L68" s="80">
        <f t="shared" si="24"/>
        <v>1.6999999999999999E-3</v>
      </c>
      <c r="M68" s="178">
        <v>358.30734306249605</v>
      </c>
      <c r="N68" s="80">
        <f t="shared" si="25"/>
        <v>1.6999999999999999E-3</v>
      </c>
      <c r="O68" s="178">
        <v>363.77348992374601</v>
      </c>
      <c r="P68" s="80">
        <f t="shared" si="26"/>
        <v>1.7000000000000001E-3</v>
      </c>
      <c r="Q68" s="178">
        <v>370.19895972222088</v>
      </c>
      <c r="R68" s="80">
        <f t="shared" si="27"/>
        <v>1.6999999999999999E-3</v>
      </c>
      <c r="S68" s="178">
        <v>377.60293891666527</v>
      </c>
      <c r="T68" s="80">
        <f t="shared" si="28"/>
        <v>1.6999999999999997E-3</v>
      </c>
      <c r="U68" s="178">
        <v>385.15499769499854</v>
      </c>
      <c r="V68" s="80">
        <f t="shared" si="30"/>
        <v>1.6999999999999997E-3</v>
      </c>
      <c r="X68" s="194"/>
    </row>
    <row r="69" spans="1:24" ht="12.75" customHeight="1">
      <c r="A69" s="2" t="s">
        <v>413</v>
      </c>
      <c r="B69" s="35"/>
      <c r="C69" s="178">
        <v>0</v>
      </c>
      <c r="D69" s="80">
        <f t="shared" si="20"/>
        <v>0</v>
      </c>
      <c r="E69" s="178">
        <v>0</v>
      </c>
      <c r="F69" s="80">
        <f t="shared" si="21"/>
        <v>0</v>
      </c>
      <c r="G69" s="178">
        <v>0</v>
      </c>
      <c r="H69" s="80">
        <f t="shared" si="22"/>
        <v>0</v>
      </c>
      <c r="I69" s="178">
        <v>0</v>
      </c>
      <c r="J69" s="80">
        <f t="shared" si="23"/>
        <v>0</v>
      </c>
      <c r="K69" s="178">
        <v>0</v>
      </c>
      <c r="L69" s="80">
        <f t="shared" si="24"/>
        <v>0</v>
      </c>
      <c r="M69" s="178">
        <v>0</v>
      </c>
      <c r="N69" s="80">
        <f t="shared" si="25"/>
        <v>0</v>
      </c>
      <c r="O69" s="178">
        <v>0</v>
      </c>
      <c r="P69" s="80">
        <f t="shared" si="26"/>
        <v>0</v>
      </c>
      <c r="Q69" s="178">
        <v>0</v>
      </c>
      <c r="R69" s="80">
        <f t="shared" si="27"/>
        <v>0</v>
      </c>
      <c r="S69" s="178">
        <v>0</v>
      </c>
      <c r="T69" s="80">
        <f t="shared" si="28"/>
        <v>0</v>
      </c>
      <c r="U69" s="178">
        <v>0</v>
      </c>
      <c r="V69" s="80">
        <f t="shared" si="30"/>
        <v>0</v>
      </c>
      <c r="X69" s="194"/>
    </row>
    <row r="70" spans="1:24" ht="12.75" customHeight="1">
      <c r="A70" s="2" t="s">
        <v>414</v>
      </c>
      <c r="B70" s="35"/>
      <c r="C70" s="178">
        <v>19.090000000000003</v>
      </c>
      <c r="D70" s="80">
        <f t="shared" si="20"/>
        <v>1.0000000000000002E-4</v>
      </c>
      <c r="E70" s="178">
        <v>19.471800000000002</v>
      </c>
      <c r="F70" s="80">
        <f t="shared" si="21"/>
        <v>1E-4</v>
      </c>
      <c r="G70" s="178">
        <v>19.861236000000005</v>
      </c>
      <c r="H70" s="80">
        <f t="shared" si="22"/>
        <v>1.0000000000000002E-4</v>
      </c>
      <c r="I70" s="178">
        <v>20.258460720000002</v>
      </c>
      <c r="J70" s="80">
        <f t="shared" si="23"/>
        <v>9.9999999999999991E-5</v>
      </c>
      <c r="K70" s="178">
        <v>20.663629934400003</v>
      </c>
      <c r="L70" s="80">
        <f t="shared" si="24"/>
        <v>1E-4</v>
      </c>
      <c r="M70" s="178">
        <v>21.076902533088006</v>
      </c>
      <c r="N70" s="80">
        <f t="shared" si="25"/>
        <v>1E-4</v>
      </c>
      <c r="O70" s="178">
        <v>21.398440583749764</v>
      </c>
      <c r="P70" s="80">
        <f t="shared" si="26"/>
        <v>9.9999999999999991E-5</v>
      </c>
      <c r="Q70" s="178">
        <v>21.776409395424761</v>
      </c>
      <c r="R70" s="80">
        <f t="shared" si="27"/>
        <v>1E-4</v>
      </c>
      <c r="S70" s="178">
        <v>22.211937583333253</v>
      </c>
      <c r="T70" s="80">
        <f t="shared" si="28"/>
        <v>9.9999999999999991E-5</v>
      </c>
      <c r="U70" s="178">
        <v>22.656176334999916</v>
      </c>
      <c r="V70" s="80">
        <f t="shared" si="30"/>
        <v>9.9999999999999991E-5</v>
      </c>
      <c r="X70" s="194"/>
    </row>
    <row r="71" spans="1:24" ht="12.75" customHeight="1">
      <c r="A71" s="2" t="s">
        <v>415</v>
      </c>
      <c r="B71" s="35"/>
      <c r="C71" s="178">
        <v>0</v>
      </c>
      <c r="D71" s="80">
        <f t="shared" si="20"/>
        <v>0</v>
      </c>
      <c r="E71" s="178">
        <v>0</v>
      </c>
      <c r="F71" s="80">
        <f t="shared" si="21"/>
        <v>0</v>
      </c>
      <c r="G71" s="178">
        <v>0</v>
      </c>
      <c r="H71" s="80">
        <f t="shared" si="22"/>
        <v>0</v>
      </c>
      <c r="I71" s="178">
        <v>0</v>
      </c>
      <c r="J71" s="80">
        <f t="shared" si="23"/>
        <v>0</v>
      </c>
      <c r="K71" s="178">
        <v>0</v>
      </c>
      <c r="L71" s="80">
        <f t="shared" si="24"/>
        <v>0</v>
      </c>
      <c r="M71" s="178">
        <v>0</v>
      </c>
      <c r="N71" s="80">
        <f t="shared" si="25"/>
        <v>0</v>
      </c>
      <c r="O71" s="178">
        <v>0</v>
      </c>
      <c r="P71" s="80">
        <f t="shared" si="26"/>
        <v>0</v>
      </c>
      <c r="Q71" s="178">
        <v>0</v>
      </c>
      <c r="R71" s="80">
        <f t="shared" si="27"/>
        <v>0</v>
      </c>
      <c r="S71" s="178">
        <v>0</v>
      </c>
      <c r="T71" s="80">
        <f t="shared" si="28"/>
        <v>0</v>
      </c>
      <c r="U71" s="178">
        <v>0</v>
      </c>
      <c r="V71" s="80">
        <f t="shared" si="30"/>
        <v>0</v>
      </c>
      <c r="X71" s="194"/>
    </row>
    <row r="72" spans="1:24" ht="12.75" customHeight="1">
      <c r="A72" s="2" t="s">
        <v>416</v>
      </c>
      <c r="B72" s="35"/>
      <c r="C72" s="178">
        <v>0</v>
      </c>
      <c r="D72" s="80">
        <f t="shared" si="20"/>
        <v>0</v>
      </c>
      <c r="E72" s="178">
        <v>0</v>
      </c>
      <c r="F72" s="80">
        <f t="shared" si="21"/>
        <v>0</v>
      </c>
      <c r="G72" s="178">
        <v>0</v>
      </c>
      <c r="H72" s="80">
        <f t="shared" si="22"/>
        <v>0</v>
      </c>
      <c r="I72" s="178">
        <v>0</v>
      </c>
      <c r="J72" s="80">
        <f t="shared" si="23"/>
        <v>0</v>
      </c>
      <c r="K72" s="178">
        <v>0</v>
      </c>
      <c r="L72" s="80">
        <f t="shared" si="24"/>
        <v>0</v>
      </c>
      <c r="M72" s="178">
        <v>0</v>
      </c>
      <c r="N72" s="80">
        <f t="shared" si="25"/>
        <v>0</v>
      </c>
      <c r="O72" s="178">
        <v>0</v>
      </c>
      <c r="P72" s="80">
        <f t="shared" si="26"/>
        <v>0</v>
      </c>
      <c r="Q72" s="178">
        <v>0</v>
      </c>
      <c r="R72" s="80">
        <f t="shared" si="27"/>
        <v>0</v>
      </c>
      <c r="S72" s="178">
        <v>0</v>
      </c>
      <c r="T72" s="80">
        <f t="shared" si="28"/>
        <v>0</v>
      </c>
      <c r="U72" s="178">
        <v>0</v>
      </c>
      <c r="V72" s="80">
        <f t="shared" si="30"/>
        <v>0</v>
      </c>
      <c r="X72" s="194"/>
    </row>
    <row r="73" spans="1:24" ht="12.75" customHeight="1">
      <c r="A73" s="2" t="s">
        <v>417</v>
      </c>
      <c r="B73" s="35"/>
      <c r="C73" s="178">
        <v>0</v>
      </c>
      <c r="D73" s="80">
        <f t="shared" si="20"/>
        <v>0</v>
      </c>
      <c r="E73" s="178">
        <v>0</v>
      </c>
      <c r="F73" s="80">
        <f t="shared" si="21"/>
        <v>0</v>
      </c>
      <c r="G73" s="178">
        <v>0</v>
      </c>
      <c r="H73" s="80">
        <f t="shared" si="22"/>
        <v>0</v>
      </c>
      <c r="I73" s="178">
        <v>0</v>
      </c>
      <c r="J73" s="80">
        <f t="shared" si="23"/>
        <v>0</v>
      </c>
      <c r="K73" s="178">
        <v>0</v>
      </c>
      <c r="L73" s="80">
        <f t="shared" si="24"/>
        <v>0</v>
      </c>
      <c r="M73" s="178">
        <v>0</v>
      </c>
      <c r="N73" s="80">
        <f t="shared" si="25"/>
        <v>0</v>
      </c>
      <c r="O73" s="178">
        <v>0</v>
      </c>
      <c r="P73" s="80">
        <f t="shared" si="26"/>
        <v>0</v>
      </c>
      <c r="Q73" s="178">
        <v>0</v>
      </c>
      <c r="R73" s="80">
        <f t="shared" si="27"/>
        <v>0</v>
      </c>
      <c r="S73" s="178">
        <v>0</v>
      </c>
      <c r="T73" s="80">
        <f t="shared" si="28"/>
        <v>0</v>
      </c>
      <c r="U73" s="178">
        <v>0</v>
      </c>
      <c r="V73" s="80">
        <f t="shared" si="30"/>
        <v>0</v>
      </c>
      <c r="X73" s="194"/>
    </row>
    <row r="74" spans="1:24" ht="12.75" customHeight="1">
      <c r="A74" s="2" t="s">
        <v>418</v>
      </c>
      <c r="B74" s="35"/>
      <c r="C74" s="178">
        <v>0</v>
      </c>
      <c r="D74" s="80">
        <f t="shared" si="20"/>
        <v>0</v>
      </c>
      <c r="E74" s="178">
        <v>0</v>
      </c>
      <c r="F74" s="80">
        <f t="shared" si="21"/>
        <v>0</v>
      </c>
      <c r="G74" s="178">
        <v>0</v>
      </c>
      <c r="H74" s="80">
        <f t="shared" si="22"/>
        <v>0</v>
      </c>
      <c r="I74" s="178">
        <v>0</v>
      </c>
      <c r="J74" s="80">
        <f t="shared" si="23"/>
        <v>0</v>
      </c>
      <c r="K74" s="178">
        <v>0</v>
      </c>
      <c r="L74" s="80">
        <f t="shared" si="24"/>
        <v>0</v>
      </c>
      <c r="M74" s="178">
        <v>0</v>
      </c>
      <c r="N74" s="80">
        <f t="shared" si="25"/>
        <v>0</v>
      </c>
      <c r="O74" s="178">
        <v>0</v>
      </c>
      <c r="P74" s="80">
        <f t="shared" si="26"/>
        <v>0</v>
      </c>
      <c r="Q74" s="178">
        <v>0</v>
      </c>
      <c r="R74" s="80">
        <f t="shared" si="27"/>
        <v>0</v>
      </c>
      <c r="S74" s="178">
        <v>0</v>
      </c>
      <c r="T74" s="80">
        <f t="shared" si="28"/>
        <v>0</v>
      </c>
      <c r="U74" s="178">
        <v>0</v>
      </c>
      <c r="V74" s="80">
        <f t="shared" si="30"/>
        <v>0</v>
      </c>
      <c r="X74" s="194"/>
    </row>
    <row r="75" spans="1:24" ht="12.75" customHeight="1">
      <c r="A75" s="2" t="s">
        <v>419</v>
      </c>
      <c r="B75" s="35"/>
      <c r="C75" s="178">
        <v>859.05</v>
      </c>
      <c r="D75" s="80">
        <f t="shared" si="20"/>
        <v>4.4999999999999997E-3</v>
      </c>
      <c r="E75" s="178">
        <v>876.23099999999999</v>
      </c>
      <c r="F75" s="80">
        <f t="shared" si="21"/>
        <v>4.4999999999999997E-3</v>
      </c>
      <c r="G75" s="178">
        <v>893.75562000000002</v>
      </c>
      <c r="H75" s="80">
        <f t="shared" si="22"/>
        <v>4.4999999999999997E-3</v>
      </c>
      <c r="I75" s="178">
        <v>911.63073240000006</v>
      </c>
      <c r="J75" s="80">
        <f t="shared" si="23"/>
        <v>4.4999999999999997E-3</v>
      </c>
      <c r="K75" s="178">
        <v>929.86334704800004</v>
      </c>
      <c r="L75" s="80">
        <f t="shared" si="24"/>
        <v>4.4999999999999997E-3</v>
      </c>
      <c r="M75" s="178">
        <v>948.46061398896018</v>
      </c>
      <c r="N75" s="80">
        <f t="shared" si="25"/>
        <v>4.4999999999999997E-3</v>
      </c>
      <c r="O75" s="178">
        <v>962.92982626873936</v>
      </c>
      <c r="P75" s="80">
        <f t="shared" si="26"/>
        <v>4.4999999999999997E-3</v>
      </c>
      <c r="Q75" s="178">
        <v>979.9384227941141</v>
      </c>
      <c r="R75" s="80">
        <f t="shared" si="27"/>
        <v>4.4999999999999997E-3</v>
      </c>
      <c r="S75" s="178">
        <v>999.53719124999623</v>
      </c>
      <c r="T75" s="80">
        <f t="shared" si="28"/>
        <v>4.4999999999999988E-3</v>
      </c>
      <c r="U75" s="178">
        <v>1019.5279350749962</v>
      </c>
      <c r="V75" s="80">
        <f t="shared" si="30"/>
        <v>4.4999999999999997E-3</v>
      </c>
      <c r="X75" s="194"/>
    </row>
    <row r="76" spans="1:24" ht="12.75" customHeight="1">
      <c r="A76" s="2" t="s">
        <v>420</v>
      </c>
      <c r="B76" s="35"/>
      <c r="C76" s="178">
        <v>76.360000000000014</v>
      </c>
      <c r="D76" s="80">
        <f t="shared" si="20"/>
        <v>4.0000000000000007E-4</v>
      </c>
      <c r="E76" s="178">
        <v>77.887200000000007</v>
      </c>
      <c r="F76" s="80">
        <f t="shared" si="21"/>
        <v>4.0000000000000002E-4</v>
      </c>
      <c r="G76" s="178">
        <v>79.444944000000021</v>
      </c>
      <c r="H76" s="80">
        <f t="shared" si="22"/>
        <v>4.0000000000000007E-4</v>
      </c>
      <c r="I76" s="178">
        <v>81.033842880000009</v>
      </c>
      <c r="J76" s="80">
        <f t="shared" si="23"/>
        <v>3.9999999999999996E-4</v>
      </c>
      <c r="K76" s="178">
        <v>82.654519737600012</v>
      </c>
      <c r="L76" s="80">
        <f t="shared" si="24"/>
        <v>4.0000000000000002E-4</v>
      </c>
      <c r="M76" s="178">
        <v>84.307610132352025</v>
      </c>
      <c r="N76" s="80">
        <f t="shared" si="25"/>
        <v>4.0000000000000002E-4</v>
      </c>
      <c r="O76" s="178">
        <v>85.593762334999056</v>
      </c>
      <c r="P76" s="80">
        <f t="shared" si="26"/>
        <v>3.9999999999999996E-4</v>
      </c>
      <c r="Q76" s="178">
        <v>87.105637581699042</v>
      </c>
      <c r="R76" s="80">
        <f t="shared" si="27"/>
        <v>4.0000000000000002E-4</v>
      </c>
      <c r="S76" s="178">
        <v>88.847750333333011</v>
      </c>
      <c r="T76" s="80">
        <f t="shared" si="28"/>
        <v>3.9999999999999996E-4</v>
      </c>
      <c r="U76" s="178">
        <v>90.624705339999664</v>
      </c>
      <c r="V76" s="80">
        <f t="shared" si="30"/>
        <v>3.9999999999999996E-4</v>
      </c>
      <c r="X76" s="194"/>
    </row>
    <row r="77" spans="1:24" ht="12.75" customHeight="1">
      <c r="A77" s="2" t="s">
        <v>421</v>
      </c>
      <c r="B77" s="35"/>
      <c r="C77" s="178">
        <v>248.17000000000002</v>
      </c>
      <c r="D77" s="80">
        <f t="shared" si="20"/>
        <v>1.3000000000000002E-3</v>
      </c>
      <c r="E77" s="178">
        <v>253.13339999999999</v>
      </c>
      <c r="F77" s="80">
        <f t="shared" si="21"/>
        <v>1.2999999999999999E-3</v>
      </c>
      <c r="G77" s="178">
        <v>258.19606800000003</v>
      </c>
      <c r="H77" s="80">
        <f t="shared" si="22"/>
        <v>1.2999999999999999E-3</v>
      </c>
      <c r="I77" s="178">
        <v>263.35998936000004</v>
      </c>
      <c r="J77" s="80">
        <f t="shared" si="23"/>
        <v>1.2999999999999999E-3</v>
      </c>
      <c r="K77" s="178">
        <v>268.6271891472</v>
      </c>
      <c r="L77" s="80">
        <f t="shared" si="24"/>
        <v>1.2999999999999997E-3</v>
      </c>
      <c r="M77" s="178">
        <v>273.99973293014403</v>
      </c>
      <c r="N77" s="80">
        <f t="shared" si="25"/>
        <v>1.2999999999999999E-3</v>
      </c>
      <c r="O77" s="178">
        <v>278.17972758874691</v>
      </c>
      <c r="P77" s="80">
        <f t="shared" si="26"/>
        <v>1.2999999999999999E-3</v>
      </c>
      <c r="Q77" s="178">
        <v>283.09332214052182</v>
      </c>
      <c r="R77" s="80">
        <f t="shared" si="27"/>
        <v>1.2999999999999997E-3</v>
      </c>
      <c r="S77" s="178">
        <v>288.75518858333231</v>
      </c>
      <c r="T77" s="80">
        <f t="shared" si="28"/>
        <v>1.3000000000000002E-3</v>
      </c>
      <c r="U77" s="178">
        <v>294.53029235499895</v>
      </c>
      <c r="V77" s="80">
        <f t="shared" si="30"/>
        <v>1.3000000000000002E-3</v>
      </c>
      <c r="X77" s="194"/>
    </row>
    <row r="78" spans="1:24" ht="12.75" customHeight="1">
      <c r="A78" s="2" t="s">
        <v>422</v>
      </c>
      <c r="B78" s="35"/>
      <c r="C78" s="178">
        <v>4199.8</v>
      </c>
      <c r="D78" s="80">
        <f t="shared" si="20"/>
        <v>2.2000000000000002E-2</v>
      </c>
      <c r="E78" s="178">
        <v>4283.7959999999994</v>
      </c>
      <c r="F78" s="80">
        <f t="shared" si="21"/>
        <v>2.1999999999999995E-2</v>
      </c>
      <c r="G78" s="178">
        <v>4369.47192</v>
      </c>
      <c r="H78" s="80">
        <f t="shared" si="22"/>
        <v>2.1999999999999999E-2</v>
      </c>
      <c r="I78" s="178">
        <v>4456.8613584000004</v>
      </c>
      <c r="J78" s="80">
        <f t="shared" si="23"/>
        <v>2.1999999999999999E-2</v>
      </c>
      <c r="K78" s="178">
        <v>4545.9985855680006</v>
      </c>
      <c r="L78" s="80">
        <f t="shared" si="24"/>
        <v>2.1999999999999999E-2</v>
      </c>
      <c r="M78" s="178">
        <v>4636.9185572793613</v>
      </c>
      <c r="N78" s="80">
        <f t="shared" si="25"/>
        <v>2.2000000000000002E-2</v>
      </c>
      <c r="O78" s="178">
        <v>4707.6569284249481</v>
      </c>
      <c r="P78" s="80">
        <f t="shared" si="26"/>
        <v>2.1999999999999999E-2</v>
      </c>
      <c r="Q78" s="178">
        <v>4790.8100669934465</v>
      </c>
      <c r="R78" s="80">
        <f t="shared" si="27"/>
        <v>2.1999999999999999E-2</v>
      </c>
      <c r="S78" s="178">
        <v>4886.6262683333152</v>
      </c>
      <c r="T78" s="80">
        <f t="shared" si="28"/>
        <v>2.1999999999999999E-2</v>
      </c>
      <c r="U78" s="178">
        <v>4984.358793699982</v>
      </c>
      <c r="V78" s="80">
        <f t="shared" si="30"/>
        <v>2.1999999999999999E-2</v>
      </c>
      <c r="X78" s="194"/>
    </row>
    <row r="79" spans="1:24" ht="12.75" customHeight="1">
      <c r="A79" s="2" t="s">
        <v>423</v>
      </c>
      <c r="B79" s="35"/>
      <c r="C79" s="178">
        <v>0</v>
      </c>
      <c r="D79" s="80">
        <f t="shared" si="20"/>
        <v>0</v>
      </c>
      <c r="E79" s="178">
        <v>0</v>
      </c>
      <c r="F79" s="80">
        <f t="shared" si="21"/>
        <v>0</v>
      </c>
      <c r="G79" s="178">
        <v>0</v>
      </c>
      <c r="H79" s="80">
        <f t="shared" si="22"/>
        <v>0</v>
      </c>
      <c r="I79" s="178">
        <v>0</v>
      </c>
      <c r="J79" s="80">
        <f t="shared" si="23"/>
        <v>0</v>
      </c>
      <c r="K79" s="178">
        <v>0</v>
      </c>
      <c r="L79" s="80">
        <f t="shared" si="24"/>
        <v>0</v>
      </c>
      <c r="M79" s="178">
        <v>0</v>
      </c>
      <c r="N79" s="80">
        <f t="shared" si="25"/>
        <v>0</v>
      </c>
      <c r="O79" s="178">
        <v>0</v>
      </c>
      <c r="P79" s="80">
        <f t="shared" si="26"/>
        <v>0</v>
      </c>
      <c r="Q79" s="178">
        <v>0</v>
      </c>
      <c r="R79" s="80">
        <f t="shared" si="27"/>
        <v>0</v>
      </c>
      <c r="S79" s="178">
        <v>0</v>
      </c>
      <c r="T79" s="80">
        <f t="shared" si="28"/>
        <v>0</v>
      </c>
      <c r="U79" s="178">
        <v>0</v>
      </c>
      <c r="V79" s="80">
        <f t="shared" si="30"/>
        <v>0</v>
      </c>
      <c r="X79" s="194"/>
    </row>
    <row r="80" spans="1:24" ht="12.75" customHeight="1">
      <c r="A80" s="2" t="s">
        <v>424</v>
      </c>
      <c r="B80" s="35"/>
      <c r="C80" s="178">
        <v>0</v>
      </c>
      <c r="D80" s="80">
        <f t="shared" si="20"/>
        <v>0</v>
      </c>
      <c r="E80" s="178">
        <v>0</v>
      </c>
      <c r="F80" s="80">
        <f t="shared" si="21"/>
        <v>0</v>
      </c>
      <c r="G80" s="178">
        <v>0</v>
      </c>
      <c r="H80" s="80">
        <f t="shared" si="22"/>
        <v>0</v>
      </c>
      <c r="I80" s="178">
        <v>0</v>
      </c>
      <c r="J80" s="80">
        <f t="shared" si="23"/>
        <v>0</v>
      </c>
      <c r="K80" s="178">
        <v>0</v>
      </c>
      <c r="L80" s="80">
        <f t="shared" si="24"/>
        <v>0</v>
      </c>
      <c r="M80" s="178">
        <v>0</v>
      </c>
      <c r="N80" s="80">
        <f t="shared" si="25"/>
        <v>0</v>
      </c>
      <c r="O80" s="178">
        <v>0</v>
      </c>
      <c r="P80" s="80">
        <f t="shared" si="26"/>
        <v>0</v>
      </c>
      <c r="Q80" s="178">
        <v>0</v>
      </c>
      <c r="R80" s="80">
        <f t="shared" si="27"/>
        <v>0</v>
      </c>
      <c r="S80" s="178">
        <v>0</v>
      </c>
      <c r="T80" s="80">
        <f t="shared" si="28"/>
        <v>0</v>
      </c>
      <c r="U80" s="178">
        <v>0</v>
      </c>
      <c r="V80" s="80">
        <f t="shared" si="30"/>
        <v>0</v>
      </c>
      <c r="X80" s="194"/>
    </row>
    <row r="81" spans="1:24" ht="12.75" customHeight="1">
      <c r="A81" s="2" t="s">
        <v>425</v>
      </c>
      <c r="B81" s="35"/>
      <c r="C81" s="178">
        <v>0</v>
      </c>
      <c r="D81" s="80">
        <f t="shared" si="20"/>
        <v>0</v>
      </c>
      <c r="E81" s="178">
        <v>0</v>
      </c>
      <c r="F81" s="80">
        <f t="shared" si="21"/>
        <v>0</v>
      </c>
      <c r="G81" s="178">
        <v>0</v>
      </c>
      <c r="H81" s="80">
        <f t="shared" si="22"/>
        <v>0</v>
      </c>
      <c r="I81" s="178">
        <v>0</v>
      </c>
      <c r="J81" s="80">
        <f t="shared" si="23"/>
        <v>0</v>
      </c>
      <c r="K81" s="178">
        <v>0</v>
      </c>
      <c r="L81" s="80">
        <f t="shared" si="24"/>
        <v>0</v>
      </c>
      <c r="M81" s="178">
        <v>0</v>
      </c>
      <c r="N81" s="80">
        <f t="shared" si="25"/>
        <v>0</v>
      </c>
      <c r="O81" s="178">
        <v>0</v>
      </c>
      <c r="P81" s="80">
        <f t="shared" si="26"/>
        <v>0</v>
      </c>
      <c r="Q81" s="178">
        <v>0</v>
      </c>
      <c r="R81" s="80">
        <f t="shared" si="27"/>
        <v>0</v>
      </c>
      <c r="S81" s="178">
        <v>0</v>
      </c>
      <c r="T81" s="80">
        <f t="shared" si="28"/>
        <v>0</v>
      </c>
      <c r="U81" s="178">
        <v>0</v>
      </c>
      <c r="V81" s="80">
        <f t="shared" si="30"/>
        <v>0</v>
      </c>
      <c r="X81" s="194"/>
    </row>
    <row r="82" spans="1:24" ht="12.75" customHeight="1">
      <c r="A82" s="2" t="s">
        <v>426</v>
      </c>
      <c r="B82" s="35"/>
      <c r="C82" s="178">
        <v>0</v>
      </c>
      <c r="D82" s="80">
        <f t="shared" si="20"/>
        <v>0</v>
      </c>
      <c r="E82" s="178">
        <v>0</v>
      </c>
      <c r="F82" s="80">
        <f t="shared" si="21"/>
        <v>0</v>
      </c>
      <c r="G82" s="178">
        <v>0</v>
      </c>
      <c r="H82" s="80">
        <f t="shared" si="22"/>
        <v>0</v>
      </c>
      <c r="I82" s="178">
        <v>0</v>
      </c>
      <c r="J82" s="80">
        <f t="shared" si="23"/>
        <v>0</v>
      </c>
      <c r="K82" s="178">
        <v>0</v>
      </c>
      <c r="L82" s="80">
        <f t="shared" si="24"/>
        <v>0</v>
      </c>
      <c r="M82" s="178">
        <v>0</v>
      </c>
      <c r="N82" s="80">
        <f t="shared" si="25"/>
        <v>0</v>
      </c>
      <c r="O82" s="178">
        <v>0</v>
      </c>
      <c r="P82" s="80">
        <f t="shared" si="26"/>
        <v>0</v>
      </c>
      <c r="Q82" s="178">
        <v>0</v>
      </c>
      <c r="R82" s="80">
        <f t="shared" si="27"/>
        <v>0</v>
      </c>
      <c r="S82" s="178">
        <v>0</v>
      </c>
      <c r="T82" s="80">
        <f t="shared" si="28"/>
        <v>0</v>
      </c>
      <c r="U82" s="178">
        <v>0</v>
      </c>
      <c r="V82" s="80">
        <f t="shared" si="30"/>
        <v>0</v>
      </c>
      <c r="X82" s="194"/>
    </row>
    <row r="83" spans="1:24" ht="12.75" customHeight="1">
      <c r="A83" s="2" t="s">
        <v>427</v>
      </c>
      <c r="B83" s="35"/>
      <c r="C83" s="178">
        <v>0</v>
      </c>
      <c r="D83" s="80">
        <f t="shared" si="20"/>
        <v>0</v>
      </c>
      <c r="E83" s="178">
        <v>0</v>
      </c>
      <c r="F83" s="80">
        <f t="shared" si="21"/>
        <v>0</v>
      </c>
      <c r="G83" s="178">
        <v>0</v>
      </c>
      <c r="H83" s="80">
        <f t="shared" si="22"/>
        <v>0</v>
      </c>
      <c r="I83" s="178">
        <v>0</v>
      </c>
      <c r="J83" s="80">
        <f t="shared" si="23"/>
        <v>0</v>
      </c>
      <c r="K83" s="178">
        <v>0</v>
      </c>
      <c r="L83" s="80">
        <f t="shared" si="24"/>
        <v>0</v>
      </c>
      <c r="M83" s="178">
        <v>0</v>
      </c>
      <c r="N83" s="80">
        <f t="shared" si="25"/>
        <v>0</v>
      </c>
      <c r="O83" s="178">
        <v>0</v>
      </c>
      <c r="P83" s="80">
        <f t="shared" si="26"/>
        <v>0</v>
      </c>
      <c r="Q83" s="178">
        <v>0</v>
      </c>
      <c r="R83" s="80">
        <f t="shared" si="27"/>
        <v>0</v>
      </c>
      <c r="S83" s="178">
        <v>0</v>
      </c>
      <c r="T83" s="80">
        <f t="shared" si="28"/>
        <v>0</v>
      </c>
      <c r="U83" s="178">
        <v>0</v>
      </c>
      <c r="V83" s="80">
        <f t="shared" si="30"/>
        <v>0</v>
      </c>
      <c r="X83" s="194"/>
    </row>
    <row r="84" spans="1:24" ht="12.75" customHeight="1">
      <c r="A84" s="2" t="s">
        <v>428</v>
      </c>
      <c r="B84" s="35"/>
      <c r="C84" s="178">
        <v>0</v>
      </c>
      <c r="D84" s="80">
        <f t="shared" si="20"/>
        <v>0</v>
      </c>
      <c r="E84" s="178">
        <v>0</v>
      </c>
      <c r="F84" s="80">
        <f t="shared" si="21"/>
        <v>0</v>
      </c>
      <c r="G84" s="178">
        <v>0</v>
      </c>
      <c r="H84" s="80">
        <f t="shared" si="22"/>
        <v>0</v>
      </c>
      <c r="I84" s="178">
        <v>0</v>
      </c>
      <c r="J84" s="80">
        <f t="shared" si="23"/>
        <v>0</v>
      </c>
      <c r="K84" s="178">
        <v>0</v>
      </c>
      <c r="L84" s="80">
        <f t="shared" si="24"/>
        <v>0</v>
      </c>
      <c r="M84" s="178">
        <v>0</v>
      </c>
      <c r="N84" s="80">
        <f t="shared" si="25"/>
        <v>0</v>
      </c>
      <c r="O84" s="178">
        <v>0</v>
      </c>
      <c r="P84" s="80">
        <f t="shared" si="26"/>
        <v>0</v>
      </c>
      <c r="Q84" s="178">
        <v>0</v>
      </c>
      <c r="R84" s="80">
        <f t="shared" si="27"/>
        <v>0</v>
      </c>
      <c r="S84" s="178">
        <v>0</v>
      </c>
      <c r="T84" s="80">
        <f t="shared" si="28"/>
        <v>0</v>
      </c>
      <c r="U84" s="178">
        <v>0</v>
      </c>
      <c r="V84" s="80">
        <f t="shared" si="30"/>
        <v>0</v>
      </c>
      <c r="X84" s="194"/>
    </row>
    <row r="85" spans="1:24" ht="12.75" customHeight="1">
      <c r="A85" s="2" t="s">
        <v>429</v>
      </c>
      <c r="B85" s="35"/>
      <c r="C85" s="178">
        <v>0</v>
      </c>
      <c r="D85" s="80">
        <f t="shared" si="20"/>
        <v>0</v>
      </c>
      <c r="E85" s="178">
        <v>0</v>
      </c>
      <c r="F85" s="80">
        <f t="shared" si="21"/>
        <v>0</v>
      </c>
      <c r="G85" s="178">
        <v>0</v>
      </c>
      <c r="H85" s="80">
        <f t="shared" si="22"/>
        <v>0</v>
      </c>
      <c r="I85" s="178">
        <v>0</v>
      </c>
      <c r="J85" s="80">
        <f t="shared" si="23"/>
        <v>0</v>
      </c>
      <c r="K85" s="178">
        <v>0</v>
      </c>
      <c r="L85" s="80">
        <f t="shared" si="24"/>
        <v>0</v>
      </c>
      <c r="M85" s="178">
        <v>0</v>
      </c>
      <c r="N85" s="80">
        <f t="shared" si="25"/>
        <v>0</v>
      </c>
      <c r="O85" s="178">
        <v>0</v>
      </c>
      <c r="P85" s="80">
        <f t="shared" si="26"/>
        <v>0</v>
      </c>
      <c r="Q85" s="178">
        <v>0</v>
      </c>
      <c r="R85" s="80">
        <f t="shared" si="27"/>
        <v>0</v>
      </c>
      <c r="S85" s="178">
        <v>0</v>
      </c>
      <c r="T85" s="80">
        <f t="shared" si="28"/>
        <v>0</v>
      </c>
      <c r="U85" s="178">
        <v>0</v>
      </c>
      <c r="V85" s="80">
        <f t="shared" si="30"/>
        <v>0</v>
      </c>
      <c r="X85" s="194"/>
    </row>
    <row r="86" spans="1:24" ht="12.75" customHeight="1">
      <c r="A86" s="2" t="s">
        <v>430</v>
      </c>
      <c r="B86" s="35"/>
      <c r="C86" s="178">
        <v>763.6</v>
      </c>
      <c r="D86" s="80">
        <f t="shared" si="20"/>
        <v>4.0000000000000001E-3</v>
      </c>
      <c r="E86" s="178">
        <v>778.87200000000007</v>
      </c>
      <c r="F86" s="80">
        <f t="shared" si="21"/>
        <v>4.0000000000000001E-3</v>
      </c>
      <c r="G86" s="178">
        <v>794.4494400000001</v>
      </c>
      <c r="H86" s="80">
        <f t="shared" si="22"/>
        <v>4.0000000000000001E-3</v>
      </c>
      <c r="I86" s="178">
        <v>810.33842880000009</v>
      </c>
      <c r="J86" s="80">
        <f t="shared" si="23"/>
        <v>4.0000000000000001E-3</v>
      </c>
      <c r="K86" s="178">
        <v>826.54519737600015</v>
      </c>
      <c r="L86" s="80">
        <f t="shared" si="24"/>
        <v>4.0000000000000001E-3</v>
      </c>
      <c r="M86" s="178">
        <v>843.07610132352011</v>
      </c>
      <c r="N86" s="80">
        <f t="shared" si="25"/>
        <v>3.9999999999999992E-3</v>
      </c>
      <c r="O86" s="178">
        <v>855.93762334999064</v>
      </c>
      <c r="P86" s="80">
        <f t="shared" si="26"/>
        <v>4.0000000000000001E-3</v>
      </c>
      <c r="Q86" s="178">
        <v>871.05637581699034</v>
      </c>
      <c r="R86" s="80">
        <f t="shared" si="27"/>
        <v>4.0000000000000001E-3</v>
      </c>
      <c r="S86" s="178">
        <v>888.47750333333011</v>
      </c>
      <c r="T86" s="80">
        <f t="shared" si="28"/>
        <v>4.0000000000000001E-3</v>
      </c>
      <c r="U86" s="178">
        <v>906.24705339999662</v>
      </c>
      <c r="V86" s="80">
        <f t="shared" si="30"/>
        <v>3.9999999999999992E-3</v>
      </c>
      <c r="X86" s="194"/>
    </row>
    <row r="87" spans="1:24" ht="12.75" customHeight="1">
      <c r="A87" s="2" t="s">
        <v>431</v>
      </c>
      <c r="B87" s="35"/>
      <c r="C87" s="178">
        <v>0</v>
      </c>
      <c r="D87" s="80">
        <f t="shared" si="20"/>
        <v>0</v>
      </c>
      <c r="E87" s="178">
        <v>0</v>
      </c>
      <c r="F87" s="80">
        <f t="shared" si="21"/>
        <v>0</v>
      </c>
      <c r="G87" s="178">
        <v>0</v>
      </c>
      <c r="H87" s="80">
        <f t="shared" si="22"/>
        <v>0</v>
      </c>
      <c r="I87" s="178">
        <v>0</v>
      </c>
      <c r="J87" s="80">
        <f t="shared" si="23"/>
        <v>0</v>
      </c>
      <c r="K87" s="178">
        <v>0</v>
      </c>
      <c r="L87" s="80">
        <f t="shared" si="24"/>
        <v>0</v>
      </c>
      <c r="M87" s="178">
        <v>0</v>
      </c>
      <c r="N87" s="80">
        <f t="shared" si="25"/>
        <v>0</v>
      </c>
      <c r="O87" s="178">
        <v>0</v>
      </c>
      <c r="P87" s="80">
        <f t="shared" si="26"/>
        <v>0</v>
      </c>
      <c r="Q87" s="178">
        <v>0</v>
      </c>
      <c r="R87" s="80">
        <f t="shared" si="27"/>
        <v>0</v>
      </c>
      <c r="S87" s="178">
        <v>0</v>
      </c>
      <c r="T87" s="80">
        <f t="shared" si="28"/>
        <v>0</v>
      </c>
      <c r="U87" s="178">
        <v>0</v>
      </c>
      <c r="V87" s="80">
        <f t="shared" si="30"/>
        <v>0</v>
      </c>
      <c r="X87" s="194"/>
    </row>
    <row r="88" spans="1:24" ht="12.75" customHeight="1">
      <c r="A88" s="2" t="s">
        <v>432</v>
      </c>
      <c r="B88" s="35"/>
      <c r="C88" s="178">
        <v>973.59</v>
      </c>
      <c r="D88" s="80">
        <f t="shared" si="20"/>
        <v>5.1000000000000004E-3</v>
      </c>
      <c r="E88" s="178">
        <v>993.06180000000006</v>
      </c>
      <c r="F88" s="80">
        <f t="shared" si="21"/>
        <v>5.1000000000000004E-3</v>
      </c>
      <c r="G88" s="178">
        <v>1012.9230360000003</v>
      </c>
      <c r="H88" s="80">
        <f t="shared" si="22"/>
        <v>5.1000000000000012E-3</v>
      </c>
      <c r="I88" s="178">
        <v>1033.1814967200003</v>
      </c>
      <c r="J88" s="80">
        <f t="shared" si="23"/>
        <v>5.1000000000000004E-3</v>
      </c>
      <c r="K88" s="178">
        <v>1053.8451266544002</v>
      </c>
      <c r="L88" s="80">
        <f t="shared" si="24"/>
        <v>5.1000000000000004E-3</v>
      </c>
      <c r="M88" s="178">
        <v>1074.9220291874883</v>
      </c>
      <c r="N88" s="80">
        <f t="shared" si="25"/>
        <v>5.1000000000000004E-3</v>
      </c>
      <c r="O88" s="178">
        <v>1091.3204697712381</v>
      </c>
      <c r="P88" s="80">
        <f t="shared" si="26"/>
        <v>5.1000000000000004E-3</v>
      </c>
      <c r="Q88" s="178">
        <v>1110.5968791666628</v>
      </c>
      <c r="R88" s="80">
        <f t="shared" si="27"/>
        <v>5.1000000000000004E-3</v>
      </c>
      <c r="S88" s="178">
        <v>1132.8088167499959</v>
      </c>
      <c r="T88" s="80">
        <f t="shared" si="28"/>
        <v>5.0999999999999995E-3</v>
      </c>
      <c r="U88" s="178">
        <v>1155.4649930849957</v>
      </c>
      <c r="V88" s="80">
        <f t="shared" si="30"/>
        <v>5.0999999999999995E-3</v>
      </c>
      <c r="X88" s="194"/>
    </row>
    <row r="89" spans="1:24" ht="12.75" customHeight="1">
      <c r="A89" s="2" t="s">
        <v>433</v>
      </c>
      <c r="B89" s="35"/>
      <c r="C89" s="178">
        <v>0</v>
      </c>
      <c r="D89" s="80">
        <f t="shared" si="20"/>
        <v>0</v>
      </c>
      <c r="E89" s="178">
        <v>0</v>
      </c>
      <c r="F89" s="80">
        <f t="shared" si="21"/>
        <v>0</v>
      </c>
      <c r="G89" s="178">
        <v>0</v>
      </c>
      <c r="H89" s="80">
        <f t="shared" si="22"/>
        <v>0</v>
      </c>
      <c r="I89" s="178">
        <v>0</v>
      </c>
      <c r="J89" s="80">
        <f t="shared" si="23"/>
        <v>0</v>
      </c>
      <c r="K89" s="178">
        <v>0</v>
      </c>
      <c r="L89" s="80">
        <f t="shared" si="24"/>
        <v>0</v>
      </c>
      <c r="M89" s="178">
        <v>0</v>
      </c>
      <c r="N89" s="80">
        <f t="shared" si="25"/>
        <v>0</v>
      </c>
      <c r="O89" s="178">
        <v>0</v>
      </c>
      <c r="P89" s="80">
        <f t="shared" si="26"/>
        <v>0</v>
      </c>
      <c r="Q89" s="178">
        <v>0</v>
      </c>
      <c r="R89" s="80">
        <f t="shared" si="27"/>
        <v>0</v>
      </c>
      <c r="S89" s="178">
        <v>0</v>
      </c>
      <c r="T89" s="80">
        <f t="shared" si="28"/>
        <v>0</v>
      </c>
      <c r="U89" s="178">
        <v>0</v>
      </c>
      <c r="V89" s="80">
        <f t="shared" si="30"/>
        <v>0</v>
      </c>
      <c r="X89" s="194"/>
    </row>
    <row r="90" spans="1:24" ht="12.75" customHeight="1">
      <c r="A90" s="2" t="s">
        <v>434</v>
      </c>
      <c r="B90" s="35"/>
      <c r="C90" s="178">
        <v>38.180000000000007</v>
      </c>
      <c r="D90" s="80">
        <f t="shared" si="20"/>
        <v>2.0000000000000004E-4</v>
      </c>
      <c r="E90" s="178">
        <v>38.943600000000004</v>
      </c>
      <c r="F90" s="80">
        <f t="shared" si="21"/>
        <v>2.0000000000000001E-4</v>
      </c>
      <c r="G90" s="178">
        <v>39.72247200000001</v>
      </c>
      <c r="H90" s="80">
        <f t="shared" si="22"/>
        <v>2.0000000000000004E-4</v>
      </c>
      <c r="I90" s="178">
        <v>40.516921440000004</v>
      </c>
      <c r="J90" s="80">
        <f t="shared" si="23"/>
        <v>1.9999999999999998E-4</v>
      </c>
      <c r="K90" s="178">
        <v>41.327259868800006</v>
      </c>
      <c r="L90" s="80">
        <f t="shared" si="24"/>
        <v>2.0000000000000001E-4</v>
      </c>
      <c r="M90" s="178">
        <v>42.153805066176012</v>
      </c>
      <c r="N90" s="80">
        <f t="shared" si="25"/>
        <v>2.0000000000000001E-4</v>
      </c>
      <c r="O90" s="178">
        <v>42.796881167499528</v>
      </c>
      <c r="P90" s="80">
        <f t="shared" si="26"/>
        <v>1.9999999999999998E-4</v>
      </c>
      <c r="Q90" s="178">
        <v>43.552818790849521</v>
      </c>
      <c r="R90" s="80">
        <f t="shared" si="27"/>
        <v>2.0000000000000001E-4</v>
      </c>
      <c r="S90" s="178">
        <v>44.423875166666505</v>
      </c>
      <c r="T90" s="80">
        <f t="shared" si="28"/>
        <v>1.9999999999999998E-4</v>
      </c>
      <c r="U90" s="178">
        <v>45.312352669999832</v>
      </c>
      <c r="V90" s="80">
        <f t="shared" si="30"/>
        <v>1.9999999999999998E-4</v>
      </c>
      <c r="X90" s="194"/>
    </row>
    <row r="91" spans="1:24" ht="12.75" customHeight="1">
      <c r="A91" s="2" t="s">
        <v>435</v>
      </c>
      <c r="C91" s="178">
        <v>0</v>
      </c>
      <c r="D91" s="80">
        <f t="shared" si="20"/>
        <v>0</v>
      </c>
      <c r="E91" s="178">
        <v>0</v>
      </c>
      <c r="F91" s="80">
        <f t="shared" si="21"/>
        <v>0</v>
      </c>
      <c r="G91" s="178">
        <v>0</v>
      </c>
      <c r="H91" s="80">
        <f t="shared" si="22"/>
        <v>0</v>
      </c>
      <c r="I91" s="178">
        <v>0</v>
      </c>
      <c r="J91" s="80">
        <f t="shared" si="23"/>
        <v>0</v>
      </c>
      <c r="K91" s="178">
        <v>0</v>
      </c>
      <c r="L91" s="80">
        <f t="shared" si="24"/>
        <v>0</v>
      </c>
      <c r="M91" s="178">
        <v>0</v>
      </c>
      <c r="N91" s="80">
        <f t="shared" si="25"/>
        <v>0</v>
      </c>
      <c r="O91" s="178">
        <v>0</v>
      </c>
      <c r="P91" s="80">
        <f t="shared" si="26"/>
        <v>0</v>
      </c>
      <c r="Q91" s="178">
        <v>0</v>
      </c>
      <c r="R91" s="80">
        <f t="shared" si="27"/>
        <v>0</v>
      </c>
      <c r="S91" s="178">
        <v>0</v>
      </c>
      <c r="T91" s="80">
        <f t="shared" si="28"/>
        <v>0</v>
      </c>
      <c r="U91" s="178">
        <v>0</v>
      </c>
      <c r="V91" s="80">
        <f t="shared" si="30"/>
        <v>0</v>
      </c>
      <c r="X91" s="194"/>
    </row>
    <row r="92" spans="1:24" ht="12.75" customHeight="1">
      <c r="A92" s="2" t="s">
        <v>436</v>
      </c>
      <c r="B92" s="35"/>
      <c r="C92" s="178">
        <v>992.68000000000006</v>
      </c>
      <c r="D92" s="80">
        <f t="shared" si="20"/>
        <v>5.2000000000000006E-3</v>
      </c>
      <c r="E92" s="178">
        <v>1012.5336</v>
      </c>
      <c r="F92" s="80">
        <f t="shared" si="21"/>
        <v>5.1999999999999998E-3</v>
      </c>
      <c r="G92" s="178">
        <v>1032.7842720000001</v>
      </c>
      <c r="H92" s="80">
        <f t="shared" si="22"/>
        <v>5.1999999999999998E-3</v>
      </c>
      <c r="I92" s="178">
        <v>1053.4399574400002</v>
      </c>
      <c r="J92" s="80">
        <f t="shared" si="23"/>
        <v>5.1999999999999998E-3</v>
      </c>
      <c r="K92" s="178">
        <v>1074.5087565888</v>
      </c>
      <c r="L92" s="80">
        <f t="shared" si="24"/>
        <v>5.1999999999999989E-3</v>
      </c>
      <c r="M92" s="178">
        <v>1095.9989317205761</v>
      </c>
      <c r="N92" s="80">
        <f t="shared" si="25"/>
        <v>5.1999999999999998E-3</v>
      </c>
      <c r="O92" s="178">
        <v>1112.7189103549877</v>
      </c>
      <c r="P92" s="80">
        <f t="shared" si="26"/>
        <v>5.1999999999999998E-3</v>
      </c>
      <c r="Q92" s="178">
        <v>1132.3732885620873</v>
      </c>
      <c r="R92" s="80">
        <f t="shared" si="27"/>
        <v>5.1999999999999989E-3</v>
      </c>
      <c r="S92" s="178">
        <v>1155.0207543333293</v>
      </c>
      <c r="T92" s="80">
        <f t="shared" si="28"/>
        <v>5.2000000000000006E-3</v>
      </c>
      <c r="U92" s="178">
        <v>1178.1211694199958</v>
      </c>
      <c r="V92" s="80">
        <f t="shared" si="30"/>
        <v>5.2000000000000006E-3</v>
      </c>
      <c r="X92" s="194"/>
    </row>
    <row r="93" spans="1:24" ht="12.75" customHeight="1">
      <c r="A93" s="2" t="s">
        <v>437</v>
      </c>
      <c r="B93" s="35"/>
      <c r="C93" s="178">
        <v>0</v>
      </c>
      <c r="D93" s="80">
        <f t="shared" si="20"/>
        <v>0</v>
      </c>
      <c r="E93" s="178">
        <v>0</v>
      </c>
      <c r="F93" s="80">
        <f t="shared" si="21"/>
        <v>0</v>
      </c>
      <c r="G93" s="178">
        <v>0</v>
      </c>
      <c r="H93" s="80">
        <f t="shared" si="22"/>
        <v>0</v>
      </c>
      <c r="I93" s="178">
        <v>0</v>
      </c>
      <c r="J93" s="80">
        <f t="shared" si="23"/>
        <v>0</v>
      </c>
      <c r="K93" s="178">
        <v>0</v>
      </c>
      <c r="L93" s="80">
        <f t="shared" si="24"/>
        <v>0</v>
      </c>
      <c r="M93" s="178">
        <v>0</v>
      </c>
      <c r="N93" s="80">
        <f t="shared" si="25"/>
        <v>0</v>
      </c>
      <c r="O93" s="178">
        <v>0</v>
      </c>
      <c r="P93" s="80">
        <f t="shared" si="26"/>
        <v>0</v>
      </c>
      <c r="Q93" s="178">
        <v>0</v>
      </c>
      <c r="R93" s="80">
        <f t="shared" si="27"/>
        <v>0</v>
      </c>
      <c r="S93" s="178">
        <v>0</v>
      </c>
      <c r="T93" s="80">
        <f t="shared" si="28"/>
        <v>0</v>
      </c>
      <c r="U93" s="178">
        <v>0</v>
      </c>
      <c r="V93" s="80">
        <f t="shared" si="30"/>
        <v>0</v>
      </c>
      <c r="X93" s="194"/>
    </row>
    <row r="94" spans="1:24" ht="12.75" customHeight="1">
      <c r="A94" s="2" t="s">
        <v>438</v>
      </c>
      <c r="B94" s="35"/>
      <c r="C94" s="178">
        <v>0</v>
      </c>
      <c r="D94" s="80">
        <f t="shared" si="20"/>
        <v>0</v>
      </c>
      <c r="E94" s="178">
        <v>0</v>
      </c>
      <c r="F94" s="80">
        <f t="shared" si="21"/>
        <v>0</v>
      </c>
      <c r="G94" s="178">
        <v>0</v>
      </c>
      <c r="H94" s="80">
        <f t="shared" si="22"/>
        <v>0</v>
      </c>
      <c r="I94" s="178">
        <v>0</v>
      </c>
      <c r="J94" s="80">
        <f t="shared" si="23"/>
        <v>0</v>
      </c>
      <c r="K94" s="178">
        <v>0</v>
      </c>
      <c r="L94" s="80">
        <f t="shared" si="24"/>
        <v>0</v>
      </c>
      <c r="M94" s="178">
        <v>0</v>
      </c>
      <c r="N94" s="80">
        <f t="shared" si="25"/>
        <v>0</v>
      </c>
      <c r="O94" s="178">
        <v>0</v>
      </c>
      <c r="P94" s="80">
        <f t="shared" si="26"/>
        <v>0</v>
      </c>
      <c r="Q94" s="178">
        <v>0</v>
      </c>
      <c r="R94" s="80">
        <f t="shared" si="27"/>
        <v>0</v>
      </c>
      <c r="S94" s="178">
        <v>0</v>
      </c>
      <c r="T94" s="80">
        <f t="shared" si="28"/>
        <v>0</v>
      </c>
      <c r="U94" s="178">
        <v>0</v>
      </c>
      <c r="V94" s="80">
        <f t="shared" si="30"/>
        <v>0</v>
      </c>
      <c r="X94" s="194"/>
    </row>
    <row r="95" spans="1:24" ht="12.75" customHeight="1">
      <c r="A95" s="2" t="s">
        <v>439</v>
      </c>
      <c r="B95" s="35"/>
      <c r="C95" s="178">
        <v>0</v>
      </c>
      <c r="D95" s="80">
        <f t="shared" si="20"/>
        <v>0</v>
      </c>
      <c r="E95" s="178">
        <v>0</v>
      </c>
      <c r="F95" s="80">
        <f t="shared" si="21"/>
        <v>0</v>
      </c>
      <c r="G95" s="178">
        <v>0</v>
      </c>
      <c r="H95" s="80">
        <f t="shared" si="22"/>
        <v>0</v>
      </c>
      <c r="I95" s="178">
        <v>0</v>
      </c>
      <c r="J95" s="80">
        <f t="shared" si="23"/>
        <v>0</v>
      </c>
      <c r="K95" s="178">
        <v>0</v>
      </c>
      <c r="L95" s="80">
        <f t="shared" si="24"/>
        <v>0</v>
      </c>
      <c r="M95" s="178">
        <v>0</v>
      </c>
      <c r="N95" s="80">
        <f t="shared" si="25"/>
        <v>0</v>
      </c>
      <c r="O95" s="178">
        <v>0</v>
      </c>
      <c r="P95" s="80">
        <f t="shared" si="26"/>
        <v>0</v>
      </c>
      <c r="Q95" s="178">
        <v>0</v>
      </c>
      <c r="R95" s="80">
        <f t="shared" si="27"/>
        <v>0</v>
      </c>
      <c r="S95" s="178">
        <v>0</v>
      </c>
      <c r="T95" s="80">
        <f t="shared" si="28"/>
        <v>0</v>
      </c>
      <c r="U95" s="178">
        <v>0</v>
      </c>
      <c r="V95" s="80">
        <f t="shared" si="30"/>
        <v>0</v>
      </c>
      <c r="X95" s="194"/>
    </row>
    <row r="96" spans="1:24" ht="12.75" customHeight="1">
      <c r="A96" s="2" t="s">
        <v>440</v>
      </c>
      <c r="B96" s="35"/>
      <c r="C96" s="178">
        <v>0</v>
      </c>
      <c r="D96" s="80">
        <f t="shared" si="20"/>
        <v>0</v>
      </c>
      <c r="E96" s="178">
        <v>0</v>
      </c>
      <c r="F96" s="80">
        <f t="shared" si="21"/>
        <v>0</v>
      </c>
      <c r="G96" s="178">
        <v>0</v>
      </c>
      <c r="H96" s="80">
        <f t="shared" si="22"/>
        <v>0</v>
      </c>
      <c r="I96" s="178">
        <v>0</v>
      </c>
      <c r="J96" s="80">
        <f t="shared" si="23"/>
        <v>0</v>
      </c>
      <c r="K96" s="178">
        <v>0</v>
      </c>
      <c r="L96" s="80">
        <f t="shared" si="24"/>
        <v>0</v>
      </c>
      <c r="M96" s="178">
        <v>0</v>
      </c>
      <c r="N96" s="80">
        <f t="shared" si="25"/>
        <v>0</v>
      </c>
      <c r="O96" s="178">
        <v>0</v>
      </c>
      <c r="P96" s="80">
        <f t="shared" si="26"/>
        <v>0</v>
      </c>
      <c r="Q96" s="178">
        <v>0</v>
      </c>
      <c r="R96" s="80">
        <f t="shared" si="27"/>
        <v>0</v>
      </c>
      <c r="S96" s="178">
        <v>0</v>
      </c>
      <c r="T96" s="80">
        <f t="shared" si="28"/>
        <v>0</v>
      </c>
      <c r="U96" s="178">
        <v>0</v>
      </c>
      <c r="V96" s="80">
        <f t="shared" si="30"/>
        <v>0</v>
      </c>
      <c r="X96" s="194"/>
    </row>
    <row r="97" spans="1:24" ht="12.75" customHeight="1">
      <c r="A97" s="2" t="s">
        <v>441</v>
      </c>
      <c r="B97" s="35"/>
      <c r="C97" s="178">
        <v>2246.1871999999998</v>
      </c>
      <c r="D97" s="80">
        <f t="shared" si="20"/>
        <v>1.1766302776322681E-2</v>
      </c>
      <c r="E97" s="178">
        <v>2246.1871999999998</v>
      </c>
      <c r="F97" s="80">
        <f t="shared" si="21"/>
        <v>1.15355909571791E-2</v>
      </c>
      <c r="G97" s="178">
        <v>2246.1871999999998</v>
      </c>
      <c r="H97" s="80">
        <f t="shared" si="22"/>
        <v>1.1309402899195194E-2</v>
      </c>
      <c r="I97" s="178">
        <v>2246.1871999999998</v>
      </c>
      <c r="J97" s="80">
        <f t="shared" si="23"/>
        <v>1.1087649901171759E-2</v>
      </c>
      <c r="K97" s="178">
        <v>2246.1871999999998</v>
      </c>
      <c r="L97" s="80">
        <f t="shared" si="24"/>
        <v>1.0870245001148783E-2</v>
      </c>
      <c r="M97" s="178">
        <v>2246.1871999999998</v>
      </c>
      <c r="N97" s="80">
        <f t="shared" si="25"/>
        <v>1.0657102942302727E-2</v>
      </c>
      <c r="O97" s="178">
        <v>2246.1871999999998</v>
      </c>
      <c r="P97" s="80">
        <f t="shared" si="26"/>
        <v>1.0496966782270021E-2</v>
      </c>
      <c r="Q97" s="178">
        <v>2246.1871999999998</v>
      </c>
      <c r="R97" s="80">
        <f t="shared" si="27"/>
        <v>1.0314773015205737E-2</v>
      </c>
      <c r="S97" s="178">
        <v>2246.1871999999998</v>
      </c>
      <c r="T97" s="80">
        <f t="shared" si="28"/>
        <v>1.0112522563927194E-2</v>
      </c>
      <c r="U97" s="178">
        <v>2246.1871999999998</v>
      </c>
      <c r="V97" s="80">
        <f t="shared" si="30"/>
        <v>9.9142378077717586E-3</v>
      </c>
      <c r="X97" s="194"/>
    </row>
    <row r="98" spans="1:24" ht="12.75" customHeight="1">
      <c r="A98" s="117" t="s">
        <v>444</v>
      </c>
      <c r="B98" s="35"/>
      <c r="C98" s="178">
        <v>229.07999999999998</v>
      </c>
      <c r="D98" s="80">
        <f t="shared" si="20"/>
        <v>1.1999999999999999E-3</v>
      </c>
      <c r="E98" s="178">
        <v>233.66159999999996</v>
      </c>
      <c r="F98" s="80">
        <f t="shared" si="21"/>
        <v>1.1999999999999999E-3</v>
      </c>
      <c r="G98" s="178">
        <v>238.33483200000001</v>
      </c>
      <c r="H98" s="80">
        <f t="shared" si="22"/>
        <v>1.1999999999999999E-3</v>
      </c>
      <c r="I98" s="178">
        <v>243.10152864</v>
      </c>
      <c r="J98" s="80">
        <f t="shared" si="23"/>
        <v>1.1999999999999999E-3</v>
      </c>
      <c r="K98" s="178">
        <v>247.96355921280005</v>
      </c>
      <c r="L98" s="80">
        <f t="shared" si="24"/>
        <v>1.2000000000000001E-3</v>
      </c>
      <c r="M98" s="178">
        <v>252.92283039705603</v>
      </c>
      <c r="N98" s="80">
        <f t="shared" si="25"/>
        <v>1.1999999999999999E-3</v>
      </c>
      <c r="O98" s="178">
        <v>256.78128700499718</v>
      </c>
      <c r="P98" s="80">
        <f t="shared" si="26"/>
        <v>1.2000000000000001E-3</v>
      </c>
      <c r="Q98" s="178">
        <v>261.31691274509706</v>
      </c>
      <c r="R98" s="80">
        <f t="shared" si="27"/>
        <v>1.1999999999999997E-3</v>
      </c>
      <c r="S98" s="178">
        <v>266.54325099999897</v>
      </c>
      <c r="T98" s="80">
        <f t="shared" si="28"/>
        <v>1.1999999999999997E-3</v>
      </c>
      <c r="U98" s="178">
        <v>271.87411601999901</v>
      </c>
      <c r="V98" s="80">
        <f t="shared" si="30"/>
        <v>1.1999999999999999E-3</v>
      </c>
      <c r="X98" s="194"/>
    </row>
    <row r="99" spans="1:24" ht="12.75" customHeight="1">
      <c r="A99" s="117" t="s">
        <v>444</v>
      </c>
      <c r="B99" s="35"/>
      <c r="C99" s="178">
        <v>0</v>
      </c>
      <c r="D99" s="80">
        <f t="shared" si="20"/>
        <v>0</v>
      </c>
      <c r="E99" s="178">
        <v>0</v>
      </c>
      <c r="F99" s="80">
        <f t="shared" si="21"/>
        <v>0</v>
      </c>
      <c r="G99" s="178">
        <v>0</v>
      </c>
      <c r="H99" s="80">
        <f t="shared" si="22"/>
        <v>0</v>
      </c>
      <c r="I99" s="178">
        <v>0</v>
      </c>
      <c r="J99" s="80">
        <f t="shared" si="23"/>
        <v>0</v>
      </c>
      <c r="K99" s="178">
        <v>0</v>
      </c>
      <c r="L99" s="80">
        <f t="shared" si="24"/>
        <v>0</v>
      </c>
      <c r="M99" s="178">
        <v>0</v>
      </c>
      <c r="N99" s="80">
        <f t="shared" si="25"/>
        <v>0</v>
      </c>
      <c r="O99" s="178">
        <v>0</v>
      </c>
      <c r="P99" s="80">
        <f t="shared" si="26"/>
        <v>0</v>
      </c>
      <c r="Q99" s="178">
        <v>0</v>
      </c>
      <c r="R99" s="80">
        <f t="shared" si="27"/>
        <v>0</v>
      </c>
      <c r="S99" s="178">
        <v>0</v>
      </c>
      <c r="T99" s="80">
        <f t="shared" si="28"/>
        <v>0</v>
      </c>
      <c r="U99" s="178">
        <v>0</v>
      </c>
      <c r="V99" s="80">
        <f t="shared" si="30"/>
        <v>0</v>
      </c>
      <c r="X99" s="194"/>
    </row>
    <row r="100" spans="1:24" ht="12.75" customHeight="1">
      <c r="A100" s="117" t="s">
        <v>444</v>
      </c>
      <c r="B100" s="35"/>
      <c r="C100" s="178">
        <v>0</v>
      </c>
      <c r="D100" s="80">
        <f t="shared" si="20"/>
        <v>0</v>
      </c>
      <c r="E100" s="178">
        <v>0</v>
      </c>
      <c r="F100" s="80">
        <f t="shared" si="21"/>
        <v>0</v>
      </c>
      <c r="G100" s="178">
        <v>0</v>
      </c>
      <c r="H100" s="80">
        <f t="shared" si="22"/>
        <v>0</v>
      </c>
      <c r="I100" s="178">
        <v>0</v>
      </c>
      <c r="J100" s="80">
        <f t="shared" si="23"/>
        <v>0</v>
      </c>
      <c r="K100" s="178">
        <v>0</v>
      </c>
      <c r="L100" s="80">
        <f t="shared" si="24"/>
        <v>0</v>
      </c>
      <c r="M100" s="178">
        <v>0</v>
      </c>
      <c r="N100" s="80">
        <f t="shared" si="25"/>
        <v>0</v>
      </c>
      <c r="O100" s="178">
        <v>0</v>
      </c>
      <c r="P100" s="80">
        <f t="shared" si="26"/>
        <v>0</v>
      </c>
      <c r="Q100" s="178">
        <v>0</v>
      </c>
      <c r="R100" s="80">
        <f t="shared" si="27"/>
        <v>0</v>
      </c>
      <c r="S100" s="178">
        <v>0</v>
      </c>
      <c r="T100" s="80">
        <f t="shared" si="28"/>
        <v>0</v>
      </c>
      <c r="U100" s="178">
        <v>0</v>
      </c>
      <c r="V100" s="80">
        <f t="shared" si="30"/>
        <v>0</v>
      </c>
      <c r="X100" s="194"/>
    </row>
    <row r="101" spans="1:24" ht="12.75" customHeight="1">
      <c r="A101" s="2" t="s">
        <v>445</v>
      </c>
      <c r="B101" s="35"/>
      <c r="C101" s="178"/>
      <c r="D101" s="80">
        <f t="shared" si="20"/>
        <v>0</v>
      </c>
      <c r="E101" s="178"/>
      <c r="F101" s="80">
        <f t="shared" si="21"/>
        <v>0</v>
      </c>
      <c r="G101" s="178"/>
      <c r="H101" s="80">
        <f t="shared" si="22"/>
        <v>0</v>
      </c>
      <c r="I101" s="178">
        <v>0</v>
      </c>
      <c r="J101" s="80">
        <f t="shared" si="23"/>
        <v>0</v>
      </c>
      <c r="K101" s="178">
        <v>0</v>
      </c>
      <c r="L101" s="80">
        <f t="shared" si="24"/>
        <v>0</v>
      </c>
      <c r="M101" s="178">
        <v>0</v>
      </c>
      <c r="N101" s="80">
        <f t="shared" si="25"/>
        <v>0</v>
      </c>
      <c r="O101" s="178">
        <v>0</v>
      </c>
      <c r="P101" s="80">
        <f t="shared" si="26"/>
        <v>0</v>
      </c>
      <c r="Q101" s="178">
        <v>0</v>
      </c>
      <c r="R101" s="80">
        <f t="shared" si="27"/>
        <v>0</v>
      </c>
      <c r="S101" s="178">
        <v>0</v>
      </c>
      <c r="T101" s="80">
        <f t="shared" si="28"/>
        <v>0</v>
      </c>
      <c r="U101" s="178">
        <v>0</v>
      </c>
      <c r="V101" s="80">
        <f t="shared" si="30"/>
        <v>0</v>
      </c>
      <c r="X101" s="194"/>
    </row>
    <row r="102" spans="1:24" ht="12.75" customHeight="1">
      <c r="A102" s="117" t="s">
        <v>446</v>
      </c>
      <c r="B102" s="35"/>
      <c r="C102" s="178">
        <v>1909</v>
      </c>
      <c r="D102" s="80">
        <f t="shared" si="20"/>
        <v>0.01</v>
      </c>
      <c r="E102" s="178">
        <v>1947.18</v>
      </c>
      <c r="F102" s="80">
        <f t="shared" si="21"/>
        <v>0.01</v>
      </c>
      <c r="G102" s="178">
        <v>1986.1236000000004</v>
      </c>
      <c r="H102" s="80">
        <f t="shared" si="22"/>
        <v>0.01</v>
      </c>
      <c r="I102" s="178">
        <v>2025.8460720000005</v>
      </c>
      <c r="J102" s="80">
        <f t="shared" si="23"/>
        <v>1.0000000000000002E-2</v>
      </c>
      <c r="K102" s="178">
        <v>2066.3629934400005</v>
      </c>
      <c r="L102" s="80">
        <f t="shared" si="24"/>
        <v>1.0000000000000002E-2</v>
      </c>
      <c r="M102" s="178">
        <v>2107.6902533088005</v>
      </c>
      <c r="N102" s="80">
        <f t="shared" si="25"/>
        <v>0.01</v>
      </c>
      <c r="O102" s="178">
        <v>2139.8440583749766</v>
      </c>
      <c r="P102" s="80">
        <f t="shared" si="26"/>
        <v>0.01</v>
      </c>
      <c r="Q102" s="178">
        <v>2177.6409395424757</v>
      </c>
      <c r="R102" s="80">
        <f t="shared" si="27"/>
        <v>9.9999999999999985E-3</v>
      </c>
      <c r="S102" s="178">
        <v>2221.1937583333251</v>
      </c>
      <c r="T102" s="80">
        <f t="shared" si="28"/>
        <v>9.9999999999999985E-3</v>
      </c>
      <c r="U102" s="178">
        <v>2265.6176334999918</v>
      </c>
      <c r="V102" s="80">
        <f t="shared" si="30"/>
        <v>0.01</v>
      </c>
      <c r="X102" s="194"/>
    </row>
    <row r="103" spans="1:24" ht="12.75" customHeight="1">
      <c r="A103" s="117" t="s">
        <v>446</v>
      </c>
      <c r="B103" s="35"/>
      <c r="C103" s="178">
        <v>0</v>
      </c>
      <c r="D103" s="80">
        <f t="shared" si="20"/>
        <v>0</v>
      </c>
      <c r="E103" s="178">
        <v>0</v>
      </c>
      <c r="F103" s="80">
        <f t="shared" si="21"/>
        <v>0</v>
      </c>
      <c r="G103" s="178">
        <v>0</v>
      </c>
      <c r="H103" s="80">
        <f t="shared" si="22"/>
        <v>0</v>
      </c>
      <c r="I103" s="178">
        <v>0</v>
      </c>
      <c r="J103" s="80">
        <f t="shared" si="23"/>
        <v>0</v>
      </c>
      <c r="K103" s="178">
        <v>0</v>
      </c>
      <c r="L103" s="80">
        <f t="shared" si="24"/>
        <v>0</v>
      </c>
      <c r="M103" s="178">
        <v>0</v>
      </c>
      <c r="N103" s="80">
        <f t="shared" si="25"/>
        <v>0</v>
      </c>
      <c r="O103" s="178">
        <v>0</v>
      </c>
      <c r="P103" s="80">
        <f t="shared" si="26"/>
        <v>0</v>
      </c>
      <c r="Q103" s="178">
        <v>0</v>
      </c>
      <c r="R103" s="80">
        <f t="shared" si="27"/>
        <v>0</v>
      </c>
      <c r="S103" s="178">
        <v>0</v>
      </c>
      <c r="T103" s="80">
        <f t="shared" si="28"/>
        <v>0</v>
      </c>
      <c r="U103" s="178">
        <v>0</v>
      </c>
      <c r="V103" s="80">
        <f t="shared" si="30"/>
        <v>0</v>
      </c>
      <c r="X103" s="194"/>
    </row>
    <row r="104" spans="1:24" ht="12.75" customHeight="1">
      <c r="A104" s="117" t="s">
        <v>446</v>
      </c>
      <c r="B104" s="1"/>
      <c r="C104" s="178">
        <v>0</v>
      </c>
      <c r="D104" s="80">
        <f t="shared" si="20"/>
        <v>0</v>
      </c>
      <c r="E104" s="178">
        <v>0</v>
      </c>
      <c r="F104" s="80">
        <f t="shared" si="21"/>
        <v>0</v>
      </c>
      <c r="G104" s="178">
        <v>0</v>
      </c>
      <c r="H104" s="80">
        <f t="shared" si="22"/>
        <v>0</v>
      </c>
      <c r="I104" s="178">
        <v>0</v>
      </c>
      <c r="J104" s="80">
        <f t="shared" si="23"/>
        <v>0</v>
      </c>
      <c r="K104" s="178">
        <v>0</v>
      </c>
      <c r="L104" s="80">
        <f t="shared" si="24"/>
        <v>0</v>
      </c>
      <c r="M104" s="178">
        <v>0</v>
      </c>
      <c r="N104" s="80">
        <f t="shared" si="25"/>
        <v>0</v>
      </c>
      <c r="O104" s="178">
        <v>0</v>
      </c>
      <c r="P104" s="80">
        <f t="shared" si="26"/>
        <v>0</v>
      </c>
      <c r="Q104" s="178">
        <v>0</v>
      </c>
      <c r="R104" s="80">
        <f t="shared" si="27"/>
        <v>0</v>
      </c>
      <c r="S104" s="178">
        <v>0</v>
      </c>
      <c r="T104" s="80">
        <f t="shared" si="28"/>
        <v>0</v>
      </c>
      <c r="U104" s="178">
        <v>0</v>
      </c>
      <c r="V104" s="80">
        <f t="shared" si="30"/>
        <v>0</v>
      </c>
      <c r="X104" s="194"/>
    </row>
    <row r="105" spans="1:24" ht="12.75" customHeight="1">
      <c r="A105" s="1" t="s">
        <v>447</v>
      </c>
      <c r="B105" s="53"/>
      <c r="C105" s="82">
        <f>SUM(C52:C104)</f>
        <v>19842.52448214906</v>
      </c>
      <c r="D105" s="83">
        <f t="shared" ref="D105" si="31">IFERROR(C105/C$28,0)</f>
        <v>0.10394198261995316</v>
      </c>
      <c r="E105" s="82">
        <f>SUM(E52:E104)</f>
        <v>20229.424758498637</v>
      </c>
      <c r="F105" s="83">
        <f t="shared" ref="F105" si="32">IFERROR(E105/E$28,0)</f>
        <v>0.10389088198573648</v>
      </c>
      <c r="G105" s="82">
        <f>SUM(G52:G104)</f>
        <v>20563.135885676431</v>
      </c>
      <c r="H105" s="83">
        <f t="shared" ref="H105" si="33">IFERROR(G105/G$28,0)</f>
        <v>0.10353401916011888</v>
      </c>
      <c r="I105" s="82">
        <f>SUM(I52:I104)</f>
        <v>20935.828799809002</v>
      </c>
      <c r="J105" s="83">
        <f t="shared" ref="J105" si="34">IFERROR(I105/I$28,0)</f>
        <v>0.10334363054119049</v>
      </c>
      <c r="K105" s="82">
        <f>SUM(K52:K104)</f>
        <v>21301.822834091752</v>
      </c>
      <c r="L105" s="83">
        <f t="shared" ref="L105" si="35">IFERROR(K105/K$28,0)</f>
        <v>0.10308848397748989</v>
      </c>
      <c r="M105" s="82">
        <f>SUM(M52:M104)</f>
        <v>21687.273568694971</v>
      </c>
      <c r="N105" s="83">
        <f t="shared" ref="N105" si="36">IFERROR(M105/M$28,0)</f>
        <v>0.10289592379453652</v>
      </c>
      <c r="O105" s="82">
        <f>SUM(O52:O104)</f>
        <v>21989.251243259576</v>
      </c>
      <c r="P105" s="83">
        <f t="shared" ref="P105" si="37">IFERROR(O105/O$28,0)</f>
        <v>0.1027609986680921</v>
      </c>
      <c r="Q105" s="82">
        <f>SUM(Q52:Q104)</f>
        <v>22345.817388440355</v>
      </c>
      <c r="R105" s="83">
        <f t="shared" ref="R105" si="38">IFERROR(Q105/Q$28,0)</f>
        <v>0.10261479283694597</v>
      </c>
      <c r="S105" s="82">
        <f>SUM(S52:S104)</f>
        <v>22755.608382882339</v>
      </c>
      <c r="T105" s="83">
        <f t="shared" ref="T105" si="39">IFERROR(S105/S$28,0)</f>
        <v>0.10244765139245227</v>
      </c>
      <c r="U105" s="82">
        <f>SUM(U52:U104)</f>
        <v>23174.296709059003</v>
      </c>
      <c r="V105" s="83">
        <f t="shared" si="30"/>
        <v>0.10228688356939859</v>
      </c>
    </row>
    <row r="106" spans="1:24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4" ht="12.75" customHeight="1">
      <c r="A107" s="1" t="s">
        <v>448</v>
      </c>
      <c r="B107" s="53"/>
      <c r="C107" s="82">
        <f>C28-C33-C46-C105</f>
        <v>44394.003517850942</v>
      </c>
      <c r="D107" s="83">
        <f>IFERROR(C107/C$28,0)</f>
        <v>0.23255109228837581</v>
      </c>
      <c r="E107" s="82">
        <f>E28-E33-E46-E105</f>
        <v>46526.983241501359</v>
      </c>
      <c r="F107" s="83">
        <f>IFERROR(E107/E$28,0)</f>
        <v>0.23894546596360561</v>
      </c>
      <c r="G107" s="82">
        <f>G28-G33-G46-G105</f>
        <v>48763.54971432357</v>
      </c>
      <c r="H107" s="83">
        <f>IFERROR(G107/G$28,0)</f>
        <v>0.24552122392747142</v>
      </c>
      <c r="I107" s="82">
        <f>I28-I33-I46-I105</f>
        <v>51012.539952191008</v>
      </c>
      <c r="J107" s="83">
        <f>IFERROR(I107/I$28,0)</f>
        <v>0.25180856856429024</v>
      </c>
      <c r="K107" s="82">
        <f>K28-K33-K46-K105</f>
        <v>53320.662732948229</v>
      </c>
      <c r="L107" s="83">
        <f>IFERROR(K107/K$28,0)</f>
        <v>0.25804112298866749</v>
      </c>
      <c r="M107" s="82">
        <f>M28-M33-M46-M105</f>
        <v>55662.811149685847</v>
      </c>
      <c r="N107" s="83">
        <f>IFERROR(M107/M$28,0)</f>
        <v>0.26409388695659836</v>
      </c>
      <c r="O107" s="82">
        <f>O28-O33-O46-O105</f>
        <v>57482.984609488871</v>
      </c>
      <c r="P107" s="83">
        <f>IFERROR(O107/O$28,0)</f>
        <v>0.26863165278100753</v>
      </c>
      <c r="Q107" s="82">
        <f>Q28-Q33-Q46-Q105</f>
        <v>59621.012621363057</v>
      </c>
      <c r="R107" s="83">
        <f>IFERROR(Q107/Q$28,0)</f>
        <v>0.27378715902489176</v>
      </c>
      <c r="S107" s="82">
        <f>S28-S33-S46-S105</f>
        <v>62085.707667117102</v>
      </c>
      <c r="T107" s="83">
        <f>IFERROR(S107/S$28,0)</f>
        <v>0.27951504651131004</v>
      </c>
      <c r="U107" s="82">
        <f>U28-U33-U46-U105</f>
        <v>64598.995101940447</v>
      </c>
      <c r="V107" s="83">
        <f>IFERROR(U107/U$28,0)</f>
        <v>0.28512752614017239</v>
      </c>
    </row>
    <row r="108" spans="1:24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4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4" ht="12.75" customHeight="1">
      <c r="A110" s="40" t="s">
        <v>449</v>
      </c>
      <c r="B110" s="40"/>
      <c r="C110" s="86" t="str">
        <f>C50</f>
        <v>FY 2018-19</v>
      </c>
      <c r="D110" s="86" t="s">
        <v>366</v>
      </c>
      <c r="E110" s="86" t="str">
        <f>E50</f>
        <v>FY 2019-20</v>
      </c>
      <c r="F110" s="86" t="s">
        <v>366</v>
      </c>
      <c r="G110" s="86" t="str">
        <f>G50</f>
        <v>FY 2020-21</v>
      </c>
      <c r="H110" s="86" t="s">
        <v>366</v>
      </c>
      <c r="I110" s="86" t="str">
        <f>I50</f>
        <v>FY 2021-22</v>
      </c>
      <c r="J110" s="86" t="s">
        <v>366</v>
      </c>
      <c r="K110" s="86" t="str">
        <f>K50</f>
        <v>FY 2022-23</v>
      </c>
      <c r="L110" s="86" t="s">
        <v>366</v>
      </c>
      <c r="M110" s="86" t="str">
        <f>M50</f>
        <v>FY 2023-24</v>
      </c>
      <c r="N110" s="86" t="s">
        <v>366</v>
      </c>
      <c r="O110" s="86" t="str">
        <f>O50</f>
        <v>FY 2024-25</v>
      </c>
      <c r="P110" s="86" t="s">
        <v>366</v>
      </c>
      <c r="Q110" s="86" t="str">
        <f>Q50</f>
        <v>FY 2025-26</v>
      </c>
      <c r="R110" s="86" t="s">
        <v>366</v>
      </c>
      <c r="S110" s="86" t="str">
        <f>S50</f>
        <v>FY 2026-27</v>
      </c>
      <c r="T110" s="86" t="s">
        <v>366</v>
      </c>
      <c r="U110" s="86" t="str">
        <f>U50</f>
        <v>FY 2027-28</v>
      </c>
      <c r="V110" s="86" t="s">
        <v>366</v>
      </c>
    </row>
    <row r="111" spans="1:24" ht="12.75" customHeight="1">
      <c r="A111" s="2" t="s">
        <v>403</v>
      </c>
      <c r="B111" s="35"/>
      <c r="C111" s="79">
        <f>C59</f>
        <v>0</v>
      </c>
      <c r="D111" s="80">
        <f t="shared" ref="D111:D116" si="40">IFERROR(C111/C$28,0)</f>
        <v>0</v>
      </c>
      <c r="E111" s="79">
        <f>E59</f>
        <v>0</v>
      </c>
      <c r="F111" s="80">
        <f t="shared" ref="F111:F116" si="41">IFERROR(E111/E$28,0)</f>
        <v>0</v>
      </c>
      <c r="G111" s="79">
        <f>G59</f>
        <v>0</v>
      </c>
      <c r="H111" s="80">
        <f t="shared" ref="H111:H116" si="42">IFERROR(G111/G$28,0)</f>
        <v>0</v>
      </c>
      <c r="I111" s="79">
        <f>I59</f>
        <v>0</v>
      </c>
      <c r="J111" s="80">
        <f t="shared" ref="J111:J116" si="43">IFERROR(I111/I$28,0)</f>
        <v>0</v>
      </c>
      <c r="K111" s="79">
        <f>K59</f>
        <v>0</v>
      </c>
      <c r="L111" s="80">
        <f t="shared" ref="L111:L116" si="44">IFERROR(K111/K$28,0)</f>
        <v>0</v>
      </c>
      <c r="M111" s="79">
        <f>M59</f>
        <v>0</v>
      </c>
      <c r="N111" s="80">
        <f t="shared" ref="N111:N116" si="45">IFERROR(M111/M$28,0)</f>
        <v>0</v>
      </c>
      <c r="O111" s="79">
        <f>O59</f>
        <v>0</v>
      </c>
      <c r="P111" s="80">
        <f t="shared" ref="P111:P116" si="46">IFERROR(O111/O$28,0)</f>
        <v>0</v>
      </c>
      <c r="Q111" s="79">
        <f>Q59</f>
        <v>0</v>
      </c>
      <c r="R111" s="80">
        <f t="shared" ref="R111:R116" si="47">IFERROR(Q111/Q$28,0)</f>
        <v>0</v>
      </c>
      <c r="S111" s="79">
        <f>S59</f>
        <v>0</v>
      </c>
      <c r="T111" s="80">
        <f t="shared" ref="T111:T116" si="48">IFERROR(S111/S$28,0)</f>
        <v>0</v>
      </c>
      <c r="U111" s="79">
        <f>U59</f>
        <v>0</v>
      </c>
      <c r="V111" s="80">
        <f t="shared" ref="V111:V116" si="49">IFERROR(U111/U$28,0)</f>
        <v>0</v>
      </c>
    </row>
    <row r="112" spans="1:24" ht="12.75" customHeight="1">
      <c r="A112" s="2" t="s">
        <v>450</v>
      </c>
      <c r="B112" s="35"/>
      <c r="C112" s="79">
        <f>C62</f>
        <v>0</v>
      </c>
      <c r="D112" s="80">
        <f t="shared" si="40"/>
        <v>0</v>
      </c>
      <c r="E112" s="79">
        <f>E62</f>
        <v>0</v>
      </c>
      <c r="F112" s="80">
        <f t="shared" si="41"/>
        <v>0</v>
      </c>
      <c r="G112" s="79">
        <f>G62</f>
        <v>0</v>
      </c>
      <c r="H112" s="80">
        <f t="shared" si="42"/>
        <v>0</v>
      </c>
      <c r="I112" s="79">
        <f>I62</f>
        <v>0</v>
      </c>
      <c r="J112" s="80">
        <f t="shared" si="43"/>
        <v>0</v>
      </c>
      <c r="K112" s="79">
        <f>K62</f>
        <v>0</v>
      </c>
      <c r="L112" s="80">
        <f t="shared" si="44"/>
        <v>0</v>
      </c>
      <c r="M112" s="79">
        <f>M62</f>
        <v>0</v>
      </c>
      <c r="N112" s="80">
        <f t="shared" si="45"/>
        <v>0</v>
      </c>
      <c r="O112" s="79">
        <f>O62</f>
        <v>0</v>
      </c>
      <c r="P112" s="80">
        <f t="shared" si="46"/>
        <v>0</v>
      </c>
      <c r="Q112" s="79">
        <f>Q62</f>
        <v>0</v>
      </c>
      <c r="R112" s="80">
        <f t="shared" si="47"/>
        <v>0</v>
      </c>
      <c r="S112" s="79">
        <f>S62</f>
        <v>0</v>
      </c>
      <c r="T112" s="80">
        <f t="shared" si="48"/>
        <v>0</v>
      </c>
      <c r="U112" s="79">
        <f>U62</f>
        <v>0</v>
      </c>
      <c r="V112" s="80">
        <f t="shared" si="49"/>
        <v>0</v>
      </c>
    </row>
    <row r="113" spans="1:22" ht="12.75" customHeight="1">
      <c r="A113" s="117" t="s">
        <v>446</v>
      </c>
      <c r="B113" s="41"/>
      <c r="C113" s="111">
        <v>0</v>
      </c>
      <c r="D113" s="80">
        <f t="shared" si="40"/>
        <v>0</v>
      </c>
      <c r="E113" s="111">
        <v>0</v>
      </c>
      <c r="F113" s="80">
        <f t="shared" si="41"/>
        <v>0</v>
      </c>
      <c r="G113" s="111">
        <v>0</v>
      </c>
      <c r="H113" s="80">
        <f t="shared" si="42"/>
        <v>0</v>
      </c>
      <c r="I113" s="111">
        <v>0</v>
      </c>
      <c r="J113" s="80">
        <f t="shared" si="43"/>
        <v>0</v>
      </c>
      <c r="K113" s="111">
        <v>0</v>
      </c>
      <c r="L113" s="80">
        <f t="shared" si="44"/>
        <v>0</v>
      </c>
      <c r="M113" s="111">
        <v>0</v>
      </c>
      <c r="N113" s="80">
        <f t="shared" si="45"/>
        <v>0</v>
      </c>
      <c r="O113" s="111">
        <v>0</v>
      </c>
      <c r="P113" s="80">
        <f t="shared" si="46"/>
        <v>0</v>
      </c>
      <c r="Q113" s="111">
        <v>0</v>
      </c>
      <c r="R113" s="80">
        <f t="shared" si="47"/>
        <v>0</v>
      </c>
      <c r="S113" s="111">
        <v>0</v>
      </c>
      <c r="T113" s="80">
        <f t="shared" si="48"/>
        <v>0</v>
      </c>
      <c r="U113" s="111">
        <v>0</v>
      </c>
      <c r="V113" s="80">
        <f t="shared" si="49"/>
        <v>0</v>
      </c>
    </row>
    <row r="114" spans="1:22" ht="12.75" customHeight="1">
      <c r="A114" s="117" t="s">
        <v>446</v>
      </c>
      <c r="B114" s="41"/>
      <c r="C114" s="111">
        <v>0</v>
      </c>
      <c r="D114" s="80">
        <f t="shared" si="40"/>
        <v>0</v>
      </c>
      <c r="E114" s="111">
        <v>0</v>
      </c>
      <c r="F114" s="80">
        <f t="shared" si="41"/>
        <v>0</v>
      </c>
      <c r="G114" s="111">
        <v>0</v>
      </c>
      <c r="H114" s="80">
        <f t="shared" si="42"/>
        <v>0</v>
      </c>
      <c r="I114" s="111">
        <v>0</v>
      </c>
      <c r="J114" s="80">
        <f t="shared" si="43"/>
        <v>0</v>
      </c>
      <c r="K114" s="111">
        <v>0</v>
      </c>
      <c r="L114" s="80">
        <f t="shared" si="44"/>
        <v>0</v>
      </c>
      <c r="M114" s="111">
        <v>0</v>
      </c>
      <c r="N114" s="80">
        <f t="shared" si="45"/>
        <v>0</v>
      </c>
      <c r="O114" s="111">
        <v>0</v>
      </c>
      <c r="P114" s="80">
        <f t="shared" si="46"/>
        <v>0</v>
      </c>
      <c r="Q114" s="111">
        <v>0</v>
      </c>
      <c r="R114" s="80">
        <f t="shared" si="47"/>
        <v>0</v>
      </c>
      <c r="S114" s="111">
        <v>0</v>
      </c>
      <c r="T114" s="80">
        <f t="shared" si="48"/>
        <v>0</v>
      </c>
      <c r="U114" s="111">
        <v>0</v>
      </c>
      <c r="V114" s="80">
        <f t="shared" si="49"/>
        <v>0</v>
      </c>
    </row>
    <row r="115" spans="1:22" ht="12.75" customHeight="1">
      <c r="A115" s="117" t="s">
        <v>446</v>
      </c>
      <c r="B115" s="41"/>
      <c r="C115" s="112">
        <v>0</v>
      </c>
      <c r="D115" s="80">
        <f t="shared" si="40"/>
        <v>0</v>
      </c>
      <c r="E115" s="112">
        <v>0</v>
      </c>
      <c r="F115" s="80">
        <f t="shared" si="41"/>
        <v>0</v>
      </c>
      <c r="G115" s="112">
        <v>0</v>
      </c>
      <c r="H115" s="80">
        <f t="shared" si="42"/>
        <v>0</v>
      </c>
      <c r="I115" s="112">
        <v>0</v>
      </c>
      <c r="J115" s="80">
        <f t="shared" si="43"/>
        <v>0</v>
      </c>
      <c r="K115" s="112">
        <v>0</v>
      </c>
      <c r="L115" s="80">
        <f t="shared" si="44"/>
        <v>0</v>
      </c>
      <c r="M115" s="112">
        <v>0</v>
      </c>
      <c r="N115" s="80">
        <f t="shared" si="45"/>
        <v>0</v>
      </c>
      <c r="O115" s="112">
        <v>0</v>
      </c>
      <c r="P115" s="80">
        <f t="shared" si="46"/>
        <v>0</v>
      </c>
      <c r="Q115" s="112">
        <v>0</v>
      </c>
      <c r="R115" s="80">
        <f t="shared" si="47"/>
        <v>0</v>
      </c>
      <c r="S115" s="112">
        <v>0</v>
      </c>
      <c r="T115" s="80">
        <f t="shared" si="48"/>
        <v>0</v>
      </c>
      <c r="U115" s="112">
        <v>0</v>
      </c>
      <c r="V115" s="80">
        <f t="shared" si="49"/>
        <v>0</v>
      </c>
    </row>
    <row r="116" spans="1:22" ht="12.75" customHeight="1">
      <c r="A116" s="40" t="s">
        <v>451</v>
      </c>
      <c r="B116" s="42"/>
      <c r="C116" s="85">
        <f>SUM(C111:C115)</f>
        <v>0</v>
      </c>
      <c r="D116" s="83">
        <f t="shared" si="40"/>
        <v>0</v>
      </c>
      <c r="E116" s="85">
        <f>SUM(E111:E115)</f>
        <v>0</v>
      </c>
      <c r="F116" s="83">
        <f t="shared" si="41"/>
        <v>0</v>
      </c>
      <c r="G116" s="85">
        <f>SUM(G111:G115)</f>
        <v>0</v>
      </c>
      <c r="H116" s="83">
        <f t="shared" si="42"/>
        <v>0</v>
      </c>
      <c r="I116" s="85">
        <f>SUM(I111:I115)</f>
        <v>0</v>
      </c>
      <c r="J116" s="83">
        <f t="shared" si="43"/>
        <v>0</v>
      </c>
      <c r="K116" s="85">
        <f>SUM(K111:K115)</f>
        <v>0</v>
      </c>
      <c r="L116" s="83">
        <f t="shared" si="44"/>
        <v>0</v>
      </c>
      <c r="M116" s="85">
        <f>SUM(M111:M115)</f>
        <v>0</v>
      </c>
      <c r="N116" s="83">
        <f t="shared" si="45"/>
        <v>0</v>
      </c>
      <c r="O116" s="85">
        <f>SUM(O111:O115)</f>
        <v>0</v>
      </c>
      <c r="P116" s="83">
        <f t="shared" si="46"/>
        <v>0</v>
      </c>
      <c r="Q116" s="85">
        <f>SUM(Q111:Q115)</f>
        <v>0</v>
      </c>
      <c r="R116" s="83">
        <f t="shared" si="47"/>
        <v>0</v>
      </c>
      <c r="S116" s="85">
        <f>SUM(S111:S115)</f>
        <v>0</v>
      </c>
      <c r="T116" s="83">
        <f t="shared" si="48"/>
        <v>0</v>
      </c>
      <c r="U116" s="85">
        <f>SUM(U111:U115)</f>
        <v>0</v>
      </c>
      <c r="V116" s="83">
        <f t="shared" si="49"/>
        <v>0</v>
      </c>
    </row>
    <row r="118" spans="1:22" ht="12.75" customHeight="1">
      <c r="A118" s="43" t="s">
        <v>452</v>
      </c>
      <c r="B118" s="43"/>
    </row>
    <row r="119" spans="1:22" ht="12.75" customHeight="1">
      <c r="A119" s="47" t="s">
        <v>453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9" tint="-0.249977111117893"/>
  </sheetPr>
  <dimension ref="A1:V119"/>
  <sheetViews>
    <sheetView topLeftCell="A28" zoomScale="70" zoomScaleNormal="70" workbookViewId="0" xr3:uid="{DED2A6B2-B78A-5A07-A845-30818C757969}">
      <selection activeCell="B59" sqref="B59"/>
    </sheetView>
  </sheetViews>
  <sheetFormatPr defaultColWidth="9.140625" defaultRowHeight="12.75" customHeight="1"/>
  <cols>
    <col min="1" max="1" width="9.5703125" style="2" customWidth="1"/>
    <col min="2" max="2" width="36.28515625" style="2" customWidth="1"/>
    <col min="3" max="3" width="14.140625" style="2" customWidth="1"/>
    <col min="4" max="4" width="8.7109375" style="2" customWidth="1"/>
    <col min="5" max="5" width="12.7109375" style="2" customWidth="1"/>
    <col min="6" max="6" width="8.7109375" style="2" customWidth="1"/>
    <col min="7" max="7" width="12.710937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3.7109375" style="2" bestFit="1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513</v>
      </c>
      <c r="B1" s="1"/>
    </row>
    <row r="2" spans="1:22" ht="12.75" customHeight="1">
      <c r="A2" s="1" t="s">
        <v>1</v>
      </c>
      <c r="B2" s="1"/>
      <c r="D2" s="118" t="s">
        <v>355</v>
      </c>
      <c r="G2" s="33" t="s">
        <v>517</v>
      </c>
      <c r="H2" s="34"/>
      <c r="I2" s="34"/>
      <c r="V2" s="32"/>
    </row>
    <row r="3" spans="1:22" ht="12.75" customHeight="1">
      <c r="A3" s="1" t="s">
        <v>357</v>
      </c>
      <c r="D3" s="118" t="s">
        <v>358</v>
      </c>
      <c r="G3" s="158"/>
      <c r="H3" s="159"/>
      <c r="I3" s="159"/>
      <c r="V3" s="32"/>
    </row>
    <row r="4" spans="1:22" ht="12.75" customHeight="1">
      <c r="A4" s="1" t="s">
        <v>359</v>
      </c>
      <c r="B4" s="109"/>
      <c r="D4" s="118" t="s">
        <v>360</v>
      </c>
      <c r="G4" s="158"/>
      <c r="H4" s="159"/>
      <c r="I4" s="159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89" t="s">
        <v>361</v>
      </c>
      <c r="B7" s="89"/>
      <c r="C7" s="90"/>
      <c r="D7" s="90"/>
      <c r="E7" s="90"/>
      <c r="F7" s="90"/>
      <c r="G7" s="90"/>
      <c r="H7" s="90"/>
      <c r="I7" s="90"/>
      <c r="J7" s="90"/>
      <c r="K7" s="90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</row>
    <row r="8" spans="1:22" ht="12.75" customHeight="1">
      <c r="A8" s="90" t="s">
        <v>362</v>
      </c>
      <c r="B8" s="90"/>
      <c r="C8" s="91"/>
      <c r="D8" s="90"/>
      <c r="E8" s="91"/>
      <c r="F8" s="90"/>
      <c r="G8" s="91"/>
      <c r="H8" s="90"/>
      <c r="I8" s="91"/>
      <c r="J8" s="90"/>
      <c r="K8" s="91"/>
      <c r="L8" s="90"/>
      <c r="M8" s="91"/>
      <c r="N8" s="90"/>
      <c r="O8" s="91"/>
      <c r="P8" s="90"/>
      <c r="Q8" s="91"/>
      <c r="R8" s="90"/>
      <c r="S8" s="91"/>
      <c r="T8" s="90"/>
      <c r="U8" s="91"/>
      <c r="V8" s="90"/>
    </row>
    <row r="9" spans="1:22" ht="12.75" customHeight="1">
      <c r="A9" s="90"/>
      <c r="B9" s="90"/>
      <c r="C9" s="90"/>
      <c r="D9" s="90"/>
      <c r="E9" s="90"/>
      <c r="F9" s="90"/>
      <c r="G9" s="90"/>
      <c r="H9" s="90"/>
      <c r="I9" s="90"/>
      <c r="J9" s="90"/>
      <c r="K9" s="90"/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</row>
    <row r="10" spans="1:22" ht="12.75" customHeight="1">
      <c r="A10" s="90" t="s">
        <v>462</v>
      </c>
      <c r="B10" s="90"/>
      <c r="C10" s="91"/>
      <c r="D10" s="90"/>
      <c r="E10" s="91"/>
      <c r="F10" s="90"/>
      <c r="G10" s="91"/>
      <c r="H10" s="90"/>
      <c r="I10" s="91"/>
      <c r="J10" s="90"/>
      <c r="K10" s="91"/>
      <c r="L10" s="90"/>
      <c r="M10" s="91"/>
      <c r="N10" s="90"/>
      <c r="O10" s="91"/>
      <c r="P10" s="90"/>
      <c r="Q10" s="91"/>
      <c r="R10" s="90"/>
      <c r="S10" s="91"/>
      <c r="T10" s="90"/>
      <c r="U10" s="91"/>
      <c r="V10" s="90"/>
    </row>
    <row r="11" spans="1:22" ht="12.75" customHeight="1">
      <c r="A11" s="90"/>
      <c r="B11" s="90"/>
      <c r="C11" s="90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1:22" ht="12.75" customHeight="1">
      <c r="A12" s="90" t="s">
        <v>463</v>
      </c>
      <c r="B12" s="90"/>
      <c r="C12" s="92"/>
      <c r="D12" s="90"/>
      <c r="E12" s="92"/>
      <c r="F12" s="90"/>
      <c r="G12" s="92"/>
      <c r="H12" s="90"/>
      <c r="I12" s="92"/>
      <c r="J12" s="90"/>
      <c r="K12" s="92"/>
      <c r="L12" s="90"/>
      <c r="M12" s="92"/>
      <c r="N12" s="90"/>
      <c r="O12" s="92"/>
      <c r="P12" s="90"/>
      <c r="Q12" s="92"/>
      <c r="R12" s="90"/>
      <c r="S12" s="92"/>
      <c r="T12" s="90"/>
      <c r="U12" s="92"/>
      <c r="V12" s="90"/>
    </row>
    <row r="13" spans="1:22" ht="12.75" customHeight="1">
      <c r="A13" s="90"/>
      <c r="B13" s="90"/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1:22" ht="12.75" customHeight="1">
      <c r="A14" s="90" t="s">
        <v>464</v>
      </c>
      <c r="B14" s="90"/>
      <c r="C14" s="124">
        <f>C12*C10*C8</f>
        <v>0</v>
      </c>
      <c r="D14" s="90"/>
      <c r="E14" s="124">
        <f>E12*E10*E8</f>
        <v>0</v>
      </c>
      <c r="F14" s="90"/>
      <c r="G14" s="124">
        <f>G12*G10*G8</f>
        <v>0</v>
      </c>
      <c r="H14" s="90"/>
      <c r="I14" s="124">
        <f>I12*I10*I8</f>
        <v>0</v>
      </c>
      <c r="J14" s="90"/>
      <c r="K14" s="124">
        <f>K12*K10*K8</f>
        <v>0</v>
      </c>
      <c r="L14" s="90"/>
      <c r="M14" s="124">
        <f>M12*M10*M8</f>
        <v>0</v>
      </c>
      <c r="N14" s="90"/>
      <c r="O14" s="124">
        <f>O12*O10*O8</f>
        <v>0</v>
      </c>
      <c r="P14" s="90"/>
      <c r="Q14" s="124">
        <f>Q12*Q10*Q8</f>
        <v>0</v>
      </c>
      <c r="R14" s="90"/>
      <c r="S14" s="124">
        <f>S12*S10*S8</f>
        <v>0</v>
      </c>
      <c r="T14" s="90"/>
      <c r="U14" s="124">
        <f>U12*U10*U8</f>
        <v>0</v>
      </c>
      <c r="V14" s="90"/>
    </row>
    <row r="16" spans="1:22" ht="12.75" customHeight="1">
      <c r="B16" s="35"/>
      <c r="C16" s="86" t="str">
        <f>C6</f>
        <v>FY 2018-19</v>
      </c>
      <c r="D16" s="86" t="s">
        <v>366</v>
      </c>
      <c r="E16" s="86" t="str">
        <f>E6</f>
        <v>FY 2019-20</v>
      </c>
      <c r="F16" s="86" t="s">
        <v>366</v>
      </c>
      <c r="G16" s="86" t="str">
        <f>G6</f>
        <v>FY 2020-21</v>
      </c>
      <c r="H16" s="86" t="s">
        <v>366</v>
      </c>
      <c r="I16" s="86" t="str">
        <f>I6</f>
        <v>FY 2021-22</v>
      </c>
      <c r="J16" s="86" t="s">
        <v>366</v>
      </c>
      <c r="K16" s="86" t="str">
        <f>K6</f>
        <v>FY 2022-23</v>
      </c>
      <c r="L16" s="86" t="s">
        <v>366</v>
      </c>
      <c r="M16" s="86" t="str">
        <f>M6</f>
        <v>FY 2023-24</v>
      </c>
      <c r="N16" s="86" t="s">
        <v>366</v>
      </c>
      <c r="O16" s="86" t="str">
        <f>O6</f>
        <v>FY 2024-25</v>
      </c>
      <c r="P16" s="86" t="s">
        <v>366</v>
      </c>
      <c r="Q16" s="86" t="str">
        <f>Q6</f>
        <v>FY 2025-26</v>
      </c>
      <c r="R16" s="86" t="s">
        <v>366</v>
      </c>
      <c r="S16" s="86" t="str">
        <f>S6</f>
        <v>FY 2026-27</v>
      </c>
      <c r="T16" s="86" t="s">
        <v>366</v>
      </c>
      <c r="U16" s="86" t="str">
        <f>U6</f>
        <v>FY 2027-28</v>
      </c>
      <c r="V16" s="86" t="s">
        <v>366</v>
      </c>
    </row>
    <row r="17" spans="1:22" ht="12.75" customHeight="1">
      <c r="A17" s="1" t="s">
        <v>367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2" ht="12.75" customHeight="1">
      <c r="A18" s="2" t="s">
        <v>368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</row>
    <row r="19" spans="1:22" ht="12.75" customHeight="1">
      <c r="A19" s="122" t="s">
        <v>369</v>
      </c>
      <c r="B19" s="35"/>
      <c r="C19" s="125">
        <f>'Catering MMC'!C19+'Catering BBC'!C19</f>
        <v>0</v>
      </c>
      <c r="D19" s="126">
        <f>IFERROR(C19/C$28,0)</f>
        <v>0</v>
      </c>
      <c r="E19" s="125">
        <f>'Catering MMC'!E19+'Catering BBC'!E19</f>
        <v>0</v>
      </c>
      <c r="F19" s="126">
        <f>IFERROR(E19/E$28,0)</f>
        <v>0</v>
      </c>
      <c r="G19" s="125">
        <f>'Catering MMC'!G19+'Catering BBC'!G19</f>
        <v>0</v>
      </c>
      <c r="H19" s="126">
        <f>IFERROR(G19/G$28,0)</f>
        <v>0</v>
      </c>
      <c r="I19" s="125">
        <f>'Catering MMC'!I19+'Catering BBC'!I19</f>
        <v>0</v>
      </c>
      <c r="J19" s="126">
        <f>IFERROR(I19/I$28,0)</f>
        <v>0</v>
      </c>
      <c r="K19" s="125">
        <f>'Catering MMC'!K19+'Catering BBC'!K19</f>
        <v>0</v>
      </c>
      <c r="L19" s="126">
        <f>IFERROR(K19/K$28,0)</f>
        <v>0</v>
      </c>
      <c r="M19" s="125">
        <f>'Catering MMC'!M19+'Catering BBC'!M19</f>
        <v>0</v>
      </c>
      <c r="N19" s="126">
        <f>IFERROR(M19/M$28,0)</f>
        <v>0</v>
      </c>
      <c r="O19" s="125">
        <f>'Catering MMC'!O19+'Catering BBC'!O19</f>
        <v>0</v>
      </c>
      <c r="P19" s="126">
        <f>IFERROR(O19/O$28,0)</f>
        <v>0</v>
      </c>
      <c r="Q19" s="125">
        <f>'Catering MMC'!Q19+'Catering BBC'!Q19</f>
        <v>0</v>
      </c>
      <c r="R19" s="126">
        <f>IFERROR(Q19/Q$28,0)</f>
        <v>0</v>
      </c>
      <c r="S19" s="125">
        <f>'Catering MMC'!S19+'Catering BBC'!S19</f>
        <v>0</v>
      </c>
      <c r="T19" s="126">
        <f>IFERROR(S19/S$28,0)</f>
        <v>0</v>
      </c>
      <c r="U19" s="125">
        <f>'Catering MMC'!U19+'Catering BBC'!U19</f>
        <v>0</v>
      </c>
      <c r="V19" s="126">
        <f>IFERROR(U19/U$28,0)</f>
        <v>0</v>
      </c>
    </row>
    <row r="20" spans="1:22" ht="12.75" customHeight="1">
      <c r="A20" s="122" t="s">
        <v>370</v>
      </c>
      <c r="B20" s="35"/>
      <c r="C20" s="125">
        <f>'Catering MMC'!C20+'Catering BBC'!C20</f>
        <v>0</v>
      </c>
      <c r="D20" s="126">
        <f>IFERROR(C20/C$28,0)</f>
        <v>0</v>
      </c>
      <c r="E20" s="125">
        <f>'Catering MMC'!E20+'Catering BBC'!E20</f>
        <v>0</v>
      </c>
      <c r="F20" s="126">
        <f>IFERROR(E20/E$28,0)</f>
        <v>0</v>
      </c>
      <c r="G20" s="125">
        <f>'Catering MMC'!G20+'Catering BBC'!G20</f>
        <v>0</v>
      </c>
      <c r="H20" s="126">
        <f>IFERROR(G20/G$28,0)</f>
        <v>0</v>
      </c>
      <c r="I20" s="125">
        <f>'Catering MMC'!I20+'Catering BBC'!I20</f>
        <v>0</v>
      </c>
      <c r="J20" s="126">
        <f>IFERROR(I20/I$28,0)</f>
        <v>0</v>
      </c>
      <c r="K20" s="125">
        <f>'Catering MMC'!K20+'Catering BBC'!K20</f>
        <v>0</v>
      </c>
      <c r="L20" s="126">
        <f>IFERROR(K20/K$28,0)</f>
        <v>0</v>
      </c>
      <c r="M20" s="125">
        <f>'Catering MMC'!M20+'Catering BBC'!M20</f>
        <v>0</v>
      </c>
      <c r="N20" s="126">
        <f>IFERROR(M20/M$28,0)</f>
        <v>0</v>
      </c>
      <c r="O20" s="125">
        <f>'Catering MMC'!O20+'Catering BBC'!O20</f>
        <v>0</v>
      </c>
      <c r="P20" s="126">
        <f>IFERROR(O20/O$28,0)</f>
        <v>0</v>
      </c>
      <c r="Q20" s="125">
        <f>'Catering MMC'!Q20+'Catering BBC'!Q20</f>
        <v>0</v>
      </c>
      <c r="R20" s="126">
        <f>IFERROR(Q20/Q$28,0)</f>
        <v>0</v>
      </c>
      <c r="S20" s="125">
        <f>'Catering MMC'!S20+'Catering BBC'!S20</f>
        <v>0</v>
      </c>
      <c r="T20" s="126">
        <f>IFERROR(S20/S$28,0)</f>
        <v>0</v>
      </c>
      <c r="U20" s="125">
        <f>'Catering MMC'!U20+'Catering BBC'!U20</f>
        <v>0</v>
      </c>
      <c r="V20" s="126">
        <f>IFERROR(U20/U$28,0)</f>
        <v>0</v>
      </c>
    </row>
    <row r="21" spans="1:22" ht="12.75" customHeight="1">
      <c r="A21" s="122" t="s">
        <v>371</v>
      </c>
      <c r="B21" s="35"/>
      <c r="C21" s="125">
        <f>'Catering MMC'!C21+'Catering BBC'!C21</f>
        <v>0</v>
      </c>
      <c r="D21" s="126">
        <f>IFERROR(C21/C$28,0)</f>
        <v>0</v>
      </c>
      <c r="E21" s="125">
        <f>'Catering MMC'!E21+'Catering BBC'!E21</f>
        <v>0</v>
      </c>
      <c r="F21" s="126">
        <f>IFERROR(E21/E$28,0)</f>
        <v>0</v>
      </c>
      <c r="G21" s="125">
        <f>'Catering MMC'!G21+'Catering BBC'!G21</f>
        <v>0</v>
      </c>
      <c r="H21" s="126">
        <f>IFERROR(G21/G$28,0)</f>
        <v>0</v>
      </c>
      <c r="I21" s="125">
        <f>'Catering MMC'!I21+'Catering BBC'!I21</f>
        <v>0</v>
      </c>
      <c r="J21" s="126">
        <f>IFERROR(I21/I$28,0)</f>
        <v>0</v>
      </c>
      <c r="K21" s="125">
        <f>'Catering MMC'!K21+'Catering BBC'!K21</f>
        <v>0</v>
      </c>
      <c r="L21" s="126">
        <f>IFERROR(K21/K$28,0)</f>
        <v>0</v>
      </c>
      <c r="M21" s="125">
        <f>'Catering MMC'!M21+'Catering BBC'!M21</f>
        <v>0</v>
      </c>
      <c r="N21" s="126">
        <f>IFERROR(M21/M$28,0)</f>
        <v>0</v>
      </c>
      <c r="O21" s="125">
        <f>'Catering MMC'!O21+'Catering BBC'!O21</f>
        <v>0</v>
      </c>
      <c r="P21" s="126">
        <f>IFERROR(O21/O$28,0)</f>
        <v>0</v>
      </c>
      <c r="Q21" s="125">
        <f>'Catering MMC'!Q21+'Catering BBC'!Q21</f>
        <v>0</v>
      </c>
      <c r="R21" s="126">
        <f>IFERROR(Q21/Q$28,0)</f>
        <v>0</v>
      </c>
      <c r="S21" s="125">
        <f>'Catering MMC'!S21+'Catering BBC'!S21</f>
        <v>0</v>
      </c>
      <c r="T21" s="126">
        <f>IFERROR(S21/S$28,0)</f>
        <v>0</v>
      </c>
      <c r="U21" s="125">
        <f>'Catering MMC'!U21+'Catering BBC'!U21</f>
        <v>0</v>
      </c>
      <c r="V21" s="126">
        <f>IFERROR(U21/U$28,0)</f>
        <v>0</v>
      </c>
    </row>
    <row r="22" spans="1:22" ht="12.75" customHeight="1">
      <c r="A22" s="2" t="s">
        <v>372</v>
      </c>
      <c r="B22" s="35"/>
      <c r="C22" s="79"/>
      <c r="D22" s="80"/>
      <c r="E22" s="79"/>
      <c r="F22" s="80"/>
      <c r="G22" s="79"/>
      <c r="H22" s="80"/>
      <c r="I22" s="79"/>
      <c r="J22" s="80"/>
      <c r="K22" s="79"/>
      <c r="L22" s="80"/>
      <c r="M22" s="79"/>
      <c r="N22" s="80"/>
      <c r="O22" s="79"/>
      <c r="P22" s="80"/>
      <c r="Q22" s="79"/>
      <c r="R22" s="80"/>
      <c r="S22" s="79"/>
      <c r="T22" s="80"/>
      <c r="U22" s="79"/>
      <c r="V22" s="80"/>
    </row>
    <row r="23" spans="1:22" ht="12.75" customHeight="1">
      <c r="A23" s="122" t="s">
        <v>373</v>
      </c>
      <c r="B23" s="35"/>
      <c r="C23" s="125">
        <f>'Catering MMC'!C23+'Catering BBC'!C23</f>
        <v>0</v>
      </c>
      <c r="D23" s="126">
        <f t="shared" ref="D23:D28" si="0">IFERROR(C23/C$28,0)</f>
        <v>0</v>
      </c>
      <c r="E23" s="125">
        <f>'Catering MMC'!E23+'Catering BBC'!E23</f>
        <v>0</v>
      </c>
      <c r="F23" s="126">
        <f t="shared" ref="F23:F28" si="1">IFERROR(E23/E$28,0)</f>
        <v>0</v>
      </c>
      <c r="G23" s="125">
        <f>'Catering MMC'!G23+'Catering BBC'!G23</f>
        <v>0</v>
      </c>
      <c r="H23" s="126">
        <f t="shared" ref="H23:H28" si="2">IFERROR(G23/G$28,0)</f>
        <v>0</v>
      </c>
      <c r="I23" s="125">
        <f>'Catering MMC'!I23+'Catering BBC'!I23</f>
        <v>0</v>
      </c>
      <c r="J23" s="126">
        <f t="shared" ref="J23:J28" si="3">IFERROR(I23/I$28,0)</f>
        <v>0</v>
      </c>
      <c r="K23" s="125">
        <f>'Catering MMC'!K23+'Catering BBC'!K23</f>
        <v>0</v>
      </c>
      <c r="L23" s="126">
        <f t="shared" ref="L23:L28" si="4">IFERROR(K23/K$28,0)</f>
        <v>0</v>
      </c>
      <c r="M23" s="125">
        <f>'Catering MMC'!M23+'Catering BBC'!M23</f>
        <v>0</v>
      </c>
      <c r="N23" s="126">
        <f t="shared" ref="N23:N28" si="5">IFERROR(M23/M$28,0)</f>
        <v>0</v>
      </c>
      <c r="O23" s="125">
        <f>'Catering MMC'!O23+'Catering BBC'!O23</f>
        <v>0</v>
      </c>
      <c r="P23" s="126">
        <f t="shared" ref="P23:P28" si="6">IFERROR(O23/O$28,0)</f>
        <v>0</v>
      </c>
      <c r="Q23" s="125">
        <f>'Catering MMC'!Q23+'Catering BBC'!Q23</f>
        <v>0</v>
      </c>
      <c r="R23" s="126">
        <f t="shared" ref="R23:R28" si="7">IFERROR(Q23/Q$28,0)</f>
        <v>0</v>
      </c>
      <c r="S23" s="125">
        <f>'Catering MMC'!S23+'Catering BBC'!S23</f>
        <v>0</v>
      </c>
      <c r="T23" s="126">
        <f t="shared" ref="T23:T28" si="8">IFERROR(S23/S$28,0)</f>
        <v>0</v>
      </c>
      <c r="U23" s="125">
        <f>'Catering MMC'!U23+'Catering BBC'!U23</f>
        <v>0</v>
      </c>
      <c r="V23" s="126">
        <f t="shared" ref="V23:V28" si="9">IFERROR(U23/U$28,0)</f>
        <v>0</v>
      </c>
    </row>
    <row r="24" spans="1:22" ht="12.75" customHeight="1">
      <c r="A24" s="122" t="s">
        <v>374</v>
      </c>
      <c r="B24" s="35"/>
      <c r="C24" s="125">
        <f>'Catering MMC'!C24+'Catering BBC'!C24</f>
        <v>0</v>
      </c>
      <c r="D24" s="126">
        <f t="shared" si="0"/>
        <v>0</v>
      </c>
      <c r="E24" s="125">
        <f>'Catering MMC'!E24+'Catering BBC'!E24</f>
        <v>0</v>
      </c>
      <c r="F24" s="126">
        <f t="shared" si="1"/>
        <v>0</v>
      </c>
      <c r="G24" s="125">
        <f>'Catering MMC'!G24+'Catering BBC'!G24</f>
        <v>0</v>
      </c>
      <c r="H24" s="126">
        <f t="shared" si="2"/>
        <v>0</v>
      </c>
      <c r="I24" s="125">
        <f>'Catering MMC'!I24+'Catering BBC'!I24</f>
        <v>0</v>
      </c>
      <c r="J24" s="126">
        <f t="shared" si="3"/>
        <v>0</v>
      </c>
      <c r="K24" s="125">
        <f>'Catering MMC'!K24+'Catering BBC'!K24</f>
        <v>0</v>
      </c>
      <c r="L24" s="126">
        <f t="shared" si="4"/>
        <v>0</v>
      </c>
      <c r="M24" s="125">
        <f>'Catering MMC'!M24+'Catering BBC'!M24</f>
        <v>0</v>
      </c>
      <c r="N24" s="126">
        <f t="shared" si="5"/>
        <v>0</v>
      </c>
      <c r="O24" s="125">
        <f>'Catering MMC'!O24+'Catering BBC'!O24</f>
        <v>0</v>
      </c>
      <c r="P24" s="126">
        <f t="shared" si="6"/>
        <v>0</v>
      </c>
      <c r="Q24" s="125">
        <f>'Catering MMC'!Q24+'Catering BBC'!Q24</f>
        <v>0</v>
      </c>
      <c r="R24" s="126">
        <f t="shared" si="7"/>
        <v>0</v>
      </c>
      <c r="S24" s="125">
        <f>'Catering MMC'!S24+'Catering BBC'!S24</f>
        <v>0</v>
      </c>
      <c r="T24" s="126">
        <f t="shared" si="8"/>
        <v>0</v>
      </c>
      <c r="U24" s="125">
        <f>'Catering MMC'!U24+'Catering BBC'!U24</f>
        <v>0</v>
      </c>
      <c r="V24" s="126">
        <f t="shared" si="9"/>
        <v>0</v>
      </c>
    </row>
    <row r="25" spans="1:22" ht="12.75" customHeight="1">
      <c r="A25" s="2" t="s">
        <v>375</v>
      </c>
      <c r="B25" s="35"/>
      <c r="C25" s="79">
        <f>'Catering MMC'!C25+'Catering BBC'!C25</f>
        <v>1161770</v>
      </c>
      <c r="D25" s="80">
        <f t="shared" si="0"/>
        <v>1</v>
      </c>
      <c r="E25" s="79">
        <f>'Catering MMC'!E25+'Catering BBC'!E25</f>
        <v>1208005.3999999999</v>
      </c>
      <c r="F25" s="80">
        <f t="shared" si="1"/>
        <v>1</v>
      </c>
      <c r="G25" s="79">
        <f>'Catering MMC'!G25+'Catering BBC'!G25</f>
        <v>1256165.5080000001</v>
      </c>
      <c r="H25" s="80">
        <f t="shared" si="2"/>
        <v>1</v>
      </c>
      <c r="I25" s="79">
        <f>'Catering MMC'!I25+'Catering BBC'!I25</f>
        <v>1307288.81816</v>
      </c>
      <c r="J25" s="80">
        <f t="shared" si="3"/>
        <v>1</v>
      </c>
      <c r="K25" s="79">
        <f>'Catering MMC'!K25+'Catering BBC'!K25</f>
        <v>1346434.5945232001</v>
      </c>
      <c r="L25" s="80">
        <f t="shared" si="4"/>
        <v>1</v>
      </c>
      <c r="M25" s="79">
        <f>'Catering MMC'!M25+'Catering BBC'!M25</f>
        <v>1373363.286413664</v>
      </c>
      <c r="N25" s="80">
        <f t="shared" si="5"/>
        <v>1</v>
      </c>
      <c r="O25" s="79">
        <f>'Catering MMC'!O25+'Catering BBC'!O25</f>
        <v>1399830.5521419374</v>
      </c>
      <c r="P25" s="80">
        <f t="shared" si="6"/>
        <v>1</v>
      </c>
      <c r="Q25" s="79">
        <f>'Catering MMC'!Q25+'Catering BBC'!Q25</f>
        <v>1427327.1631847762</v>
      </c>
      <c r="R25" s="80">
        <f t="shared" si="7"/>
        <v>1</v>
      </c>
      <c r="S25" s="79">
        <f>'Catering MMC'!S25+'Catering BBC'!S25</f>
        <v>1455873.7064484716</v>
      </c>
      <c r="T25" s="80">
        <f t="shared" si="8"/>
        <v>1</v>
      </c>
      <c r="U25" s="79">
        <f>'Catering MMC'!U25+'Catering BBC'!U25</f>
        <v>1484991.1805774411</v>
      </c>
      <c r="V25" s="80">
        <f t="shared" si="9"/>
        <v>1</v>
      </c>
    </row>
    <row r="26" spans="1:22" ht="12.75" customHeight="1">
      <c r="A26" s="122" t="s">
        <v>376</v>
      </c>
      <c r="B26" s="35"/>
      <c r="C26" s="125">
        <f>'Catering MMC'!C26+'Catering BBC'!C26</f>
        <v>0</v>
      </c>
      <c r="D26" s="126">
        <f t="shared" si="0"/>
        <v>0</v>
      </c>
      <c r="E26" s="125">
        <f>'Catering MMC'!E26+'Catering BBC'!E26</f>
        <v>0</v>
      </c>
      <c r="F26" s="126">
        <f t="shared" si="1"/>
        <v>0</v>
      </c>
      <c r="G26" s="125">
        <f>'Catering MMC'!G26+'Catering BBC'!G26</f>
        <v>0</v>
      </c>
      <c r="H26" s="126">
        <f t="shared" si="2"/>
        <v>0</v>
      </c>
      <c r="I26" s="125">
        <f>'Catering MMC'!I26+'Catering BBC'!I26</f>
        <v>0</v>
      </c>
      <c r="J26" s="126">
        <f t="shared" si="3"/>
        <v>0</v>
      </c>
      <c r="K26" s="125">
        <f>'Catering MMC'!K26+'Catering BBC'!K26</f>
        <v>0</v>
      </c>
      <c r="L26" s="126">
        <f t="shared" si="4"/>
        <v>0</v>
      </c>
      <c r="M26" s="125">
        <f>'Catering MMC'!M26+'Catering BBC'!M26</f>
        <v>0</v>
      </c>
      <c r="N26" s="126">
        <f t="shared" si="5"/>
        <v>0</v>
      </c>
      <c r="O26" s="125">
        <f>'Catering MMC'!O26+'Catering BBC'!O26</f>
        <v>0</v>
      </c>
      <c r="P26" s="126">
        <f t="shared" si="6"/>
        <v>0</v>
      </c>
      <c r="Q26" s="125">
        <f>'Catering MMC'!Q26+'Catering BBC'!Q26</f>
        <v>0</v>
      </c>
      <c r="R26" s="126">
        <f t="shared" si="7"/>
        <v>0</v>
      </c>
      <c r="S26" s="125">
        <f>'Catering MMC'!S26+'Catering BBC'!S26</f>
        <v>0</v>
      </c>
      <c r="T26" s="126">
        <f t="shared" si="8"/>
        <v>0</v>
      </c>
      <c r="U26" s="125">
        <f>'Catering MMC'!U26+'Catering BBC'!U26</f>
        <v>0</v>
      </c>
      <c r="V26" s="126">
        <f t="shared" si="9"/>
        <v>0</v>
      </c>
    </row>
    <row r="27" spans="1:22" ht="12.75" customHeight="1">
      <c r="A27" s="2" t="s">
        <v>377</v>
      </c>
      <c r="B27" s="35"/>
      <c r="C27" s="81">
        <f>'Catering MMC'!C27+'Catering BBC'!C27</f>
        <v>0</v>
      </c>
      <c r="D27" s="80">
        <f t="shared" si="0"/>
        <v>0</v>
      </c>
      <c r="E27" s="81">
        <f>'Catering MMC'!E27+'Catering BBC'!E27</f>
        <v>0</v>
      </c>
      <c r="F27" s="80">
        <f t="shared" si="1"/>
        <v>0</v>
      </c>
      <c r="G27" s="81">
        <f>'Catering MMC'!G27+'Catering BBC'!G27</f>
        <v>0</v>
      </c>
      <c r="H27" s="80">
        <f t="shared" si="2"/>
        <v>0</v>
      </c>
      <c r="I27" s="81">
        <f>'Catering MMC'!I27+'Catering BBC'!I27</f>
        <v>0</v>
      </c>
      <c r="J27" s="80">
        <f t="shared" si="3"/>
        <v>0</v>
      </c>
      <c r="K27" s="81">
        <f>'Catering MMC'!K27+'Catering BBC'!K27</f>
        <v>0</v>
      </c>
      <c r="L27" s="80">
        <f t="shared" si="4"/>
        <v>0</v>
      </c>
      <c r="M27" s="81">
        <f>'Catering MMC'!M27+'Catering BBC'!M27</f>
        <v>0</v>
      </c>
      <c r="N27" s="80">
        <f t="shared" si="5"/>
        <v>0</v>
      </c>
      <c r="O27" s="81">
        <f>'Catering MMC'!O27+'Catering BBC'!O27</f>
        <v>0</v>
      </c>
      <c r="P27" s="80">
        <f t="shared" si="6"/>
        <v>0</v>
      </c>
      <c r="Q27" s="81">
        <f>'Catering MMC'!Q27+'Catering BBC'!Q27</f>
        <v>0</v>
      </c>
      <c r="R27" s="80">
        <f t="shared" si="7"/>
        <v>0</v>
      </c>
      <c r="S27" s="81">
        <f>'Catering MMC'!S27+'Catering BBC'!S27</f>
        <v>0</v>
      </c>
      <c r="T27" s="80">
        <f t="shared" si="8"/>
        <v>0</v>
      </c>
      <c r="U27" s="81">
        <f>'Catering MMC'!U27+'Catering BBC'!U27</f>
        <v>0</v>
      </c>
      <c r="V27" s="80">
        <f t="shared" si="9"/>
        <v>0</v>
      </c>
    </row>
    <row r="28" spans="1:22" ht="12.75" customHeight="1">
      <c r="A28" s="1" t="s">
        <v>378</v>
      </c>
      <c r="B28" s="53"/>
      <c r="C28" s="82">
        <f>SUM(C19:C27)</f>
        <v>1161770</v>
      </c>
      <c r="D28" s="83">
        <f t="shared" si="0"/>
        <v>1</v>
      </c>
      <c r="E28" s="82">
        <f>SUM(E19:E27)</f>
        <v>1208005.3999999999</v>
      </c>
      <c r="F28" s="83">
        <f t="shared" si="1"/>
        <v>1</v>
      </c>
      <c r="G28" s="82">
        <f>SUM(G19:G27)</f>
        <v>1256165.5080000001</v>
      </c>
      <c r="H28" s="83">
        <f t="shared" si="2"/>
        <v>1</v>
      </c>
      <c r="I28" s="82">
        <f>SUM(I19:I27)</f>
        <v>1307288.81816</v>
      </c>
      <c r="J28" s="83">
        <f t="shared" si="3"/>
        <v>1</v>
      </c>
      <c r="K28" s="82">
        <f>SUM(K19:K27)</f>
        <v>1346434.5945232001</v>
      </c>
      <c r="L28" s="83">
        <f t="shared" si="4"/>
        <v>1</v>
      </c>
      <c r="M28" s="82">
        <f>SUM(M19:M27)</f>
        <v>1373363.286413664</v>
      </c>
      <c r="N28" s="83">
        <f t="shared" si="5"/>
        <v>1</v>
      </c>
      <c r="O28" s="82">
        <f>SUM(O19:O27)</f>
        <v>1399830.5521419374</v>
      </c>
      <c r="P28" s="83">
        <f t="shared" si="6"/>
        <v>1</v>
      </c>
      <c r="Q28" s="82">
        <f>SUM(Q19:Q27)</f>
        <v>1427327.1631847762</v>
      </c>
      <c r="R28" s="83">
        <f t="shared" si="7"/>
        <v>1</v>
      </c>
      <c r="S28" s="82">
        <f>SUM(S19:S27)</f>
        <v>1455873.7064484716</v>
      </c>
      <c r="T28" s="83">
        <f t="shared" si="8"/>
        <v>1</v>
      </c>
      <c r="U28" s="82">
        <f>SUM(U19:U27)</f>
        <v>1484991.1805774411</v>
      </c>
      <c r="V28" s="83">
        <f t="shared" si="9"/>
        <v>1</v>
      </c>
    </row>
    <row r="29" spans="1:22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2" ht="12.75" customHeight="1">
      <c r="A30" s="1" t="s">
        <v>379</v>
      </c>
      <c r="B30" s="53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2" ht="12.75" customHeight="1">
      <c r="A31" s="2" t="s">
        <v>380</v>
      </c>
      <c r="B31" s="35"/>
      <c r="C31" s="79">
        <f>'Catering MMC'!C31+'Catering BBC'!C31</f>
        <v>395001.80000000005</v>
      </c>
      <c r="D31" s="80">
        <f>IFERROR(C31/C$28,0)</f>
        <v>0.34</v>
      </c>
      <c r="E31" s="79">
        <f>'Catering MMC'!E31+'Catering BBC'!E31</f>
        <v>410721.83600000001</v>
      </c>
      <c r="F31" s="80">
        <f>IFERROR(E31/E$28,0)</f>
        <v>0.34</v>
      </c>
      <c r="G31" s="79">
        <f>'Catering MMC'!G31+'Catering BBC'!G31</f>
        <v>427096.27272000007</v>
      </c>
      <c r="H31" s="80">
        <f>IFERROR(G31/G$28,0)</f>
        <v>0.34</v>
      </c>
      <c r="I31" s="79">
        <f>'Catering MMC'!I31+'Catering BBC'!I31</f>
        <v>444478.19817440002</v>
      </c>
      <c r="J31" s="80">
        <f>IFERROR(I31/I$28,0)</f>
        <v>0.34</v>
      </c>
      <c r="K31" s="79">
        <f>'Catering MMC'!K31+'Catering BBC'!K31</f>
        <v>457787.76213788806</v>
      </c>
      <c r="L31" s="80">
        <f>IFERROR(K31/K$28,0)</f>
        <v>0.34</v>
      </c>
      <c r="M31" s="79">
        <f>'Catering MMC'!M31+'Catering BBC'!M31</f>
        <v>466943.51738064585</v>
      </c>
      <c r="N31" s="80">
        <f>IFERROR(M31/M$28,0)</f>
        <v>0.34000000000000008</v>
      </c>
      <c r="O31" s="79">
        <f>'Catering MMC'!O31+'Catering BBC'!O31</f>
        <v>475942.38772825873</v>
      </c>
      <c r="P31" s="80">
        <f>IFERROR(O31/O$28,0)</f>
        <v>0.34</v>
      </c>
      <c r="Q31" s="79">
        <f>'Catering MMC'!Q31+'Catering BBC'!Q31</f>
        <v>485291.23548282392</v>
      </c>
      <c r="R31" s="80">
        <f>IFERROR(Q31/Q$28,0)</f>
        <v>0.34</v>
      </c>
      <c r="S31" s="79">
        <f>'Catering MMC'!S31+'Catering BBC'!S31</f>
        <v>494997.06019248039</v>
      </c>
      <c r="T31" s="80">
        <f>IFERROR(S31/S$28,0)</f>
        <v>0.34</v>
      </c>
      <c r="U31" s="79">
        <f>'Catering MMC'!U31+'Catering BBC'!U31</f>
        <v>504897.00139632996</v>
      </c>
      <c r="V31" s="80">
        <f>IFERROR(U31/U$28,0)</f>
        <v>0.33999999999999997</v>
      </c>
    </row>
    <row r="32" spans="1:22" ht="12.75" customHeight="1">
      <c r="A32" s="8" t="s">
        <v>381</v>
      </c>
      <c r="B32" s="8"/>
      <c r="C32" s="81">
        <f>'Catering MMC'!C32+'Catering BBC'!C32</f>
        <v>0</v>
      </c>
      <c r="D32" s="80">
        <f>IFERROR(C32/C$28,0)</f>
        <v>0</v>
      </c>
      <c r="E32" s="81">
        <f>'Catering MMC'!E32+'Catering BBC'!E32</f>
        <v>0</v>
      </c>
      <c r="F32" s="80">
        <f>IFERROR(E32/E$28,0)</f>
        <v>0</v>
      </c>
      <c r="G32" s="81">
        <f>'Catering MMC'!G32+'Catering BBC'!G32</f>
        <v>0</v>
      </c>
      <c r="H32" s="80">
        <f>IFERROR(G32/G$28,0)</f>
        <v>0</v>
      </c>
      <c r="I32" s="81">
        <f>'Catering MMC'!I32+'Catering BBC'!I32</f>
        <v>0</v>
      </c>
      <c r="J32" s="80">
        <f>IFERROR(I32/I$28,0)</f>
        <v>0</v>
      </c>
      <c r="K32" s="81">
        <f>'Catering MMC'!K32+'Catering BBC'!K32</f>
        <v>0</v>
      </c>
      <c r="L32" s="80">
        <f>IFERROR(K32/K$28,0)</f>
        <v>0</v>
      </c>
      <c r="M32" s="81">
        <f>'Catering MMC'!M32+'Catering BBC'!M32</f>
        <v>0</v>
      </c>
      <c r="N32" s="80">
        <f>IFERROR(M32/M$28,0)</f>
        <v>0</v>
      </c>
      <c r="O32" s="81">
        <f>'Catering MMC'!O32+'Catering BBC'!O32</f>
        <v>0</v>
      </c>
      <c r="P32" s="80">
        <f>IFERROR(O32/O$28,0)</f>
        <v>0</v>
      </c>
      <c r="Q32" s="81">
        <f>'Catering MMC'!Q32+'Catering BBC'!Q32</f>
        <v>0</v>
      </c>
      <c r="R32" s="80">
        <f>IFERROR(Q32/Q$28,0)</f>
        <v>0</v>
      </c>
      <c r="S32" s="81">
        <f>'Catering MMC'!S32+'Catering BBC'!S32</f>
        <v>0</v>
      </c>
      <c r="T32" s="80">
        <f>IFERROR(S32/S$28,0)</f>
        <v>0</v>
      </c>
      <c r="U32" s="81">
        <f>'Catering MMC'!U32+'Catering BBC'!U32</f>
        <v>0</v>
      </c>
      <c r="V32" s="80">
        <f>IFERROR(U32/U$28,0)</f>
        <v>0</v>
      </c>
    </row>
    <row r="33" spans="1:22" ht="12.75" customHeight="1">
      <c r="A33" s="1" t="s">
        <v>382</v>
      </c>
      <c r="B33" s="53"/>
      <c r="C33" s="82">
        <f>SUM(C31:C32)</f>
        <v>395001.80000000005</v>
      </c>
      <c r="D33" s="83">
        <f>IFERROR(C33/C$28,0)</f>
        <v>0.34</v>
      </c>
      <c r="E33" s="82">
        <f>SUM(E31:E32)</f>
        <v>410721.83600000001</v>
      </c>
      <c r="F33" s="83">
        <f>IFERROR(E33/E$28,0)</f>
        <v>0.34</v>
      </c>
      <c r="G33" s="82">
        <f>SUM(G31:G32)</f>
        <v>427096.27272000007</v>
      </c>
      <c r="H33" s="83">
        <f>IFERROR(G33/G$28,0)</f>
        <v>0.34</v>
      </c>
      <c r="I33" s="82">
        <f>SUM(I31:I32)</f>
        <v>444478.19817440002</v>
      </c>
      <c r="J33" s="83">
        <f>IFERROR(I33/I$28,0)</f>
        <v>0.34</v>
      </c>
      <c r="K33" s="82">
        <f>SUM(K31:K32)</f>
        <v>457787.76213788806</v>
      </c>
      <c r="L33" s="83">
        <f>IFERROR(K33/K$28,0)</f>
        <v>0.34</v>
      </c>
      <c r="M33" s="82">
        <f>SUM(M31:M32)</f>
        <v>466943.51738064585</v>
      </c>
      <c r="N33" s="83">
        <f>IFERROR(M33/M$28,0)</f>
        <v>0.34000000000000008</v>
      </c>
      <c r="O33" s="82">
        <f>SUM(O31:O32)</f>
        <v>475942.38772825873</v>
      </c>
      <c r="P33" s="83">
        <f>IFERROR(O33/O$28,0)</f>
        <v>0.34</v>
      </c>
      <c r="Q33" s="82">
        <f>SUM(Q31:Q32)</f>
        <v>485291.23548282392</v>
      </c>
      <c r="R33" s="83">
        <f>IFERROR(Q33/Q$28,0)</f>
        <v>0.34</v>
      </c>
      <c r="S33" s="82">
        <f>SUM(S31:S32)</f>
        <v>494997.06019248039</v>
      </c>
      <c r="T33" s="83">
        <f>IFERROR(S33/S$28,0)</f>
        <v>0.34</v>
      </c>
      <c r="U33" s="82">
        <f>SUM(U31:U32)</f>
        <v>504897.00139632996</v>
      </c>
      <c r="V33" s="83">
        <f>IFERROR(U33/U$28,0)</f>
        <v>0.33999999999999997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383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384</v>
      </c>
      <c r="B36" s="35"/>
      <c r="C36" s="79">
        <f>'Catering MMC'!C36+'Catering BBC'!C36</f>
        <v>170707</v>
      </c>
      <c r="D36" s="80">
        <f t="shared" ref="D36:D46" si="10">IFERROR(C36/C$28,0)</f>
        <v>0.14693700129974091</v>
      </c>
      <c r="E36" s="79">
        <f>'Catering MMC'!E36+'Catering BBC'!E36</f>
        <v>174121.14</v>
      </c>
      <c r="F36" s="80">
        <f t="shared" ref="F36:F46" si="11">IFERROR(E36/E$28,0)</f>
        <v>0.14413937222466061</v>
      </c>
      <c r="G36" s="79">
        <f>'Catering MMC'!G36+'Catering BBC'!G36</f>
        <v>177603.56280000001</v>
      </c>
      <c r="H36" s="80">
        <f t="shared" ref="H36:H46" si="12">IFERROR(G36/G$28,0)</f>
        <v>0.14138547959557571</v>
      </c>
      <c r="I36" s="79">
        <f>'Catering MMC'!I36+'Catering BBC'!I36</f>
        <v>181155.63405600001</v>
      </c>
      <c r="J36" s="80">
        <f t="shared" ref="J36:J46" si="13">IFERROR(I36/I$28,0)</f>
        <v>0.13857353596198835</v>
      </c>
      <c r="K36" s="79">
        <f>'Catering MMC'!K36+'Catering BBC'!K36</f>
        <v>184778.74673712</v>
      </c>
      <c r="L36" s="80">
        <f t="shared" ref="L36:L46" si="14">IFERROR(K36/K$28,0)</f>
        <v>0.1372355905654325</v>
      </c>
      <c r="M36" s="79">
        <f>'Catering MMC'!M36+'Catering BBC'!M36</f>
        <v>188474.32167186242</v>
      </c>
      <c r="N36" s="80">
        <f t="shared" ref="N36:N46" si="15">IFERROR(M36/M$28,0)</f>
        <v>0.13723559056543252</v>
      </c>
      <c r="O36" s="79">
        <f>'Catering MMC'!O36+'Catering BBC'!O36</f>
        <v>192243.80810529966</v>
      </c>
      <c r="P36" s="80">
        <f t="shared" ref="P36:P46" si="16">IFERROR(O36/O$28,0)</f>
        <v>0.13733362785312808</v>
      </c>
      <c r="Q36" s="79">
        <f>'Catering MMC'!Q36+'Catering BBC'!Q36</f>
        <v>196088.68426740565</v>
      </c>
      <c r="R36" s="80">
        <f t="shared" ref="R36:R46" si="17">IFERROR(Q36/Q$28,0)</f>
        <v>0.1373817365248452</v>
      </c>
      <c r="S36" s="79">
        <f>'Catering MMC'!S36+'Catering BBC'!S36</f>
        <v>200010.45795275376</v>
      </c>
      <c r="T36" s="80">
        <f t="shared" ref="T36:T46" si="18">IFERROR(S36/S$28,0)</f>
        <v>0.1373817365248452</v>
      </c>
      <c r="U36" s="79">
        <f>'Catering MMC'!U36+'Catering BBC'!U36</f>
        <v>204010.66711180884</v>
      </c>
      <c r="V36" s="80">
        <f t="shared" ref="V36:V46" si="19">IFERROR(U36/U$28,0)</f>
        <v>0.1373817365248452</v>
      </c>
    </row>
    <row r="37" spans="1:22" ht="12.75" customHeight="1">
      <c r="A37" s="2" t="s">
        <v>385</v>
      </c>
      <c r="B37" s="35"/>
      <c r="C37" s="79">
        <f>'Catering MMC'!C37+'Catering BBC'!C37</f>
        <v>296795</v>
      </c>
      <c r="D37" s="80">
        <f t="shared" si="10"/>
        <v>0.25546794976630488</v>
      </c>
      <c r="E37" s="79">
        <f>'Catering MMC'!E37+'Catering BBC'!E37</f>
        <v>301716.82</v>
      </c>
      <c r="F37" s="80">
        <f t="shared" si="11"/>
        <v>0.24976446297342714</v>
      </c>
      <c r="G37" s="79">
        <f>'Catering MMC'!G37+'Catering BBC'!G37</f>
        <v>306737.07640000002</v>
      </c>
      <c r="H37" s="80">
        <f t="shared" si="12"/>
        <v>0.2441852402780669</v>
      </c>
      <c r="I37" s="79">
        <f>'Catering MMC'!I37+'Catering BBC'!I37</f>
        <v>311857.73792800005</v>
      </c>
      <c r="J37" s="80">
        <f t="shared" si="13"/>
        <v>0.2385530523904715</v>
      </c>
      <c r="K37" s="79">
        <f>'Catering MMC'!K37+'Catering BBC'!K37</f>
        <v>317080.81268656004</v>
      </c>
      <c r="L37" s="80">
        <f t="shared" si="14"/>
        <v>0.2354966323476298</v>
      </c>
      <c r="M37" s="79">
        <f>'Catering MMC'!M37+'Catering BBC'!M37</f>
        <v>322408.34894029127</v>
      </c>
      <c r="N37" s="80">
        <f t="shared" si="15"/>
        <v>0.23475824068532747</v>
      </c>
      <c r="O37" s="79">
        <f>'Catering MMC'!O37+'Catering BBC'!O37</f>
        <v>327842.4359190971</v>
      </c>
      <c r="P37" s="80">
        <f t="shared" si="16"/>
        <v>0.23420151490296601</v>
      </c>
      <c r="Q37" s="79">
        <f>'Catering MMC'!Q37+'Catering BBC'!Q37</f>
        <v>333385.20463747904</v>
      </c>
      <c r="R37" s="80">
        <f t="shared" si="17"/>
        <v>0.23357308207713293</v>
      </c>
      <c r="S37" s="79">
        <f>'Catering MMC'!S37+'Catering BBC'!S37</f>
        <v>339038.82873022865</v>
      </c>
      <c r="T37" s="80">
        <f t="shared" si="18"/>
        <v>0.23287653814237519</v>
      </c>
      <c r="U37" s="79">
        <f>'Catering MMC'!U37+'Catering BBC'!U37</f>
        <v>344805.52530483325</v>
      </c>
      <c r="V37" s="80">
        <f t="shared" si="19"/>
        <v>0.23219365193182837</v>
      </c>
    </row>
    <row r="38" spans="1:22" ht="12.75" customHeight="1">
      <c r="A38" s="2" t="s">
        <v>386</v>
      </c>
      <c r="B38" s="35"/>
      <c r="C38" s="79">
        <f>'Catering MMC'!C38+'Catering BBC'!C38</f>
        <v>0</v>
      </c>
      <c r="D38" s="80">
        <f t="shared" si="10"/>
        <v>0</v>
      </c>
      <c r="E38" s="79">
        <f>'Catering MMC'!E38+'Catering BBC'!E38</f>
        <v>0</v>
      </c>
      <c r="F38" s="80">
        <f t="shared" si="11"/>
        <v>0</v>
      </c>
      <c r="G38" s="79">
        <f>'Catering MMC'!G38+'Catering BBC'!G38</f>
        <v>0</v>
      </c>
      <c r="H38" s="80">
        <f t="shared" si="12"/>
        <v>0</v>
      </c>
      <c r="I38" s="79">
        <f>'Catering MMC'!I38+'Catering BBC'!I38</f>
        <v>0</v>
      </c>
      <c r="J38" s="80">
        <f t="shared" si="13"/>
        <v>0</v>
      </c>
      <c r="K38" s="79">
        <f>'Catering MMC'!K38+'Catering BBC'!K38</f>
        <v>0</v>
      </c>
      <c r="L38" s="80">
        <f t="shared" si="14"/>
        <v>0</v>
      </c>
      <c r="M38" s="79">
        <f>'Catering MMC'!M38+'Catering BBC'!M38</f>
        <v>0</v>
      </c>
      <c r="N38" s="80">
        <f t="shared" si="15"/>
        <v>0</v>
      </c>
      <c r="O38" s="79">
        <f>'Catering MMC'!O38+'Catering BBC'!O38</f>
        <v>0</v>
      </c>
      <c r="P38" s="80">
        <f t="shared" si="16"/>
        <v>0</v>
      </c>
      <c r="Q38" s="79">
        <f>'Catering MMC'!Q38+'Catering BBC'!Q38</f>
        <v>0</v>
      </c>
      <c r="R38" s="80">
        <f t="shared" si="17"/>
        <v>0</v>
      </c>
      <c r="S38" s="79">
        <f>'Catering MMC'!S38+'Catering BBC'!S38</f>
        <v>0</v>
      </c>
      <c r="T38" s="80">
        <f t="shared" si="18"/>
        <v>0</v>
      </c>
      <c r="U38" s="79">
        <f>'Catering MMC'!U38+'Catering BBC'!U38</f>
        <v>0</v>
      </c>
      <c r="V38" s="80">
        <f t="shared" si="19"/>
        <v>0</v>
      </c>
    </row>
    <row r="39" spans="1:22" ht="12.75" customHeight="1">
      <c r="A39" s="2" t="s">
        <v>387</v>
      </c>
      <c r="B39" s="35"/>
      <c r="C39" s="79">
        <f>'Catering MMC'!C39+'Catering BBC'!C39</f>
        <v>26430</v>
      </c>
      <c r="D39" s="80">
        <f t="shared" si="10"/>
        <v>2.2749769747884695E-2</v>
      </c>
      <c r="E39" s="79">
        <f>'Catering MMC'!E39+'Catering BBC'!E39</f>
        <v>26958.600000000002</v>
      </c>
      <c r="F39" s="80">
        <f t="shared" si="11"/>
        <v>2.231662209457011E-2</v>
      </c>
      <c r="G39" s="79">
        <f>'Catering MMC'!G39+'Catering BBC'!G39</f>
        <v>27497.772000000004</v>
      </c>
      <c r="H39" s="80">
        <f t="shared" si="12"/>
        <v>2.1890246010480334E-2</v>
      </c>
      <c r="I39" s="79">
        <f>'Catering MMC'!I39+'Catering BBC'!I39</f>
        <v>28047.727440000006</v>
      </c>
      <c r="J39" s="80">
        <f t="shared" si="13"/>
        <v>2.1454882081433993E-2</v>
      </c>
      <c r="K39" s="79">
        <f>'Catering MMC'!K39+'Catering BBC'!K39</f>
        <v>28608.681988800006</v>
      </c>
      <c r="L39" s="80">
        <f t="shared" si="14"/>
        <v>2.1247732422480518E-2</v>
      </c>
      <c r="M39" s="79">
        <f>'Catering MMC'!M39+'Catering BBC'!M39</f>
        <v>29180.855628576006</v>
      </c>
      <c r="N39" s="80">
        <f t="shared" si="15"/>
        <v>2.1247732422480518E-2</v>
      </c>
      <c r="O39" s="79">
        <f>'Catering MMC'!O39+'Catering BBC'!O39</f>
        <v>29764.472741147525</v>
      </c>
      <c r="P39" s="80">
        <f t="shared" si="16"/>
        <v>2.126291121136319E-2</v>
      </c>
      <c r="Q39" s="79">
        <f>'Catering MMC'!Q39+'Catering BBC'!Q39</f>
        <v>30359.762195970477</v>
      </c>
      <c r="R39" s="80">
        <f t="shared" si="17"/>
        <v>2.1270359717830312E-2</v>
      </c>
      <c r="S39" s="79">
        <f>'Catering MMC'!S39+'Catering BBC'!S39</f>
        <v>30966.957439889888</v>
      </c>
      <c r="T39" s="80">
        <f t="shared" si="18"/>
        <v>2.1270359717830315E-2</v>
      </c>
      <c r="U39" s="79">
        <f>'Catering MMC'!U39+'Catering BBC'!U39</f>
        <v>31586.296588687685</v>
      </c>
      <c r="V39" s="80">
        <f t="shared" si="19"/>
        <v>2.1270359717830315E-2</v>
      </c>
    </row>
    <row r="40" spans="1:22" ht="12.75" customHeight="1">
      <c r="A40" s="2" t="s">
        <v>388</v>
      </c>
      <c r="B40" s="35"/>
      <c r="C40" s="79">
        <f>'Catering MMC'!C40+'Catering BBC'!C40</f>
        <v>21167.668000000001</v>
      </c>
      <c r="D40" s="80">
        <f t="shared" si="10"/>
        <v>1.8220188161167876E-2</v>
      </c>
      <c r="E40" s="79">
        <f>'Catering MMC'!E40+'Catering BBC'!E40</f>
        <v>21591.021360000002</v>
      </c>
      <c r="F40" s="80">
        <f t="shared" si="11"/>
        <v>1.7873282155857918E-2</v>
      </c>
      <c r="G40" s="79">
        <f>'Catering MMC'!G40+'Catering BBC'!G40</f>
        <v>22022.841787200003</v>
      </c>
      <c r="H40" s="80">
        <f t="shared" si="12"/>
        <v>1.7531799469851388E-2</v>
      </c>
      <c r="I40" s="79">
        <f>'Catering MMC'!I40+'Catering BBC'!I40</f>
        <v>22463.298622943999</v>
      </c>
      <c r="J40" s="80">
        <f t="shared" si="13"/>
        <v>1.7183118459286554E-2</v>
      </c>
      <c r="K40" s="79">
        <f>'Catering MMC'!K40+'Catering BBC'!K40</f>
        <v>22912.564595402881</v>
      </c>
      <c r="L40" s="80">
        <f t="shared" si="14"/>
        <v>1.7017213230113629E-2</v>
      </c>
      <c r="M40" s="79">
        <f>'Catering MMC'!M40+'Catering BBC'!M40</f>
        <v>23370.815887310939</v>
      </c>
      <c r="N40" s="80">
        <f t="shared" si="15"/>
        <v>1.7017213230113629E-2</v>
      </c>
      <c r="O40" s="79">
        <f>'Catering MMC'!O40+'Catering BBC'!O40</f>
        <v>23838.232205057157</v>
      </c>
      <c r="P40" s="80">
        <f t="shared" si="16"/>
        <v>1.7029369853787883E-2</v>
      </c>
      <c r="Q40" s="79">
        <f>'Catering MMC'!Q40+'Catering BBC'!Q40</f>
        <v>24314.996849158302</v>
      </c>
      <c r="R40" s="80">
        <f t="shared" si="17"/>
        <v>1.7035335329080806E-2</v>
      </c>
      <c r="S40" s="79">
        <f>'Catering MMC'!S40+'Catering BBC'!S40</f>
        <v>24801.296786141465</v>
      </c>
      <c r="T40" s="80">
        <f t="shared" si="18"/>
        <v>1.7035335329080803E-2</v>
      </c>
      <c r="U40" s="79">
        <f>'Catering MMC'!U40+'Catering BBC'!U40</f>
        <v>25297.322721864297</v>
      </c>
      <c r="V40" s="80">
        <f t="shared" si="19"/>
        <v>1.7035335329080806E-2</v>
      </c>
    </row>
    <row r="41" spans="1:22" ht="12.75" customHeight="1">
      <c r="A41" s="2" t="s">
        <v>389</v>
      </c>
      <c r="B41" s="35"/>
      <c r="C41" s="79">
        <f>'Catering MMC'!C41+'Catering BBC'!C41</f>
        <v>36802.58</v>
      </c>
      <c r="D41" s="80">
        <f t="shared" si="10"/>
        <v>3.1678025771021807E-2</v>
      </c>
      <c r="E41" s="79">
        <f>'Catering MMC'!E41+'Catering BBC'!E41</f>
        <v>37412.885679999999</v>
      </c>
      <c r="F41" s="80">
        <f t="shared" si="11"/>
        <v>3.0970793408704962E-2</v>
      </c>
      <c r="G41" s="79">
        <f>'Catering MMC'!G41+'Catering BBC'!G41</f>
        <v>38035.397473600002</v>
      </c>
      <c r="H41" s="80">
        <f t="shared" si="12"/>
        <v>3.0278969794480297E-2</v>
      </c>
      <c r="I41" s="79">
        <f>'Catering MMC'!I41+'Catering BBC'!I41</f>
        <v>38670.359503072003</v>
      </c>
      <c r="J41" s="80">
        <f t="shared" si="13"/>
        <v>2.9580578496418462E-2</v>
      </c>
      <c r="K41" s="79">
        <f>'Catering MMC'!K41+'Catering BBC'!K41</f>
        <v>39318.020773133445</v>
      </c>
      <c r="L41" s="80">
        <f t="shared" si="14"/>
        <v>2.9201582411106094E-2</v>
      </c>
      <c r="M41" s="79">
        <f>'Catering MMC'!M41+'Catering BBC'!M41</f>
        <v>39978.635268596117</v>
      </c>
      <c r="N41" s="80">
        <f t="shared" si="15"/>
        <v>2.9110021844980606E-2</v>
      </c>
      <c r="O41" s="79">
        <f>'Catering MMC'!O41+'Catering BBC'!O41</f>
        <v>40652.46205396804</v>
      </c>
      <c r="P41" s="80">
        <f t="shared" si="16"/>
        <v>2.9040987847967784E-2</v>
      </c>
      <c r="Q41" s="79">
        <f>'Catering MMC'!Q41+'Catering BBC'!Q41</f>
        <v>41339.765375047406</v>
      </c>
      <c r="R41" s="80">
        <f t="shared" si="17"/>
        <v>2.8963062177564485E-2</v>
      </c>
      <c r="S41" s="79">
        <f>'Catering MMC'!S41+'Catering BBC'!S41</f>
        <v>42040.814762548354</v>
      </c>
      <c r="T41" s="80">
        <f t="shared" si="18"/>
        <v>2.8876690729654524E-2</v>
      </c>
      <c r="U41" s="79">
        <f>'Catering MMC'!U41+'Catering BBC'!U41</f>
        <v>42755.885137799327</v>
      </c>
      <c r="V41" s="80">
        <f t="shared" si="19"/>
        <v>2.8792012839546719E-2</v>
      </c>
    </row>
    <row r="42" spans="1:22" ht="12.75" customHeight="1">
      <c r="A42" s="2" t="s">
        <v>390</v>
      </c>
      <c r="B42" s="35"/>
      <c r="C42" s="79">
        <f>'Catering MMC'!C42+'Catering BBC'!C42</f>
        <v>0</v>
      </c>
      <c r="D42" s="80">
        <f t="shared" si="10"/>
        <v>0</v>
      </c>
      <c r="E42" s="79">
        <f>'Catering MMC'!E42+'Catering BBC'!E42</f>
        <v>0</v>
      </c>
      <c r="F42" s="80">
        <f t="shared" si="11"/>
        <v>0</v>
      </c>
      <c r="G42" s="79">
        <f>'Catering MMC'!G42+'Catering BBC'!G42</f>
        <v>0</v>
      </c>
      <c r="H42" s="80">
        <f t="shared" si="12"/>
        <v>0</v>
      </c>
      <c r="I42" s="79">
        <f>'Catering MMC'!I42+'Catering BBC'!I42</f>
        <v>0</v>
      </c>
      <c r="J42" s="80">
        <f t="shared" si="13"/>
        <v>0</v>
      </c>
      <c r="K42" s="79">
        <f>'Catering MMC'!K42+'Catering BBC'!K42</f>
        <v>0</v>
      </c>
      <c r="L42" s="80">
        <f t="shared" si="14"/>
        <v>0</v>
      </c>
      <c r="M42" s="79">
        <f>'Catering MMC'!M42+'Catering BBC'!M42</f>
        <v>0</v>
      </c>
      <c r="N42" s="80">
        <f t="shared" si="15"/>
        <v>0</v>
      </c>
      <c r="O42" s="79">
        <f>'Catering MMC'!O42+'Catering BBC'!O42</f>
        <v>0</v>
      </c>
      <c r="P42" s="80">
        <f t="shared" si="16"/>
        <v>0</v>
      </c>
      <c r="Q42" s="79">
        <f>'Catering MMC'!Q42+'Catering BBC'!Q42</f>
        <v>0</v>
      </c>
      <c r="R42" s="80">
        <f t="shared" si="17"/>
        <v>0</v>
      </c>
      <c r="S42" s="79">
        <f>'Catering MMC'!S42+'Catering BBC'!S42</f>
        <v>0</v>
      </c>
      <c r="T42" s="80">
        <f t="shared" si="18"/>
        <v>0</v>
      </c>
      <c r="U42" s="79">
        <f>'Catering MMC'!U42+'Catering BBC'!U42</f>
        <v>0</v>
      </c>
      <c r="V42" s="80">
        <f t="shared" si="19"/>
        <v>0</v>
      </c>
    </row>
    <row r="43" spans="1:22" ht="12.75" customHeight="1">
      <c r="A43" s="2" t="s">
        <v>391</v>
      </c>
      <c r="B43" s="35"/>
      <c r="C43" s="79">
        <f>'Catering MMC'!C43+'Catering BBC'!C43</f>
        <v>0</v>
      </c>
      <c r="D43" s="80">
        <f t="shared" si="10"/>
        <v>0</v>
      </c>
      <c r="E43" s="79">
        <f>'Catering MMC'!E43+'Catering BBC'!E43</f>
        <v>0</v>
      </c>
      <c r="F43" s="80">
        <f t="shared" si="11"/>
        <v>0</v>
      </c>
      <c r="G43" s="79">
        <f>'Catering MMC'!G43+'Catering BBC'!G43</f>
        <v>0</v>
      </c>
      <c r="H43" s="80">
        <f t="shared" si="12"/>
        <v>0</v>
      </c>
      <c r="I43" s="79">
        <f>'Catering MMC'!I43+'Catering BBC'!I43</f>
        <v>0</v>
      </c>
      <c r="J43" s="80">
        <f t="shared" si="13"/>
        <v>0</v>
      </c>
      <c r="K43" s="79">
        <f>'Catering MMC'!K43+'Catering BBC'!K43</f>
        <v>0</v>
      </c>
      <c r="L43" s="80">
        <f t="shared" si="14"/>
        <v>0</v>
      </c>
      <c r="M43" s="79">
        <f>'Catering MMC'!M43+'Catering BBC'!M43</f>
        <v>0</v>
      </c>
      <c r="N43" s="80">
        <f t="shared" si="15"/>
        <v>0</v>
      </c>
      <c r="O43" s="79">
        <f>'Catering MMC'!O43+'Catering BBC'!O43</f>
        <v>0</v>
      </c>
      <c r="P43" s="80">
        <f t="shared" si="16"/>
        <v>0</v>
      </c>
      <c r="Q43" s="79">
        <f>'Catering MMC'!Q43+'Catering BBC'!Q43</f>
        <v>0</v>
      </c>
      <c r="R43" s="80">
        <f t="shared" si="17"/>
        <v>0</v>
      </c>
      <c r="S43" s="79">
        <f>'Catering MMC'!S43+'Catering BBC'!S43</f>
        <v>0</v>
      </c>
      <c r="T43" s="80">
        <f t="shared" si="18"/>
        <v>0</v>
      </c>
      <c r="U43" s="79">
        <f>'Catering MMC'!U43+'Catering BBC'!U43</f>
        <v>0</v>
      </c>
      <c r="V43" s="80">
        <f t="shared" si="19"/>
        <v>0</v>
      </c>
    </row>
    <row r="44" spans="1:22" ht="12.75" customHeight="1">
      <c r="A44" s="2" t="s">
        <v>392</v>
      </c>
      <c r="B44" s="35"/>
      <c r="C44" s="79">
        <f>'Catering MMC'!C44+'Catering BBC'!C44</f>
        <v>0</v>
      </c>
      <c r="D44" s="80">
        <f t="shared" si="10"/>
        <v>0</v>
      </c>
      <c r="E44" s="79">
        <f>'Catering MMC'!E44+'Catering BBC'!E44</f>
        <v>0</v>
      </c>
      <c r="F44" s="80">
        <f t="shared" si="11"/>
        <v>0</v>
      </c>
      <c r="G44" s="79">
        <f>'Catering MMC'!G44+'Catering BBC'!G44</f>
        <v>0</v>
      </c>
      <c r="H44" s="80">
        <f t="shared" si="12"/>
        <v>0</v>
      </c>
      <c r="I44" s="79">
        <f>'Catering MMC'!I44+'Catering BBC'!I44</f>
        <v>0</v>
      </c>
      <c r="J44" s="80">
        <f t="shared" si="13"/>
        <v>0</v>
      </c>
      <c r="K44" s="79">
        <f>'Catering MMC'!K44+'Catering BBC'!K44</f>
        <v>0</v>
      </c>
      <c r="L44" s="80">
        <f t="shared" si="14"/>
        <v>0</v>
      </c>
      <c r="M44" s="79">
        <f>'Catering MMC'!M44+'Catering BBC'!M44</f>
        <v>0</v>
      </c>
      <c r="N44" s="80">
        <f t="shared" si="15"/>
        <v>0</v>
      </c>
      <c r="O44" s="79">
        <f>'Catering MMC'!O44+'Catering BBC'!O44</f>
        <v>0</v>
      </c>
      <c r="P44" s="80">
        <f t="shared" si="16"/>
        <v>0</v>
      </c>
      <c r="Q44" s="79">
        <f>'Catering MMC'!Q44+'Catering BBC'!Q44</f>
        <v>0</v>
      </c>
      <c r="R44" s="80">
        <f t="shared" si="17"/>
        <v>0</v>
      </c>
      <c r="S44" s="79">
        <f>'Catering MMC'!S44+'Catering BBC'!S44</f>
        <v>0</v>
      </c>
      <c r="T44" s="80">
        <f t="shared" si="18"/>
        <v>0</v>
      </c>
      <c r="U44" s="79">
        <f>'Catering MMC'!U44+'Catering BBC'!U44</f>
        <v>0</v>
      </c>
      <c r="V44" s="80">
        <f t="shared" si="19"/>
        <v>0</v>
      </c>
    </row>
    <row r="45" spans="1:22" ht="12.75" customHeight="1">
      <c r="A45" s="2" t="s">
        <v>393</v>
      </c>
      <c r="B45" s="35"/>
      <c r="C45" s="81">
        <f>'Catering MMC'!C45+'Catering BBC'!C45</f>
        <v>46429.608</v>
      </c>
      <c r="D45" s="80">
        <f t="shared" si="10"/>
        <v>3.9964543756509464E-2</v>
      </c>
      <c r="E45" s="81">
        <f>'Catering MMC'!E45+'Catering BBC'!E45</f>
        <v>47262.876640000002</v>
      </c>
      <c r="F45" s="80">
        <f t="shared" si="11"/>
        <v>3.9124722985509841E-2</v>
      </c>
      <c r="G45" s="81">
        <f>'Catering MMC'!G45+'Catering BBC'!G45</f>
        <v>48112.810652799999</v>
      </c>
      <c r="H45" s="80">
        <f t="shared" si="12"/>
        <v>3.8301330793107553E-2</v>
      </c>
      <c r="I45" s="81">
        <f>'Catering MMC'!I45+'Catering BBC'!I45</f>
        <v>48979.743345856004</v>
      </c>
      <c r="J45" s="80">
        <f t="shared" si="13"/>
        <v>3.7466658220786021E-2</v>
      </c>
      <c r="K45" s="81">
        <f>'Catering MMC'!K45+'Catering BBC'!K45</f>
        <v>49864.014692773126</v>
      </c>
      <c r="L45" s="80">
        <f t="shared" si="14"/>
        <v>3.7034115801541027E-2</v>
      </c>
      <c r="M45" s="81">
        <f>'Catering MMC'!M45+'Catering BBC'!M45</f>
        <v>50765.971466628594</v>
      </c>
      <c r="N45" s="80">
        <f t="shared" si="15"/>
        <v>3.6964706985284611E-2</v>
      </c>
      <c r="O45" s="81">
        <f>'Catering MMC'!O45+'Catering BBC'!O45</f>
        <v>51685.967375961161</v>
      </c>
      <c r="P45" s="80">
        <f t="shared" si="16"/>
        <v>3.6923017072940982E-2</v>
      </c>
      <c r="Q45" s="81">
        <f>'Catering MMC'!Q45+'Catering BBC'!Q45</f>
        <v>52624.363203480381</v>
      </c>
      <c r="R45" s="80">
        <f t="shared" si="17"/>
        <v>3.6869166762061992E-2</v>
      </c>
      <c r="S45" s="81">
        <f>'Catering MMC'!S45+'Catering BBC'!S45</f>
        <v>53581.526947549995</v>
      </c>
      <c r="T45" s="80">
        <f t="shared" si="18"/>
        <v>3.6803691632194768E-2</v>
      </c>
      <c r="U45" s="81">
        <f>'Catering MMC'!U45+'Catering BBC'!U45</f>
        <v>54557.833966500999</v>
      </c>
      <c r="V45" s="80">
        <f t="shared" si="19"/>
        <v>3.6739500328403368E-2</v>
      </c>
    </row>
    <row r="46" spans="1:22" ht="12.75" customHeight="1">
      <c r="A46" s="1" t="s">
        <v>394</v>
      </c>
      <c r="B46" s="53"/>
      <c r="C46" s="82">
        <f>SUM(C36:C45)</f>
        <v>598331.85600000003</v>
      </c>
      <c r="D46" s="83">
        <f t="shared" si="10"/>
        <v>0.51501747850262958</v>
      </c>
      <c r="E46" s="82">
        <f>SUM(E36:E45)</f>
        <v>609063.34367999993</v>
      </c>
      <c r="F46" s="83">
        <f t="shared" si="11"/>
        <v>0.50418925584273044</v>
      </c>
      <c r="G46" s="82">
        <f>SUM(G36:G45)</f>
        <v>620009.46111360006</v>
      </c>
      <c r="H46" s="83">
        <f t="shared" si="12"/>
        <v>0.49357306594156219</v>
      </c>
      <c r="I46" s="82">
        <f>SUM(I36:I45)</f>
        <v>631174.50089587201</v>
      </c>
      <c r="J46" s="83">
        <f t="shared" si="13"/>
        <v>0.48281182561038483</v>
      </c>
      <c r="K46" s="82">
        <f>SUM(K36:K45)</f>
        <v>642562.84147378965</v>
      </c>
      <c r="L46" s="83">
        <f t="shared" si="14"/>
        <v>0.47723286677830368</v>
      </c>
      <c r="M46" s="82">
        <f>SUM(M36:M45)</f>
        <v>654178.94886326534</v>
      </c>
      <c r="N46" s="83">
        <f t="shared" si="15"/>
        <v>0.47633350573361938</v>
      </c>
      <c r="O46" s="82">
        <f>SUM(O36:O45)</f>
        <v>666027.37840053055</v>
      </c>
      <c r="P46" s="83">
        <f t="shared" si="16"/>
        <v>0.47579142874215391</v>
      </c>
      <c r="Q46" s="82">
        <f>SUM(Q36:Q45)</f>
        <v>678112.77652854135</v>
      </c>
      <c r="R46" s="83">
        <f t="shared" si="17"/>
        <v>0.4750927425885158</v>
      </c>
      <c r="S46" s="82">
        <f>SUM(S36:S45)</f>
        <v>690439.88261911215</v>
      </c>
      <c r="T46" s="83">
        <f t="shared" si="18"/>
        <v>0.47424435207598081</v>
      </c>
      <c r="U46" s="82">
        <f>SUM(U36:U45)</f>
        <v>703013.53083149437</v>
      </c>
      <c r="V46" s="83">
        <f t="shared" si="19"/>
        <v>0.47341259667153474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>
        <f>B4</f>
        <v>0</v>
      </c>
    </row>
    <row r="49" spans="1:22" ht="12.75" customHeight="1">
      <c r="A49" s="1"/>
      <c r="B49" s="118"/>
    </row>
    <row r="50" spans="1:22" ht="12.75" customHeight="1">
      <c r="C50" s="86" t="str">
        <f>C6</f>
        <v>FY 2018-19</v>
      </c>
      <c r="D50" s="86" t="s">
        <v>366</v>
      </c>
      <c r="E50" s="86" t="str">
        <f>E6</f>
        <v>FY 2019-20</v>
      </c>
      <c r="F50" s="86" t="s">
        <v>366</v>
      </c>
      <c r="G50" s="86" t="str">
        <f>G6</f>
        <v>FY 2020-21</v>
      </c>
      <c r="H50" s="86" t="s">
        <v>366</v>
      </c>
      <c r="I50" s="86" t="str">
        <f>I6</f>
        <v>FY 2021-22</v>
      </c>
      <c r="J50" s="86" t="s">
        <v>366</v>
      </c>
      <c r="K50" s="86" t="str">
        <f>K6</f>
        <v>FY 2022-23</v>
      </c>
      <c r="L50" s="86" t="s">
        <v>366</v>
      </c>
      <c r="M50" s="86" t="str">
        <f>M6</f>
        <v>FY 2023-24</v>
      </c>
      <c r="N50" s="86" t="s">
        <v>366</v>
      </c>
      <c r="O50" s="86" t="str">
        <f>O6</f>
        <v>FY 2024-25</v>
      </c>
      <c r="P50" s="86" t="s">
        <v>366</v>
      </c>
      <c r="Q50" s="86" t="str">
        <f>Q6</f>
        <v>FY 2025-26</v>
      </c>
      <c r="R50" s="86" t="s">
        <v>366</v>
      </c>
      <c r="S50" s="86" t="str">
        <f>S6</f>
        <v>FY 2026-27</v>
      </c>
      <c r="T50" s="86" t="s">
        <v>366</v>
      </c>
      <c r="U50" s="86" t="str">
        <f>U6</f>
        <v>FY 2027-28</v>
      </c>
      <c r="V50" s="86" t="s">
        <v>366</v>
      </c>
    </row>
    <row r="51" spans="1:22" ht="12.75" customHeight="1">
      <c r="A51" s="1" t="s">
        <v>395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2" ht="12.75" customHeight="1">
      <c r="A52" s="2" t="s">
        <v>396</v>
      </c>
      <c r="B52" s="35"/>
      <c r="C52" s="79">
        <f>'Catering MMC'!C52+'Catering BBC'!C52</f>
        <v>0</v>
      </c>
      <c r="D52" s="80">
        <f t="shared" ref="D52:D83" si="20">IFERROR(C52/C$28,0)</f>
        <v>0</v>
      </c>
      <c r="E52" s="79">
        <f>'Catering MMC'!E52+'Catering BBC'!E52</f>
        <v>0</v>
      </c>
      <c r="F52" s="80">
        <f t="shared" ref="F52:F83" si="21">IFERROR(E52/E$28,0)</f>
        <v>0</v>
      </c>
      <c r="G52" s="79">
        <f>'Catering MMC'!G52+'Catering BBC'!G52</f>
        <v>0</v>
      </c>
      <c r="H52" s="80">
        <f t="shared" ref="H52:H83" si="22">IFERROR(G52/G$28,0)</f>
        <v>0</v>
      </c>
      <c r="I52" s="79">
        <f>'Catering MMC'!I52+'Catering BBC'!I52</f>
        <v>0</v>
      </c>
      <c r="J52" s="80">
        <f t="shared" ref="J52:J83" si="23">IFERROR(I52/I$28,0)</f>
        <v>0</v>
      </c>
      <c r="K52" s="79">
        <f>'Catering MMC'!K52+'Catering BBC'!K52</f>
        <v>0</v>
      </c>
      <c r="L52" s="80">
        <f t="shared" ref="L52:L83" si="24">IFERROR(K52/K$28,0)</f>
        <v>0</v>
      </c>
      <c r="M52" s="79">
        <f>'Catering MMC'!M52+'Catering BBC'!M52</f>
        <v>0</v>
      </c>
      <c r="N52" s="80">
        <f t="shared" ref="N52:N83" si="25">IFERROR(M52/M$28,0)</f>
        <v>0</v>
      </c>
      <c r="O52" s="79">
        <f>'Catering MMC'!O52+'Catering BBC'!O52</f>
        <v>0</v>
      </c>
      <c r="P52" s="80">
        <f t="shared" ref="P52:P83" si="26">IFERROR(O52/O$28,0)</f>
        <v>0</v>
      </c>
      <c r="Q52" s="79">
        <f>'Catering MMC'!Q52+'Catering BBC'!Q52</f>
        <v>0</v>
      </c>
      <c r="R52" s="80">
        <f t="shared" ref="R52:R83" si="27">IFERROR(Q52/Q$28,0)</f>
        <v>0</v>
      </c>
      <c r="S52" s="79">
        <f>'Catering MMC'!S52+'Catering BBC'!S52</f>
        <v>0</v>
      </c>
      <c r="T52" s="80">
        <f t="shared" ref="T52:T83" si="28">IFERROR(S52/S$28,0)</f>
        <v>0</v>
      </c>
      <c r="U52" s="79">
        <f>'Catering MMC'!U52+'Catering BBC'!U52</f>
        <v>0</v>
      </c>
      <c r="V52" s="80">
        <f t="shared" ref="V52:V105" si="29">IFERROR(U52/U$28,0)</f>
        <v>0</v>
      </c>
    </row>
    <row r="53" spans="1:22" ht="12.75" customHeight="1">
      <c r="A53" s="2" t="s">
        <v>397</v>
      </c>
      <c r="B53" s="35"/>
      <c r="C53" s="79">
        <f>'Catering MMC'!C53+'Catering BBC'!C53</f>
        <v>0</v>
      </c>
      <c r="D53" s="80">
        <f t="shared" si="20"/>
        <v>0</v>
      </c>
      <c r="E53" s="79">
        <f>'Catering MMC'!E53+'Catering BBC'!E53</f>
        <v>0</v>
      </c>
      <c r="F53" s="80">
        <f t="shared" si="21"/>
        <v>0</v>
      </c>
      <c r="G53" s="79">
        <f>'Catering MMC'!G53+'Catering BBC'!G53</f>
        <v>0</v>
      </c>
      <c r="H53" s="80">
        <f t="shared" si="22"/>
        <v>0</v>
      </c>
      <c r="I53" s="79">
        <f>'Catering MMC'!I53+'Catering BBC'!I53</f>
        <v>0</v>
      </c>
      <c r="J53" s="80">
        <f t="shared" si="23"/>
        <v>0</v>
      </c>
      <c r="K53" s="79">
        <f>'Catering MMC'!K53+'Catering BBC'!K53</f>
        <v>0</v>
      </c>
      <c r="L53" s="80">
        <f t="shared" si="24"/>
        <v>0</v>
      </c>
      <c r="M53" s="79">
        <f>'Catering MMC'!M53+'Catering BBC'!M53</f>
        <v>0</v>
      </c>
      <c r="N53" s="80">
        <f t="shared" si="25"/>
        <v>0</v>
      </c>
      <c r="O53" s="79">
        <f>'Catering MMC'!O53+'Catering BBC'!O53</f>
        <v>0</v>
      </c>
      <c r="P53" s="80">
        <f t="shared" si="26"/>
        <v>0</v>
      </c>
      <c r="Q53" s="79">
        <f>'Catering MMC'!Q53+'Catering BBC'!Q53</f>
        <v>0</v>
      </c>
      <c r="R53" s="80">
        <f t="shared" si="27"/>
        <v>0</v>
      </c>
      <c r="S53" s="79">
        <f>'Catering MMC'!S53+'Catering BBC'!S53</f>
        <v>0</v>
      </c>
      <c r="T53" s="80">
        <f t="shared" si="28"/>
        <v>0</v>
      </c>
      <c r="U53" s="79">
        <f>'Catering MMC'!U53+'Catering BBC'!U53</f>
        <v>0</v>
      </c>
      <c r="V53" s="80">
        <f t="shared" si="29"/>
        <v>0</v>
      </c>
    </row>
    <row r="54" spans="1:22" ht="12.75" customHeight="1">
      <c r="A54" s="214" t="s">
        <v>398</v>
      </c>
      <c r="B54" s="215"/>
      <c r="C54" s="79">
        <f>'Catering MMC'!C54+'Catering BBC'!C54</f>
        <v>813.23900000000003</v>
      </c>
      <c r="D54" s="80">
        <f t="shared" si="20"/>
        <v>6.9999999999999999E-4</v>
      </c>
      <c r="E54" s="79">
        <f>'Catering MMC'!E54+'Catering BBC'!E54</f>
        <v>845.60377999999992</v>
      </c>
      <c r="F54" s="80">
        <f t="shared" si="21"/>
        <v>6.9999999999999999E-4</v>
      </c>
      <c r="G54" s="79">
        <f>'Catering MMC'!G54+'Catering BBC'!G54</f>
        <v>879.31585560000008</v>
      </c>
      <c r="H54" s="80">
        <f t="shared" si="22"/>
        <v>6.9999999999999999E-4</v>
      </c>
      <c r="I54" s="79">
        <f>'Catering MMC'!I54+'Catering BBC'!I54</f>
        <v>915.10217271200008</v>
      </c>
      <c r="J54" s="80">
        <f t="shared" si="23"/>
        <v>7.000000000000001E-4</v>
      </c>
      <c r="K54" s="79">
        <f>'Catering MMC'!K54+'Catering BBC'!K54</f>
        <v>942.50421616624021</v>
      </c>
      <c r="L54" s="80">
        <f t="shared" si="24"/>
        <v>7.000000000000001E-4</v>
      </c>
      <c r="M54" s="79">
        <f>'Catering MMC'!M54+'Catering BBC'!M54</f>
        <v>961.35430048956493</v>
      </c>
      <c r="N54" s="80">
        <f t="shared" si="25"/>
        <v>7.000000000000001E-4</v>
      </c>
      <c r="O54" s="79">
        <f>'Catering MMC'!O54+'Catering BBC'!O54</f>
        <v>979.88138649935604</v>
      </c>
      <c r="P54" s="80">
        <f t="shared" si="26"/>
        <v>6.9999999999999988E-4</v>
      </c>
      <c r="Q54" s="79">
        <f>'Catering MMC'!Q54+'Catering BBC'!Q54</f>
        <v>999.12901422934328</v>
      </c>
      <c r="R54" s="80">
        <f t="shared" si="27"/>
        <v>6.9999999999999999E-4</v>
      </c>
      <c r="S54" s="79">
        <f>'Catering MMC'!S54+'Catering BBC'!S54</f>
        <v>1019.1115945139302</v>
      </c>
      <c r="T54" s="80">
        <f t="shared" si="28"/>
        <v>6.9999999999999999E-4</v>
      </c>
      <c r="U54" s="79">
        <f>'Catering MMC'!U54+'Catering BBC'!U54</f>
        <v>1039.4938264042087</v>
      </c>
      <c r="V54" s="80">
        <f t="shared" si="29"/>
        <v>6.9999999999999988E-4</v>
      </c>
    </row>
    <row r="55" spans="1:22" ht="12.75" customHeight="1">
      <c r="A55" s="214" t="s">
        <v>399</v>
      </c>
      <c r="B55" s="215"/>
      <c r="C55" s="79">
        <f>'Catering MMC'!C55+'Catering BBC'!C55</f>
        <v>0</v>
      </c>
      <c r="D55" s="80">
        <f t="shared" si="20"/>
        <v>0</v>
      </c>
      <c r="E55" s="79">
        <f>'Catering MMC'!E55+'Catering BBC'!E55</f>
        <v>0</v>
      </c>
      <c r="F55" s="80">
        <f t="shared" si="21"/>
        <v>0</v>
      </c>
      <c r="G55" s="79">
        <f>'Catering MMC'!G55+'Catering BBC'!G55</f>
        <v>0</v>
      </c>
      <c r="H55" s="80">
        <f t="shared" si="22"/>
        <v>0</v>
      </c>
      <c r="I55" s="79">
        <f>'Catering MMC'!I55+'Catering BBC'!I55</f>
        <v>0</v>
      </c>
      <c r="J55" s="80">
        <f t="shared" si="23"/>
        <v>0</v>
      </c>
      <c r="K55" s="79">
        <f>'Catering MMC'!K55+'Catering BBC'!K55</f>
        <v>0</v>
      </c>
      <c r="L55" s="80">
        <f t="shared" si="24"/>
        <v>0</v>
      </c>
      <c r="M55" s="79">
        <f>'Catering MMC'!M55+'Catering BBC'!M55</f>
        <v>0</v>
      </c>
      <c r="N55" s="80">
        <f t="shared" si="25"/>
        <v>0</v>
      </c>
      <c r="O55" s="79">
        <f>'Catering MMC'!O55+'Catering BBC'!O55</f>
        <v>0</v>
      </c>
      <c r="P55" s="80">
        <f t="shared" si="26"/>
        <v>0</v>
      </c>
      <c r="Q55" s="79">
        <f>'Catering MMC'!Q55+'Catering BBC'!Q55</f>
        <v>0</v>
      </c>
      <c r="R55" s="80">
        <f t="shared" si="27"/>
        <v>0</v>
      </c>
      <c r="S55" s="79">
        <f>'Catering MMC'!S55+'Catering BBC'!S55</f>
        <v>0</v>
      </c>
      <c r="T55" s="80">
        <f t="shared" si="28"/>
        <v>0</v>
      </c>
      <c r="U55" s="79">
        <f>'Catering MMC'!U55+'Catering BBC'!U55</f>
        <v>0</v>
      </c>
      <c r="V55" s="80">
        <f t="shared" si="29"/>
        <v>0</v>
      </c>
    </row>
    <row r="56" spans="1:22" ht="12.75" customHeight="1">
      <c r="A56" s="214" t="s">
        <v>400</v>
      </c>
      <c r="B56" s="215"/>
      <c r="C56" s="79">
        <f>'Catering MMC'!C56+'Catering BBC'!C56</f>
        <v>592.5027</v>
      </c>
      <c r="D56" s="80">
        <f t="shared" si="20"/>
        <v>5.1000000000000004E-4</v>
      </c>
      <c r="E56" s="79">
        <f>'Catering MMC'!E56+'Catering BBC'!E56</f>
        <v>616.08275400000002</v>
      </c>
      <c r="F56" s="80">
        <f t="shared" si="21"/>
        <v>5.1000000000000004E-4</v>
      </c>
      <c r="G56" s="79">
        <f>'Catering MMC'!G56+'Catering BBC'!G56</f>
        <v>640.64440908000006</v>
      </c>
      <c r="H56" s="80">
        <f t="shared" si="22"/>
        <v>5.1000000000000004E-4</v>
      </c>
      <c r="I56" s="79">
        <f>'Catering MMC'!I56+'Catering BBC'!I56</f>
        <v>666.71729726160015</v>
      </c>
      <c r="J56" s="80">
        <f t="shared" si="23"/>
        <v>5.1000000000000015E-4</v>
      </c>
      <c r="K56" s="79">
        <f>'Catering MMC'!K56+'Catering BBC'!K56</f>
        <v>686.68164320683218</v>
      </c>
      <c r="L56" s="80">
        <f t="shared" si="24"/>
        <v>5.1000000000000015E-4</v>
      </c>
      <c r="M56" s="79">
        <f>'Catering MMC'!M56+'Catering BBC'!M56</f>
        <v>700.41527607096873</v>
      </c>
      <c r="N56" s="80">
        <f t="shared" si="25"/>
        <v>5.1000000000000004E-4</v>
      </c>
      <c r="O56" s="79">
        <f>'Catering MMC'!O56+'Catering BBC'!O56</f>
        <v>713.91358159238803</v>
      </c>
      <c r="P56" s="80">
        <f t="shared" si="26"/>
        <v>5.0999999999999993E-4</v>
      </c>
      <c r="Q56" s="79">
        <f>'Catering MMC'!Q56+'Catering BBC'!Q56</f>
        <v>727.93685322423585</v>
      </c>
      <c r="R56" s="80">
        <f t="shared" si="27"/>
        <v>5.1000000000000004E-4</v>
      </c>
      <c r="S56" s="79">
        <f>'Catering MMC'!S56+'Catering BBC'!S56</f>
        <v>742.49559028872056</v>
      </c>
      <c r="T56" s="80">
        <f t="shared" si="28"/>
        <v>5.1000000000000004E-4</v>
      </c>
      <c r="U56" s="79">
        <f>'Catering MMC'!U56+'Catering BBC'!U56</f>
        <v>757.34550209449503</v>
      </c>
      <c r="V56" s="80">
        <f t="shared" si="29"/>
        <v>5.1000000000000004E-4</v>
      </c>
    </row>
    <row r="57" spans="1:22" ht="12.75" customHeight="1">
      <c r="A57" s="2" t="s">
        <v>401</v>
      </c>
      <c r="B57" s="35"/>
      <c r="C57" s="79">
        <f>'Catering MMC'!C57+'Catering BBC'!C57</f>
        <v>0</v>
      </c>
      <c r="D57" s="80">
        <f t="shared" si="20"/>
        <v>0</v>
      </c>
      <c r="E57" s="79">
        <f>'Catering MMC'!E57+'Catering BBC'!E57</f>
        <v>0</v>
      </c>
      <c r="F57" s="80">
        <f t="shared" si="21"/>
        <v>0</v>
      </c>
      <c r="G57" s="79">
        <f>'Catering MMC'!G57+'Catering BBC'!G57</f>
        <v>0</v>
      </c>
      <c r="H57" s="80">
        <f t="shared" si="22"/>
        <v>0</v>
      </c>
      <c r="I57" s="79">
        <f>'Catering MMC'!I57+'Catering BBC'!I57</f>
        <v>0</v>
      </c>
      <c r="J57" s="80">
        <f t="shared" si="23"/>
        <v>0</v>
      </c>
      <c r="K57" s="79">
        <f>'Catering MMC'!K57+'Catering BBC'!K57</f>
        <v>0</v>
      </c>
      <c r="L57" s="80">
        <f t="shared" si="24"/>
        <v>0</v>
      </c>
      <c r="M57" s="79">
        <f>'Catering MMC'!M57+'Catering BBC'!M57</f>
        <v>0</v>
      </c>
      <c r="N57" s="80">
        <f t="shared" si="25"/>
        <v>0</v>
      </c>
      <c r="O57" s="79">
        <f>'Catering MMC'!O57+'Catering BBC'!O57</f>
        <v>0</v>
      </c>
      <c r="P57" s="80">
        <f t="shared" si="26"/>
        <v>0</v>
      </c>
      <c r="Q57" s="79">
        <f>'Catering MMC'!Q57+'Catering BBC'!Q57</f>
        <v>0</v>
      </c>
      <c r="R57" s="80">
        <f t="shared" si="27"/>
        <v>0</v>
      </c>
      <c r="S57" s="79">
        <f>'Catering MMC'!S57+'Catering BBC'!S57</f>
        <v>0</v>
      </c>
      <c r="T57" s="80">
        <f t="shared" si="28"/>
        <v>0</v>
      </c>
      <c r="U57" s="79">
        <f>'Catering MMC'!U57+'Catering BBC'!U57</f>
        <v>0</v>
      </c>
      <c r="V57" s="80">
        <f t="shared" si="29"/>
        <v>0</v>
      </c>
    </row>
    <row r="58" spans="1:22" ht="12.75" customHeight="1">
      <c r="A58" s="2" t="s">
        <v>402</v>
      </c>
      <c r="B58" s="35"/>
      <c r="C58" s="79">
        <f>'Catering MMC'!C58+'Catering BBC'!C58</f>
        <v>0</v>
      </c>
      <c r="D58" s="80">
        <f t="shared" si="20"/>
        <v>0</v>
      </c>
      <c r="E58" s="79">
        <f>'Catering MMC'!E58+'Catering BBC'!E58</f>
        <v>0</v>
      </c>
      <c r="F58" s="80">
        <f t="shared" si="21"/>
        <v>0</v>
      </c>
      <c r="G58" s="79">
        <f>'Catering MMC'!G58+'Catering BBC'!G58</f>
        <v>0</v>
      </c>
      <c r="H58" s="80">
        <f t="shared" si="22"/>
        <v>0</v>
      </c>
      <c r="I58" s="79">
        <f>'Catering MMC'!I58+'Catering BBC'!I58</f>
        <v>0</v>
      </c>
      <c r="J58" s="80">
        <f t="shared" si="23"/>
        <v>0</v>
      </c>
      <c r="K58" s="79">
        <f>'Catering MMC'!K58+'Catering BBC'!K58</f>
        <v>0</v>
      </c>
      <c r="L58" s="80">
        <f t="shared" si="24"/>
        <v>0</v>
      </c>
      <c r="M58" s="79">
        <f>'Catering MMC'!M58+'Catering BBC'!M58</f>
        <v>0</v>
      </c>
      <c r="N58" s="80">
        <f t="shared" si="25"/>
        <v>0</v>
      </c>
      <c r="O58" s="79">
        <f>'Catering MMC'!O58+'Catering BBC'!O58</f>
        <v>0</v>
      </c>
      <c r="P58" s="80">
        <f t="shared" si="26"/>
        <v>0</v>
      </c>
      <c r="Q58" s="79">
        <f>'Catering MMC'!Q58+'Catering BBC'!Q58</f>
        <v>0</v>
      </c>
      <c r="R58" s="80">
        <f t="shared" si="27"/>
        <v>0</v>
      </c>
      <c r="S58" s="79">
        <f>'Catering MMC'!S58+'Catering BBC'!S58</f>
        <v>0</v>
      </c>
      <c r="T58" s="80">
        <f t="shared" si="28"/>
        <v>0</v>
      </c>
      <c r="U58" s="79">
        <f>'Catering MMC'!U58+'Catering BBC'!U58</f>
        <v>0</v>
      </c>
      <c r="V58" s="80">
        <f t="shared" si="29"/>
        <v>0</v>
      </c>
    </row>
    <row r="59" spans="1:22" ht="12.75" customHeight="1">
      <c r="A59" s="2" t="s">
        <v>403</v>
      </c>
      <c r="B59" s="35"/>
      <c r="C59" s="79">
        <f>'Catering MMC'!C59+'Catering BBC'!C59</f>
        <v>0</v>
      </c>
      <c r="D59" s="80">
        <f t="shared" si="20"/>
        <v>0</v>
      </c>
      <c r="E59" s="79">
        <f>'Catering MMC'!E59+'Catering BBC'!E59</f>
        <v>0</v>
      </c>
      <c r="F59" s="80">
        <f t="shared" si="21"/>
        <v>0</v>
      </c>
      <c r="G59" s="79">
        <f>'Catering MMC'!G59+'Catering BBC'!G59</f>
        <v>0</v>
      </c>
      <c r="H59" s="80">
        <f t="shared" si="22"/>
        <v>0</v>
      </c>
      <c r="I59" s="79">
        <f>'Catering MMC'!I59+'Catering BBC'!I59</f>
        <v>0</v>
      </c>
      <c r="J59" s="80">
        <f t="shared" si="23"/>
        <v>0</v>
      </c>
      <c r="K59" s="79">
        <f>'Catering MMC'!K59+'Catering BBC'!K59</f>
        <v>0</v>
      </c>
      <c r="L59" s="80">
        <f t="shared" si="24"/>
        <v>0</v>
      </c>
      <c r="M59" s="79">
        <f>'Catering MMC'!M59+'Catering BBC'!M59</f>
        <v>0</v>
      </c>
      <c r="N59" s="80">
        <f t="shared" si="25"/>
        <v>0</v>
      </c>
      <c r="O59" s="79">
        <f>'Catering MMC'!O59+'Catering BBC'!O59</f>
        <v>0</v>
      </c>
      <c r="P59" s="80">
        <f t="shared" si="26"/>
        <v>0</v>
      </c>
      <c r="Q59" s="79">
        <f>'Catering MMC'!Q59+'Catering BBC'!Q59</f>
        <v>0</v>
      </c>
      <c r="R59" s="80">
        <f t="shared" si="27"/>
        <v>0</v>
      </c>
      <c r="S59" s="79">
        <f>'Catering MMC'!S59+'Catering BBC'!S59</f>
        <v>0</v>
      </c>
      <c r="T59" s="80">
        <f t="shared" si="28"/>
        <v>0</v>
      </c>
      <c r="U59" s="79">
        <f>'Catering MMC'!U59+'Catering BBC'!U59</f>
        <v>0</v>
      </c>
      <c r="V59" s="80">
        <f t="shared" si="29"/>
        <v>0</v>
      </c>
    </row>
    <row r="60" spans="1:22" ht="12.75" customHeight="1">
      <c r="A60" s="2" t="s">
        <v>404</v>
      </c>
      <c r="B60" s="35"/>
      <c r="C60" s="79">
        <f>'Catering MMC'!C60+'Catering BBC'!C60</f>
        <v>0</v>
      </c>
      <c r="D60" s="80">
        <f t="shared" si="20"/>
        <v>0</v>
      </c>
      <c r="E60" s="79">
        <f>'Catering MMC'!E60+'Catering BBC'!E60</f>
        <v>0</v>
      </c>
      <c r="F60" s="80">
        <f t="shared" si="21"/>
        <v>0</v>
      </c>
      <c r="G60" s="79">
        <f>'Catering MMC'!G60+'Catering BBC'!G60</f>
        <v>0</v>
      </c>
      <c r="H60" s="80">
        <f t="shared" si="22"/>
        <v>0</v>
      </c>
      <c r="I60" s="79">
        <f>'Catering MMC'!I60+'Catering BBC'!I60</f>
        <v>0</v>
      </c>
      <c r="J60" s="80">
        <f t="shared" si="23"/>
        <v>0</v>
      </c>
      <c r="K60" s="79">
        <f>'Catering MMC'!K60+'Catering BBC'!K60</f>
        <v>0</v>
      </c>
      <c r="L60" s="80">
        <f t="shared" si="24"/>
        <v>0</v>
      </c>
      <c r="M60" s="79">
        <f>'Catering MMC'!M60+'Catering BBC'!M60</f>
        <v>0</v>
      </c>
      <c r="N60" s="80">
        <f t="shared" si="25"/>
        <v>0</v>
      </c>
      <c r="O60" s="79">
        <f>'Catering MMC'!O60+'Catering BBC'!O60</f>
        <v>0</v>
      </c>
      <c r="P60" s="80">
        <f t="shared" si="26"/>
        <v>0</v>
      </c>
      <c r="Q60" s="79">
        <f>'Catering MMC'!Q60+'Catering BBC'!Q60</f>
        <v>0</v>
      </c>
      <c r="R60" s="80">
        <f t="shared" si="27"/>
        <v>0</v>
      </c>
      <c r="S60" s="79">
        <f>'Catering MMC'!S60+'Catering BBC'!S60</f>
        <v>0</v>
      </c>
      <c r="T60" s="80">
        <f t="shared" si="28"/>
        <v>0</v>
      </c>
      <c r="U60" s="79">
        <f>'Catering MMC'!U60+'Catering BBC'!U60</f>
        <v>0</v>
      </c>
      <c r="V60" s="80">
        <f t="shared" si="29"/>
        <v>0</v>
      </c>
    </row>
    <row r="61" spans="1:22" ht="12.75" customHeight="1">
      <c r="A61" s="2" t="s">
        <v>405</v>
      </c>
      <c r="B61" s="35"/>
      <c r="C61" s="79">
        <f>'Catering MMC'!C61+'Catering BBC'!C61</f>
        <v>0</v>
      </c>
      <c r="D61" s="80">
        <f t="shared" si="20"/>
        <v>0</v>
      </c>
      <c r="E61" s="79">
        <f>'Catering MMC'!E61+'Catering BBC'!E61</f>
        <v>0</v>
      </c>
      <c r="F61" s="80">
        <f t="shared" si="21"/>
        <v>0</v>
      </c>
      <c r="G61" s="79">
        <f>'Catering MMC'!G61+'Catering BBC'!G61</f>
        <v>0</v>
      </c>
      <c r="H61" s="80">
        <f t="shared" si="22"/>
        <v>0</v>
      </c>
      <c r="I61" s="79">
        <f>'Catering MMC'!I61+'Catering BBC'!I61</f>
        <v>0</v>
      </c>
      <c r="J61" s="80">
        <f t="shared" si="23"/>
        <v>0</v>
      </c>
      <c r="K61" s="79">
        <f>'Catering MMC'!K61+'Catering BBC'!K61</f>
        <v>0</v>
      </c>
      <c r="L61" s="80">
        <f t="shared" si="24"/>
        <v>0</v>
      </c>
      <c r="M61" s="79">
        <f>'Catering MMC'!M61+'Catering BBC'!M61</f>
        <v>0</v>
      </c>
      <c r="N61" s="80">
        <f t="shared" si="25"/>
        <v>0</v>
      </c>
      <c r="O61" s="79">
        <f>'Catering MMC'!O61+'Catering BBC'!O61</f>
        <v>0</v>
      </c>
      <c r="P61" s="80">
        <f t="shared" si="26"/>
        <v>0</v>
      </c>
      <c r="Q61" s="79">
        <f>'Catering MMC'!Q61+'Catering BBC'!Q61</f>
        <v>0</v>
      </c>
      <c r="R61" s="80">
        <f t="shared" si="27"/>
        <v>0</v>
      </c>
      <c r="S61" s="79">
        <f>'Catering MMC'!S61+'Catering BBC'!S61</f>
        <v>0</v>
      </c>
      <c r="T61" s="80">
        <f t="shared" si="28"/>
        <v>0</v>
      </c>
      <c r="U61" s="79">
        <f>'Catering MMC'!U61+'Catering BBC'!U61</f>
        <v>0</v>
      </c>
      <c r="V61" s="80">
        <f t="shared" si="29"/>
        <v>0</v>
      </c>
    </row>
    <row r="62" spans="1:22" ht="12.75" customHeight="1">
      <c r="A62" s="2" t="s">
        <v>406</v>
      </c>
      <c r="B62" s="35"/>
      <c r="C62" s="79">
        <f>'Catering MMC'!C62+'Catering BBC'!C62</f>
        <v>0</v>
      </c>
      <c r="D62" s="80">
        <f t="shared" si="20"/>
        <v>0</v>
      </c>
      <c r="E62" s="79">
        <f>'Catering MMC'!E62+'Catering BBC'!E62</f>
        <v>0</v>
      </c>
      <c r="F62" s="80">
        <f t="shared" si="21"/>
        <v>0</v>
      </c>
      <c r="G62" s="79">
        <f>'Catering MMC'!G62+'Catering BBC'!G62</f>
        <v>0</v>
      </c>
      <c r="H62" s="80">
        <f t="shared" si="22"/>
        <v>0</v>
      </c>
      <c r="I62" s="79">
        <f>'Catering MMC'!I62+'Catering BBC'!I62</f>
        <v>0</v>
      </c>
      <c r="J62" s="80">
        <f t="shared" si="23"/>
        <v>0</v>
      </c>
      <c r="K62" s="79">
        <f>'Catering MMC'!K62+'Catering BBC'!K62</f>
        <v>0</v>
      </c>
      <c r="L62" s="80">
        <f t="shared" si="24"/>
        <v>0</v>
      </c>
      <c r="M62" s="79">
        <f>'Catering MMC'!M62+'Catering BBC'!M62</f>
        <v>0</v>
      </c>
      <c r="N62" s="80">
        <f t="shared" si="25"/>
        <v>0</v>
      </c>
      <c r="O62" s="79">
        <f>'Catering MMC'!O62+'Catering BBC'!O62</f>
        <v>0</v>
      </c>
      <c r="P62" s="80">
        <f t="shared" si="26"/>
        <v>0</v>
      </c>
      <c r="Q62" s="79">
        <f>'Catering MMC'!Q62+'Catering BBC'!Q62</f>
        <v>0</v>
      </c>
      <c r="R62" s="80">
        <f t="shared" si="27"/>
        <v>0</v>
      </c>
      <c r="S62" s="79">
        <f>'Catering MMC'!S62+'Catering BBC'!S62</f>
        <v>0</v>
      </c>
      <c r="T62" s="80">
        <f t="shared" si="28"/>
        <v>0</v>
      </c>
      <c r="U62" s="79">
        <f>'Catering MMC'!U62+'Catering BBC'!U62</f>
        <v>0</v>
      </c>
      <c r="V62" s="80">
        <f t="shared" si="29"/>
        <v>0</v>
      </c>
    </row>
    <row r="63" spans="1:22" ht="12.75" customHeight="1">
      <c r="A63" s="214" t="s">
        <v>407</v>
      </c>
      <c r="B63" s="215"/>
      <c r="C63" s="79">
        <f>'Catering MMC'!C63+'Catering BBC'!C63</f>
        <v>14133.721871934587</v>
      </c>
      <c r="D63" s="80">
        <f t="shared" si="20"/>
        <v>1.2165679843630484E-2</v>
      </c>
      <c r="E63" s="79">
        <f>'Catering MMC'!E63+'Catering BBC'!E63</f>
        <v>14913.178227068875</v>
      </c>
      <c r="F63" s="80">
        <f t="shared" si="21"/>
        <v>1.2345291028557385E-2</v>
      </c>
      <c r="G63" s="79">
        <f>'Catering MMC'!G63+'Catering BBC'!G63</f>
        <v>15343.579640428274</v>
      </c>
      <c r="H63" s="80">
        <f t="shared" si="22"/>
        <v>1.2214616260923693E-2</v>
      </c>
      <c r="I63" s="79">
        <f>'Catering MMC'!I63+'Catering BBC'!I63</f>
        <v>16009.033558100315</v>
      </c>
      <c r="J63" s="80">
        <f t="shared" si="23"/>
        <v>1.224598064001872E-2</v>
      </c>
      <c r="K63" s="79">
        <f>'Catering MMC'!K63+'Catering BBC'!K63</f>
        <v>16437.595295952167</v>
      </c>
      <c r="L63" s="80">
        <f t="shared" si="24"/>
        <v>1.2208238976341108E-2</v>
      </c>
      <c r="M63" s="79">
        <f>'Catering MMC'!M63+'Catering BBC'!M63</f>
        <v>16794.613594587765</v>
      </c>
      <c r="N63" s="80">
        <f t="shared" si="25"/>
        <v>1.2228820852233807E-2</v>
      </c>
      <c r="O63" s="79">
        <f>'Catering MMC'!O63+'Catering BBC'!O63</f>
        <v>17153.568220695233</v>
      </c>
      <c r="P63" s="80">
        <f t="shared" si="26"/>
        <v>1.2254031885822083E-2</v>
      </c>
      <c r="Q63" s="79">
        <f>'Catering MMC'!Q63+'Catering BBC'!Q63</f>
        <v>17541.879127649168</v>
      </c>
      <c r="R63" s="80">
        <f t="shared" si="27"/>
        <v>1.2290019821740241E-2</v>
      </c>
      <c r="S63" s="79">
        <f>'Catering MMC'!S63+'Catering BBC'!S63</f>
        <v>17943.830990039729</v>
      </c>
      <c r="T63" s="80">
        <f t="shared" si="28"/>
        <v>1.2325128828525088E-2</v>
      </c>
      <c r="U63" s="79">
        <f>'Catering MMC'!U63+'Catering BBC'!U63</f>
        <v>18358.419924618895</v>
      </c>
      <c r="V63" s="80">
        <f t="shared" si="29"/>
        <v>1.2362645761626809E-2</v>
      </c>
    </row>
    <row r="64" spans="1:22" ht="12.75" customHeight="1">
      <c r="A64" s="214" t="s">
        <v>408</v>
      </c>
      <c r="B64" s="215"/>
      <c r="C64" s="79">
        <f>'Catering MMC'!C64+'Catering BBC'!C64</f>
        <v>5576.4959999999992</v>
      </c>
      <c r="D64" s="80">
        <f t="shared" si="20"/>
        <v>4.7999999999999996E-3</v>
      </c>
      <c r="E64" s="79">
        <f>'Catering MMC'!E64+'Catering BBC'!E64</f>
        <v>5798.4259199999988</v>
      </c>
      <c r="F64" s="80">
        <f t="shared" si="21"/>
        <v>4.7999999999999996E-3</v>
      </c>
      <c r="G64" s="79">
        <f>'Catering MMC'!G64+'Catering BBC'!G64</f>
        <v>6029.5944384000004</v>
      </c>
      <c r="H64" s="80">
        <f t="shared" si="22"/>
        <v>4.7999999999999996E-3</v>
      </c>
      <c r="I64" s="79">
        <f>'Catering MMC'!I64+'Catering BBC'!I64</f>
        <v>6274.9863271679997</v>
      </c>
      <c r="J64" s="80">
        <f t="shared" si="23"/>
        <v>4.7999999999999996E-3</v>
      </c>
      <c r="K64" s="79">
        <f>'Catering MMC'!K64+'Catering BBC'!K64</f>
        <v>6462.8860537113605</v>
      </c>
      <c r="L64" s="80">
        <f t="shared" si="24"/>
        <v>4.8000000000000004E-3</v>
      </c>
      <c r="M64" s="79">
        <f>'Catering MMC'!M64+'Catering BBC'!M64</f>
        <v>6592.1437747855871</v>
      </c>
      <c r="N64" s="80">
        <f t="shared" si="25"/>
        <v>4.7999999999999996E-3</v>
      </c>
      <c r="O64" s="79">
        <f>'Catering MMC'!O64+'Catering BBC'!O64</f>
        <v>6719.1866502812991</v>
      </c>
      <c r="P64" s="80">
        <f t="shared" si="26"/>
        <v>4.7999999999999996E-3</v>
      </c>
      <c r="Q64" s="79">
        <f>'Catering MMC'!Q64+'Catering BBC'!Q64</f>
        <v>6851.1703832869243</v>
      </c>
      <c r="R64" s="80">
        <f t="shared" si="27"/>
        <v>4.7999999999999987E-3</v>
      </c>
      <c r="S64" s="79">
        <f>'Catering MMC'!S64+'Catering BBC'!S64</f>
        <v>6988.1937909526623</v>
      </c>
      <c r="T64" s="80">
        <f t="shared" si="28"/>
        <v>4.7999999999999987E-3</v>
      </c>
      <c r="U64" s="79">
        <f>'Catering MMC'!U64+'Catering BBC'!U64</f>
        <v>7127.9576667717165</v>
      </c>
      <c r="V64" s="80">
        <f t="shared" si="29"/>
        <v>4.7999999999999996E-3</v>
      </c>
    </row>
    <row r="65" spans="1:22" ht="12.75" customHeight="1">
      <c r="A65" s="214" t="s">
        <v>409</v>
      </c>
      <c r="B65" s="215"/>
      <c r="C65" s="79">
        <f>'Catering MMC'!C65+'Catering BBC'!C65</f>
        <v>580.8850000000001</v>
      </c>
      <c r="D65" s="80">
        <f t="shared" si="20"/>
        <v>5.0000000000000012E-4</v>
      </c>
      <c r="E65" s="79">
        <f>'Catering MMC'!E65+'Catering BBC'!E65</f>
        <v>604.0027</v>
      </c>
      <c r="F65" s="80">
        <f t="shared" si="21"/>
        <v>5.0000000000000001E-4</v>
      </c>
      <c r="G65" s="79">
        <f>'Catering MMC'!G65+'Catering BBC'!G65</f>
        <v>628.08275400000014</v>
      </c>
      <c r="H65" s="80">
        <f t="shared" si="22"/>
        <v>5.0000000000000001E-4</v>
      </c>
      <c r="I65" s="79">
        <f>'Catering MMC'!I65+'Catering BBC'!I65</f>
        <v>653.64440908000006</v>
      </c>
      <c r="J65" s="80">
        <f t="shared" si="23"/>
        <v>5.0000000000000001E-4</v>
      </c>
      <c r="K65" s="79">
        <f>'Catering MMC'!K65+'Catering BBC'!K65</f>
        <v>673.21729726160004</v>
      </c>
      <c r="L65" s="80">
        <f t="shared" si="24"/>
        <v>5.0000000000000001E-4</v>
      </c>
      <c r="M65" s="79">
        <f>'Catering MMC'!M65+'Catering BBC'!M65</f>
        <v>686.68164320683195</v>
      </c>
      <c r="N65" s="80">
        <f t="shared" si="25"/>
        <v>5.0000000000000001E-4</v>
      </c>
      <c r="O65" s="79">
        <f>'Catering MMC'!O65+'Catering BBC'!O65</f>
        <v>699.91527607096862</v>
      </c>
      <c r="P65" s="80">
        <f t="shared" si="26"/>
        <v>4.999999999999999E-4</v>
      </c>
      <c r="Q65" s="79">
        <f>'Catering MMC'!Q65+'Catering BBC'!Q65</f>
        <v>713.66358159238803</v>
      </c>
      <c r="R65" s="80">
        <f t="shared" si="27"/>
        <v>4.999999999999999E-4</v>
      </c>
      <c r="S65" s="79">
        <f>'Catering MMC'!S65+'Catering BBC'!S65</f>
        <v>727.93685322423573</v>
      </c>
      <c r="T65" s="80">
        <f t="shared" si="28"/>
        <v>4.999999999999999E-4</v>
      </c>
      <c r="U65" s="79">
        <f>'Catering MMC'!U65+'Catering BBC'!U65</f>
        <v>742.49559028872045</v>
      </c>
      <c r="V65" s="80">
        <f t="shared" si="29"/>
        <v>4.999999999999999E-4</v>
      </c>
    </row>
    <row r="66" spans="1:22" ht="12.75" customHeight="1">
      <c r="A66" s="214" t="s">
        <v>410</v>
      </c>
      <c r="B66" s="215"/>
      <c r="C66" s="79">
        <f>'Catering MMC'!C66+'Catering BBC'!C66</f>
        <v>3252.9560000000001</v>
      </c>
      <c r="D66" s="80">
        <f t="shared" si="20"/>
        <v>2.8E-3</v>
      </c>
      <c r="E66" s="79">
        <f>'Catering MMC'!E66+'Catering BBC'!E66</f>
        <v>3382.4151199999997</v>
      </c>
      <c r="F66" s="80">
        <f t="shared" si="21"/>
        <v>2.8E-3</v>
      </c>
      <c r="G66" s="79">
        <f>'Catering MMC'!G66+'Catering BBC'!G66</f>
        <v>3517.2634224000003</v>
      </c>
      <c r="H66" s="80">
        <f t="shared" si="22"/>
        <v>2.8E-3</v>
      </c>
      <c r="I66" s="79">
        <f>'Catering MMC'!I66+'Catering BBC'!I66</f>
        <v>3660.4086908480003</v>
      </c>
      <c r="J66" s="80">
        <f t="shared" si="23"/>
        <v>2.8000000000000004E-3</v>
      </c>
      <c r="K66" s="79">
        <f>'Catering MMC'!K66+'Catering BBC'!K66</f>
        <v>3770.0168646649608</v>
      </c>
      <c r="L66" s="80">
        <f t="shared" si="24"/>
        <v>2.8000000000000004E-3</v>
      </c>
      <c r="M66" s="79">
        <f>'Catering MMC'!M66+'Catering BBC'!M66</f>
        <v>3845.4172019582597</v>
      </c>
      <c r="N66" s="80">
        <f t="shared" si="25"/>
        <v>2.8000000000000004E-3</v>
      </c>
      <c r="O66" s="79">
        <f>'Catering MMC'!O66+'Catering BBC'!O66</f>
        <v>3919.5255459974242</v>
      </c>
      <c r="P66" s="80">
        <f t="shared" si="26"/>
        <v>2.7999999999999995E-3</v>
      </c>
      <c r="Q66" s="79">
        <f>'Catering MMC'!Q66+'Catering BBC'!Q66</f>
        <v>3996.5160569173731</v>
      </c>
      <c r="R66" s="80">
        <f t="shared" si="27"/>
        <v>2.8E-3</v>
      </c>
      <c r="S66" s="79">
        <f>'Catering MMC'!S66+'Catering BBC'!S66</f>
        <v>4076.4463780557207</v>
      </c>
      <c r="T66" s="80">
        <f t="shared" si="28"/>
        <v>2.8E-3</v>
      </c>
      <c r="U66" s="79">
        <f>'Catering MMC'!U66+'Catering BBC'!U66</f>
        <v>4157.9753056168347</v>
      </c>
      <c r="V66" s="80">
        <f t="shared" si="29"/>
        <v>2.7999999999999995E-3</v>
      </c>
    </row>
    <row r="67" spans="1:22" ht="12.75" customHeight="1">
      <c r="A67" s="214" t="s">
        <v>411</v>
      </c>
      <c r="B67" s="215"/>
      <c r="C67" s="79">
        <f>'Catering MMC'!C67+'Catering BBC'!C67</f>
        <v>17426.55</v>
      </c>
      <c r="D67" s="80">
        <f t="shared" si="20"/>
        <v>1.4999999999999999E-2</v>
      </c>
      <c r="E67" s="79">
        <f>'Catering MMC'!E67+'Catering BBC'!E67</f>
        <v>18120.080999999998</v>
      </c>
      <c r="F67" s="80">
        <f t="shared" si="21"/>
        <v>1.4999999999999999E-2</v>
      </c>
      <c r="G67" s="79">
        <f>'Catering MMC'!G67+'Catering BBC'!G67</f>
        <v>18842.482620000002</v>
      </c>
      <c r="H67" s="80">
        <f t="shared" si="22"/>
        <v>1.4999999999999999E-2</v>
      </c>
      <c r="I67" s="79">
        <f>'Catering MMC'!I67+'Catering BBC'!I67</f>
        <v>19609.332272400003</v>
      </c>
      <c r="J67" s="80">
        <f t="shared" si="23"/>
        <v>1.5000000000000001E-2</v>
      </c>
      <c r="K67" s="79">
        <f>'Catering MMC'!K67+'Catering BBC'!K67</f>
        <v>20196.518917848</v>
      </c>
      <c r="L67" s="80">
        <f t="shared" si="24"/>
        <v>1.4999999999999999E-2</v>
      </c>
      <c r="M67" s="79">
        <f>'Catering MMC'!M67+'Catering BBC'!M67</f>
        <v>20600.449296204959</v>
      </c>
      <c r="N67" s="80">
        <f t="shared" si="25"/>
        <v>1.4999999999999999E-2</v>
      </c>
      <c r="O67" s="79">
        <f>'Catering MMC'!O67+'Catering BBC'!O67</f>
        <v>20997.458282129057</v>
      </c>
      <c r="P67" s="80">
        <f t="shared" si="26"/>
        <v>1.4999999999999996E-2</v>
      </c>
      <c r="Q67" s="79">
        <f>'Catering MMC'!Q67+'Catering BBC'!Q67</f>
        <v>21409.907447771639</v>
      </c>
      <c r="R67" s="80">
        <f t="shared" si="27"/>
        <v>1.4999999999999996E-2</v>
      </c>
      <c r="S67" s="79">
        <f>'Catering MMC'!S67+'Catering BBC'!S67</f>
        <v>21838.105596727073</v>
      </c>
      <c r="T67" s="80">
        <f t="shared" si="28"/>
        <v>1.4999999999999999E-2</v>
      </c>
      <c r="U67" s="79">
        <f>'Catering MMC'!U67+'Catering BBC'!U67</f>
        <v>22274.867708661615</v>
      </c>
      <c r="V67" s="80">
        <f t="shared" si="29"/>
        <v>1.4999999999999999E-2</v>
      </c>
    </row>
    <row r="68" spans="1:22" ht="12.75" customHeight="1">
      <c r="A68" s="214" t="s">
        <v>412</v>
      </c>
      <c r="B68" s="215"/>
      <c r="C68" s="79">
        <f>'Catering MMC'!C68+'Catering BBC'!C68</f>
        <v>1975.0089999999998</v>
      </c>
      <c r="D68" s="80">
        <f t="shared" si="20"/>
        <v>1.6999999999999999E-3</v>
      </c>
      <c r="E68" s="79">
        <f>'Catering MMC'!E68+'Catering BBC'!E68</f>
        <v>2053.6091799999999</v>
      </c>
      <c r="F68" s="80">
        <f t="shared" si="21"/>
        <v>1.7000000000000001E-3</v>
      </c>
      <c r="G68" s="79">
        <f>'Catering MMC'!G68+'Catering BBC'!G68</f>
        <v>2135.4813635999999</v>
      </c>
      <c r="H68" s="80">
        <f t="shared" si="22"/>
        <v>1.6999999999999997E-3</v>
      </c>
      <c r="I68" s="79">
        <f>'Catering MMC'!I68+'Catering BBC'!I68</f>
        <v>2222.3909908720002</v>
      </c>
      <c r="J68" s="80">
        <f t="shared" si="23"/>
        <v>1.7000000000000001E-3</v>
      </c>
      <c r="K68" s="79">
        <f>'Catering MMC'!K68+'Catering BBC'!K68</f>
        <v>2288.9388106894403</v>
      </c>
      <c r="L68" s="80">
        <f t="shared" si="24"/>
        <v>1.7000000000000001E-3</v>
      </c>
      <c r="M68" s="79">
        <f>'Catering MMC'!M68+'Catering BBC'!M68</f>
        <v>2334.7175869032285</v>
      </c>
      <c r="N68" s="80">
        <f t="shared" si="25"/>
        <v>1.6999999999999997E-3</v>
      </c>
      <c r="O68" s="79">
        <f>'Catering MMC'!O68+'Catering BBC'!O68</f>
        <v>2379.7119386412933</v>
      </c>
      <c r="P68" s="80">
        <f t="shared" si="26"/>
        <v>1.6999999999999997E-3</v>
      </c>
      <c r="Q68" s="79">
        <f>'Catering MMC'!Q68+'Catering BBC'!Q68</f>
        <v>2426.4561774141193</v>
      </c>
      <c r="R68" s="80">
        <f t="shared" si="27"/>
        <v>1.6999999999999999E-3</v>
      </c>
      <c r="S68" s="79">
        <f>'Catering MMC'!S68+'Catering BBC'!S68</f>
        <v>2474.9853009624012</v>
      </c>
      <c r="T68" s="80">
        <f t="shared" si="28"/>
        <v>1.6999999999999997E-3</v>
      </c>
      <c r="U68" s="79">
        <f>'Catering MMC'!U68+'Catering BBC'!U68</f>
        <v>2524.4850069816498</v>
      </c>
      <c r="V68" s="80">
        <f t="shared" si="29"/>
        <v>1.6999999999999999E-3</v>
      </c>
    </row>
    <row r="69" spans="1:22" ht="12.75" customHeight="1">
      <c r="A69" s="2" t="s">
        <v>413</v>
      </c>
      <c r="B69" s="35"/>
      <c r="C69" s="79">
        <f>'Catering MMC'!C69+'Catering BBC'!C69</f>
        <v>0</v>
      </c>
      <c r="D69" s="80">
        <f t="shared" si="20"/>
        <v>0</v>
      </c>
      <c r="E69" s="79">
        <f>'Catering MMC'!E69+'Catering BBC'!E69</f>
        <v>0</v>
      </c>
      <c r="F69" s="80">
        <f t="shared" si="21"/>
        <v>0</v>
      </c>
      <c r="G69" s="79">
        <f>'Catering MMC'!G69+'Catering BBC'!G69</f>
        <v>0</v>
      </c>
      <c r="H69" s="80">
        <f t="shared" si="22"/>
        <v>0</v>
      </c>
      <c r="I69" s="79">
        <f>'Catering MMC'!I69+'Catering BBC'!I69</f>
        <v>0</v>
      </c>
      <c r="J69" s="80">
        <f t="shared" si="23"/>
        <v>0</v>
      </c>
      <c r="K69" s="79">
        <f>'Catering MMC'!K69+'Catering BBC'!K69</f>
        <v>0</v>
      </c>
      <c r="L69" s="80">
        <f t="shared" si="24"/>
        <v>0</v>
      </c>
      <c r="M69" s="79">
        <f>'Catering MMC'!M69+'Catering BBC'!M69</f>
        <v>0</v>
      </c>
      <c r="N69" s="80">
        <f t="shared" si="25"/>
        <v>0</v>
      </c>
      <c r="O69" s="79">
        <f>'Catering MMC'!O69+'Catering BBC'!O69</f>
        <v>0</v>
      </c>
      <c r="P69" s="80">
        <f t="shared" si="26"/>
        <v>0</v>
      </c>
      <c r="Q69" s="79">
        <f>'Catering MMC'!Q69+'Catering BBC'!Q69</f>
        <v>0</v>
      </c>
      <c r="R69" s="80">
        <f t="shared" si="27"/>
        <v>0</v>
      </c>
      <c r="S69" s="79">
        <f>'Catering MMC'!S69+'Catering BBC'!S69</f>
        <v>0</v>
      </c>
      <c r="T69" s="80">
        <f t="shared" si="28"/>
        <v>0</v>
      </c>
      <c r="U69" s="79">
        <f>'Catering MMC'!U69+'Catering BBC'!U69</f>
        <v>0</v>
      </c>
      <c r="V69" s="80">
        <f t="shared" si="29"/>
        <v>0</v>
      </c>
    </row>
    <row r="70" spans="1:22" ht="12.75" customHeight="1">
      <c r="A70" s="214" t="s">
        <v>414</v>
      </c>
      <c r="B70" s="215"/>
      <c r="C70" s="79">
        <f>'Catering MMC'!C70+'Catering BBC'!C70</f>
        <v>116.17700000000002</v>
      </c>
      <c r="D70" s="80">
        <f t="shared" si="20"/>
        <v>1.0000000000000002E-4</v>
      </c>
      <c r="E70" s="79">
        <f>'Catering MMC'!E70+'Catering BBC'!E70</f>
        <v>120.80054000000001</v>
      </c>
      <c r="F70" s="80">
        <f t="shared" si="21"/>
        <v>1.0000000000000002E-4</v>
      </c>
      <c r="G70" s="79">
        <f>'Catering MMC'!G70+'Catering BBC'!G70</f>
        <v>125.61655080000003</v>
      </c>
      <c r="H70" s="80">
        <f t="shared" si="22"/>
        <v>1E-4</v>
      </c>
      <c r="I70" s="79">
        <f>'Catering MMC'!I70+'Catering BBC'!I70</f>
        <v>130.72888181600001</v>
      </c>
      <c r="J70" s="80">
        <f t="shared" si="23"/>
        <v>1E-4</v>
      </c>
      <c r="K70" s="79">
        <f>'Catering MMC'!K70+'Catering BBC'!K70</f>
        <v>134.64345945232</v>
      </c>
      <c r="L70" s="80">
        <f t="shared" si="24"/>
        <v>9.9999999999999991E-5</v>
      </c>
      <c r="M70" s="79">
        <f>'Catering MMC'!M70+'Catering BBC'!M70</f>
        <v>137.33632864136641</v>
      </c>
      <c r="N70" s="80">
        <f t="shared" si="25"/>
        <v>1E-4</v>
      </c>
      <c r="O70" s="79">
        <f>'Catering MMC'!O70+'Catering BBC'!O70</f>
        <v>139.98305521419374</v>
      </c>
      <c r="P70" s="80">
        <f t="shared" si="26"/>
        <v>1E-4</v>
      </c>
      <c r="Q70" s="79">
        <f>'Catering MMC'!Q70+'Catering BBC'!Q70</f>
        <v>142.73271631847763</v>
      </c>
      <c r="R70" s="80">
        <f t="shared" si="27"/>
        <v>1E-4</v>
      </c>
      <c r="S70" s="79">
        <f>'Catering MMC'!S70+'Catering BBC'!S70</f>
        <v>145.58737064484717</v>
      </c>
      <c r="T70" s="80">
        <f t="shared" si="28"/>
        <v>1E-4</v>
      </c>
      <c r="U70" s="79">
        <f>'Catering MMC'!U70+'Catering BBC'!U70</f>
        <v>148.49911805774411</v>
      </c>
      <c r="V70" s="80">
        <f t="shared" si="29"/>
        <v>1E-4</v>
      </c>
    </row>
    <row r="71" spans="1:22" ht="12.75" customHeight="1">
      <c r="A71" s="2" t="s">
        <v>415</v>
      </c>
      <c r="B71" s="35"/>
      <c r="C71" s="79">
        <f>'Catering MMC'!C71+'Catering BBC'!C71</f>
        <v>0</v>
      </c>
      <c r="D71" s="80">
        <f t="shared" si="20"/>
        <v>0</v>
      </c>
      <c r="E71" s="79">
        <f>'Catering MMC'!E71+'Catering BBC'!E71</f>
        <v>0</v>
      </c>
      <c r="F71" s="80">
        <f t="shared" si="21"/>
        <v>0</v>
      </c>
      <c r="G71" s="79">
        <f>'Catering MMC'!G71+'Catering BBC'!G71</f>
        <v>0</v>
      </c>
      <c r="H71" s="80">
        <f t="shared" si="22"/>
        <v>0</v>
      </c>
      <c r="I71" s="79">
        <f>'Catering MMC'!I71+'Catering BBC'!I71</f>
        <v>0</v>
      </c>
      <c r="J71" s="80">
        <f t="shared" si="23"/>
        <v>0</v>
      </c>
      <c r="K71" s="79">
        <f>'Catering MMC'!K71+'Catering BBC'!K71</f>
        <v>0</v>
      </c>
      <c r="L71" s="80">
        <f t="shared" si="24"/>
        <v>0</v>
      </c>
      <c r="M71" s="79">
        <f>'Catering MMC'!M71+'Catering BBC'!M71</f>
        <v>0</v>
      </c>
      <c r="N71" s="80">
        <f t="shared" si="25"/>
        <v>0</v>
      </c>
      <c r="O71" s="79">
        <f>'Catering MMC'!O71+'Catering BBC'!O71</f>
        <v>0</v>
      </c>
      <c r="P71" s="80">
        <f t="shared" si="26"/>
        <v>0</v>
      </c>
      <c r="Q71" s="79">
        <f>'Catering MMC'!Q71+'Catering BBC'!Q71</f>
        <v>0</v>
      </c>
      <c r="R71" s="80">
        <f t="shared" si="27"/>
        <v>0</v>
      </c>
      <c r="S71" s="79">
        <f>'Catering MMC'!S71+'Catering BBC'!S71</f>
        <v>0</v>
      </c>
      <c r="T71" s="80">
        <f t="shared" si="28"/>
        <v>0</v>
      </c>
      <c r="U71" s="79">
        <f>'Catering MMC'!U71+'Catering BBC'!U71</f>
        <v>0</v>
      </c>
      <c r="V71" s="80">
        <f t="shared" si="29"/>
        <v>0</v>
      </c>
    </row>
    <row r="72" spans="1:22" ht="12.75" customHeight="1">
      <c r="A72" s="2" t="s">
        <v>416</v>
      </c>
      <c r="B72" s="35"/>
      <c r="C72" s="79">
        <f>'Catering MMC'!C72+'Catering BBC'!C72</f>
        <v>0</v>
      </c>
      <c r="D72" s="80">
        <f t="shared" si="20"/>
        <v>0</v>
      </c>
      <c r="E72" s="79">
        <f>'Catering MMC'!E72+'Catering BBC'!E72</f>
        <v>0</v>
      </c>
      <c r="F72" s="80">
        <f t="shared" si="21"/>
        <v>0</v>
      </c>
      <c r="G72" s="79">
        <f>'Catering MMC'!G72+'Catering BBC'!G72</f>
        <v>0</v>
      </c>
      <c r="H72" s="80">
        <f t="shared" si="22"/>
        <v>0</v>
      </c>
      <c r="I72" s="79">
        <f>'Catering MMC'!I72+'Catering BBC'!I72</f>
        <v>0</v>
      </c>
      <c r="J72" s="80">
        <f t="shared" si="23"/>
        <v>0</v>
      </c>
      <c r="K72" s="79">
        <f>'Catering MMC'!K72+'Catering BBC'!K72</f>
        <v>0</v>
      </c>
      <c r="L72" s="80">
        <f t="shared" si="24"/>
        <v>0</v>
      </c>
      <c r="M72" s="79">
        <f>'Catering MMC'!M72+'Catering BBC'!M72</f>
        <v>0</v>
      </c>
      <c r="N72" s="80">
        <f t="shared" si="25"/>
        <v>0</v>
      </c>
      <c r="O72" s="79">
        <f>'Catering MMC'!O72+'Catering BBC'!O72</f>
        <v>0</v>
      </c>
      <c r="P72" s="80">
        <f t="shared" si="26"/>
        <v>0</v>
      </c>
      <c r="Q72" s="79">
        <f>'Catering MMC'!Q72+'Catering BBC'!Q72</f>
        <v>0</v>
      </c>
      <c r="R72" s="80">
        <f t="shared" si="27"/>
        <v>0</v>
      </c>
      <c r="S72" s="79">
        <f>'Catering MMC'!S72+'Catering BBC'!S72</f>
        <v>0</v>
      </c>
      <c r="T72" s="80">
        <f t="shared" si="28"/>
        <v>0</v>
      </c>
      <c r="U72" s="79">
        <f>'Catering MMC'!U72+'Catering BBC'!U72</f>
        <v>0</v>
      </c>
      <c r="V72" s="80">
        <f t="shared" si="29"/>
        <v>0</v>
      </c>
    </row>
    <row r="73" spans="1:22" ht="12.75" customHeight="1">
      <c r="A73" s="2" t="s">
        <v>417</v>
      </c>
      <c r="B73" s="35"/>
      <c r="C73" s="79">
        <f>'Catering MMC'!C73+'Catering BBC'!C73</f>
        <v>0</v>
      </c>
      <c r="D73" s="80">
        <f t="shared" si="20"/>
        <v>0</v>
      </c>
      <c r="E73" s="79">
        <f>'Catering MMC'!E73+'Catering BBC'!E73</f>
        <v>0</v>
      </c>
      <c r="F73" s="80">
        <f t="shared" si="21"/>
        <v>0</v>
      </c>
      <c r="G73" s="79">
        <f>'Catering MMC'!G73+'Catering BBC'!G73</f>
        <v>0</v>
      </c>
      <c r="H73" s="80">
        <f t="shared" si="22"/>
        <v>0</v>
      </c>
      <c r="I73" s="79">
        <f>'Catering MMC'!I73+'Catering BBC'!I73</f>
        <v>0</v>
      </c>
      <c r="J73" s="80">
        <f t="shared" si="23"/>
        <v>0</v>
      </c>
      <c r="K73" s="79">
        <f>'Catering MMC'!K73+'Catering BBC'!K73</f>
        <v>0</v>
      </c>
      <c r="L73" s="80">
        <f t="shared" si="24"/>
        <v>0</v>
      </c>
      <c r="M73" s="79">
        <f>'Catering MMC'!M73+'Catering BBC'!M73</f>
        <v>0</v>
      </c>
      <c r="N73" s="80">
        <f t="shared" si="25"/>
        <v>0</v>
      </c>
      <c r="O73" s="79">
        <f>'Catering MMC'!O73+'Catering BBC'!O73</f>
        <v>0</v>
      </c>
      <c r="P73" s="80">
        <f t="shared" si="26"/>
        <v>0</v>
      </c>
      <c r="Q73" s="79">
        <f>'Catering MMC'!Q73+'Catering BBC'!Q73</f>
        <v>0</v>
      </c>
      <c r="R73" s="80">
        <f t="shared" si="27"/>
        <v>0</v>
      </c>
      <c r="S73" s="79">
        <f>'Catering MMC'!S73+'Catering BBC'!S73</f>
        <v>0</v>
      </c>
      <c r="T73" s="80">
        <f t="shared" si="28"/>
        <v>0</v>
      </c>
      <c r="U73" s="79">
        <f>'Catering MMC'!U73+'Catering BBC'!U73</f>
        <v>0</v>
      </c>
      <c r="V73" s="80">
        <f t="shared" si="29"/>
        <v>0</v>
      </c>
    </row>
    <row r="74" spans="1:22" ht="12.75" customHeight="1">
      <c r="A74" s="2" t="s">
        <v>418</v>
      </c>
      <c r="B74" s="35"/>
      <c r="C74" s="79">
        <f>'Catering MMC'!C74+'Catering BBC'!C74</f>
        <v>0</v>
      </c>
      <c r="D74" s="80">
        <f t="shared" si="20"/>
        <v>0</v>
      </c>
      <c r="E74" s="79">
        <f>'Catering MMC'!E74+'Catering BBC'!E74</f>
        <v>0</v>
      </c>
      <c r="F74" s="80">
        <f t="shared" si="21"/>
        <v>0</v>
      </c>
      <c r="G74" s="79">
        <f>'Catering MMC'!G74+'Catering BBC'!G74</f>
        <v>0</v>
      </c>
      <c r="H74" s="80">
        <f t="shared" si="22"/>
        <v>0</v>
      </c>
      <c r="I74" s="79">
        <f>'Catering MMC'!I74+'Catering BBC'!I74</f>
        <v>0</v>
      </c>
      <c r="J74" s="80">
        <f t="shared" si="23"/>
        <v>0</v>
      </c>
      <c r="K74" s="79">
        <f>'Catering MMC'!K74+'Catering BBC'!K74</f>
        <v>0</v>
      </c>
      <c r="L74" s="80">
        <f t="shared" si="24"/>
        <v>0</v>
      </c>
      <c r="M74" s="79">
        <f>'Catering MMC'!M74+'Catering BBC'!M74</f>
        <v>0</v>
      </c>
      <c r="N74" s="80">
        <f t="shared" si="25"/>
        <v>0</v>
      </c>
      <c r="O74" s="79">
        <f>'Catering MMC'!O74+'Catering BBC'!O74</f>
        <v>0</v>
      </c>
      <c r="P74" s="80">
        <f t="shared" si="26"/>
        <v>0</v>
      </c>
      <c r="Q74" s="79">
        <f>'Catering MMC'!Q74+'Catering BBC'!Q74</f>
        <v>0</v>
      </c>
      <c r="R74" s="80">
        <f t="shared" si="27"/>
        <v>0</v>
      </c>
      <c r="S74" s="79">
        <f>'Catering MMC'!S74+'Catering BBC'!S74</f>
        <v>0</v>
      </c>
      <c r="T74" s="80">
        <f t="shared" si="28"/>
        <v>0</v>
      </c>
      <c r="U74" s="79">
        <f>'Catering MMC'!U74+'Catering BBC'!U74</f>
        <v>0</v>
      </c>
      <c r="V74" s="80">
        <f t="shared" si="29"/>
        <v>0</v>
      </c>
    </row>
    <row r="75" spans="1:22" ht="12.75" customHeight="1">
      <c r="A75" s="214" t="s">
        <v>419</v>
      </c>
      <c r="B75" s="215"/>
      <c r="C75" s="79">
        <f>'Catering MMC'!C75+'Catering BBC'!C75</f>
        <v>5227.9650000000001</v>
      </c>
      <c r="D75" s="80">
        <f t="shared" si="20"/>
        <v>4.5000000000000005E-3</v>
      </c>
      <c r="E75" s="79">
        <f>'Catering MMC'!E75+'Catering BBC'!E75</f>
        <v>5436.0242999999991</v>
      </c>
      <c r="F75" s="80">
        <f t="shared" si="21"/>
        <v>4.4999999999999997E-3</v>
      </c>
      <c r="G75" s="79">
        <f>'Catering MMC'!G75+'Catering BBC'!G75</f>
        <v>5652.7447860000002</v>
      </c>
      <c r="H75" s="80">
        <f t="shared" si="22"/>
        <v>4.4999999999999997E-3</v>
      </c>
      <c r="I75" s="79">
        <f>'Catering MMC'!I75+'Catering BBC'!I75</f>
        <v>5882.7996817200001</v>
      </c>
      <c r="J75" s="80">
        <f t="shared" si="23"/>
        <v>4.4999999999999997E-3</v>
      </c>
      <c r="K75" s="79">
        <f>'Catering MMC'!K75+'Catering BBC'!K75</f>
        <v>6058.9556753544002</v>
      </c>
      <c r="L75" s="80">
        <f t="shared" si="24"/>
        <v>4.4999999999999997E-3</v>
      </c>
      <c r="M75" s="79">
        <f>'Catering MMC'!M75+'Catering BBC'!M75</f>
        <v>6180.1347888614882</v>
      </c>
      <c r="N75" s="80">
        <f t="shared" si="25"/>
        <v>4.5000000000000005E-3</v>
      </c>
      <c r="O75" s="79">
        <f>'Catering MMC'!O75+'Catering BBC'!O75</f>
        <v>6299.2374846387174</v>
      </c>
      <c r="P75" s="80">
        <f t="shared" si="26"/>
        <v>4.4999999999999997E-3</v>
      </c>
      <c r="Q75" s="79">
        <f>'Catering MMC'!Q75+'Catering BBC'!Q75</f>
        <v>6422.9722343314916</v>
      </c>
      <c r="R75" s="80">
        <f t="shared" si="27"/>
        <v>4.4999999999999988E-3</v>
      </c>
      <c r="S75" s="79">
        <f>'Catering MMC'!S75+'Catering BBC'!S75</f>
        <v>6551.431679018121</v>
      </c>
      <c r="T75" s="80">
        <f t="shared" si="28"/>
        <v>4.4999999999999988E-3</v>
      </c>
      <c r="U75" s="79">
        <f>'Catering MMC'!U75+'Catering BBC'!U75</f>
        <v>6682.4603125984841</v>
      </c>
      <c r="V75" s="80">
        <f t="shared" si="29"/>
        <v>4.4999999999999997E-3</v>
      </c>
    </row>
    <row r="76" spans="1:22" ht="12.75" customHeight="1">
      <c r="A76" s="214" t="s">
        <v>420</v>
      </c>
      <c r="B76" s="215"/>
      <c r="C76" s="79">
        <f>'Catering MMC'!C76+'Catering BBC'!C76</f>
        <v>464.70800000000008</v>
      </c>
      <c r="D76" s="80">
        <f t="shared" si="20"/>
        <v>4.0000000000000007E-4</v>
      </c>
      <c r="E76" s="79">
        <f>'Catering MMC'!E76+'Catering BBC'!E76</f>
        <v>483.20216000000005</v>
      </c>
      <c r="F76" s="80">
        <f t="shared" si="21"/>
        <v>4.0000000000000007E-4</v>
      </c>
      <c r="G76" s="79">
        <f>'Catering MMC'!G76+'Catering BBC'!G76</f>
        <v>502.46620320000011</v>
      </c>
      <c r="H76" s="80">
        <f t="shared" si="22"/>
        <v>4.0000000000000002E-4</v>
      </c>
      <c r="I76" s="79">
        <f>'Catering MMC'!I76+'Catering BBC'!I76</f>
        <v>522.91552726400005</v>
      </c>
      <c r="J76" s="80">
        <f t="shared" si="23"/>
        <v>4.0000000000000002E-4</v>
      </c>
      <c r="K76" s="79">
        <f>'Catering MMC'!K76+'Catering BBC'!K76</f>
        <v>538.57383780928001</v>
      </c>
      <c r="L76" s="80">
        <f t="shared" si="24"/>
        <v>3.9999999999999996E-4</v>
      </c>
      <c r="M76" s="79">
        <f>'Catering MMC'!M76+'Catering BBC'!M76</f>
        <v>549.34531456546563</v>
      </c>
      <c r="N76" s="80">
        <f t="shared" si="25"/>
        <v>4.0000000000000002E-4</v>
      </c>
      <c r="O76" s="79">
        <f>'Catering MMC'!O76+'Catering BBC'!O76</f>
        <v>559.93222085677496</v>
      </c>
      <c r="P76" s="80">
        <f t="shared" si="26"/>
        <v>4.0000000000000002E-4</v>
      </c>
      <c r="Q76" s="79">
        <f>'Catering MMC'!Q76+'Catering BBC'!Q76</f>
        <v>570.93086527391051</v>
      </c>
      <c r="R76" s="80">
        <f t="shared" si="27"/>
        <v>4.0000000000000002E-4</v>
      </c>
      <c r="S76" s="79">
        <f>'Catering MMC'!S76+'Catering BBC'!S76</f>
        <v>582.34948257938868</v>
      </c>
      <c r="T76" s="80">
        <f t="shared" si="28"/>
        <v>4.0000000000000002E-4</v>
      </c>
      <c r="U76" s="79">
        <f>'Catering MMC'!U76+'Catering BBC'!U76</f>
        <v>593.99647223097645</v>
      </c>
      <c r="V76" s="80">
        <f t="shared" si="29"/>
        <v>4.0000000000000002E-4</v>
      </c>
    </row>
    <row r="77" spans="1:22" ht="12.75" customHeight="1">
      <c r="A77" s="214" t="s">
        <v>421</v>
      </c>
      <c r="B77" s="215"/>
      <c r="C77" s="79">
        <f>'Catering MMC'!C77+'Catering BBC'!C77</f>
        <v>1510.3010000000002</v>
      </c>
      <c r="D77" s="80">
        <f t="shared" si="20"/>
        <v>1.3000000000000002E-3</v>
      </c>
      <c r="E77" s="79">
        <f>'Catering MMC'!E77+'Catering BBC'!E77</f>
        <v>1570.4070199999999</v>
      </c>
      <c r="F77" s="80">
        <f t="shared" si="21"/>
        <v>1.2999999999999999E-3</v>
      </c>
      <c r="G77" s="79">
        <f>'Catering MMC'!G77+'Catering BBC'!G77</f>
        <v>1633.0151604</v>
      </c>
      <c r="H77" s="80">
        <f t="shared" si="22"/>
        <v>1.2999999999999999E-3</v>
      </c>
      <c r="I77" s="79">
        <f>'Catering MMC'!I77+'Catering BBC'!I77</f>
        <v>1699.4754636080004</v>
      </c>
      <c r="J77" s="80">
        <f t="shared" si="23"/>
        <v>1.3000000000000004E-3</v>
      </c>
      <c r="K77" s="79">
        <f>'Catering MMC'!K77+'Catering BBC'!K77</f>
        <v>1750.3649728801599</v>
      </c>
      <c r="L77" s="80">
        <f t="shared" si="24"/>
        <v>1.2999999999999999E-3</v>
      </c>
      <c r="M77" s="79">
        <f>'Catering MMC'!M77+'Catering BBC'!M77</f>
        <v>1785.3722723377634</v>
      </c>
      <c r="N77" s="80">
        <f t="shared" si="25"/>
        <v>1.3000000000000002E-3</v>
      </c>
      <c r="O77" s="79">
        <f>'Catering MMC'!O77+'Catering BBC'!O77</f>
        <v>1819.7797177845182</v>
      </c>
      <c r="P77" s="80">
        <f t="shared" si="26"/>
        <v>1.2999999999999997E-3</v>
      </c>
      <c r="Q77" s="79">
        <f>'Catering MMC'!Q77+'Catering BBC'!Q77</f>
        <v>1855.5253121402086</v>
      </c>
      <c r="R77" s="80">
        <f t="shared" si="27"/>
        <v>1.2999999999999997E-3</v>
      </c>
      <c r="S77" s="79">
        <f>'Catering MMC'!S77+'Catering BBC'!S77</f>
        <v>1892.635818383013</v>
      </c>
      <c r="T77" s="80">
        <f t="shared" si="28"/>
        <v>1.2999999999999999E-3</v>
      </c>
      <c r="U77" s="79">
        <f>'Catering MMC'!U77+'Catering BBC'!U77</f>
        <v>1930.4885347506734</v>
      </c>
      <c r="V77" s="80">
        <f t="shared" si="29"/>
        <v>1.2999999999999999E-3</v>
      </c>
    </row>
    <row r="78" spans="1:22" ht="12.75" customHeight="1">
      <c r="A78" s="214" t="s">
        <v>422</v>
      </c>
      <c r="B78" s="215"/>
      <c r="C78" s="79">
        <f>'Catering MMC'!C78+'Catering BBC'!C78</f>
        <v>25558.94</v>
      </c>
      <c r="D78" s="80">
        <f t="shared" si="20"/>
        <v>2.1999999999999999E-2</v>
      </c>
      <c r="E78" s="79">
        <f>'Catering MMC'!E78+'Catering BBC'!E78</f>
        <v>26576.118799999997</v>
      </c>
      <c r="F78" s="80">
        <f t="shared" si="21"/>
        <v>2.1999999999999999E-2</v>
      </c>
      <c r="G78" s="79">
        <f>'Catering MMC'!G78+'Catering BBC'!G78</f>
        <v>27635.641176000001</v>
      </c>
      <c r="H78" s="80">
        <f t="shared" si="22"/>
        <v>2.1999999999999999E-2</v>
      </c>
      <c r="I78" s="79">
        <f>'Catering MMC'!I78+'Catering BBC'!I78</f>
        <v>28760.353999520001</v>
      </c>
      <c r="J78" s="80">
        <f t="shared" si="23"/>
        <v>2.1999999999999999E-2</v>
      </c>
      <c r="K78" s="79">
        <f>'Catering MMC'!K78+'Catering BBC'!K78</f>
        <v>29621.5610795104</v>
      </c>
      <c r="L78" s="80">
        <f t="shared" si="24"/>
        <v>2.1999999999999999E-2</v>
      </c>
      <c r="M78" s="79">
        <f>'Catering MMC'!M78+'Catering BBC'!M78</f>
        <v>30213.99230110061</v>
      </c>
      <c r="N78" s="80">
        <f t="shared" si="25"/>
        <v>2.2000000000000002E-2</v>
      </c>
      <c r="O78" s="79">
        <f>'Catering MMC'!O78+'Catering BBC'!O78</f>
        <v>30796.272147122618</v>
      </c>
      <c r="P78" s="80">
        <f t="shared" si="26"/>
        <v>2.1999999999999995E-2</v>
      </c>
      <c r="Q78" s="79">
        <f>'Catering MMC'!Q78+'Catering BBC'!Q78</f>
        <v>31401.197590065069</v>
      </c>
      <c r="R78" s="80">
        <f t="shared" si="27"/>
        <v>2.1999999999999995E-2</v>
      </c>
      <c r="S78" s="79">
        <f>'Catering MMC'!S78+'Catering BBC'!S78</f>
        <v>32029.221541866376</v>
      </c>
      <c r="T78" s="80">
        <f t="shared" si="28"/>
        <v>2.1999999999999999E-2</v>
      </c>
      <c r="U78" s="79">
        <f>'Catering MMC'!U78+'Catering BBC'!U78</f>
        <v>32669.805972703703</v>
      </c>
      <c r="V78" s="80">
        <f t="shared" si="29"/>
        <v>2.1999999999999999E-2</v>
      </c>
    </row>
    <row r="79" spans="1:22" ht="12.75" customHeight="1">
      <c r="A79" s="2" t="s">
        <v>423</v>
      </c>
      <c r="B79" s="35"/>
      <c r="C79" s="79">
        <f>'Catering MMC'!C79+'Catering BBC'!C79</f>
        <v>0</v>
      </c>
      <c r="D79" s="80">
        <f t="shared" si="20"/>
        <v>0</v>
      </c>
      <c r="E79" s="79">
        <f>'Catering MMC'!E79+'Catering BBC'!E79</f>
        <v>0</v>
      </c>
      <c r="F79" s="80">
        <f t="shared" si="21"/>
        <v>0</v>
      </c>
      <c r="G79" s="79">
        <f>'Catering MMC'!G79+'Catering BBC'!G79</f>
        <v>0</v>
      </c>
      <c r="H79" s="80">
        <f t="shared" si="22"/>
        <v>0</v>
      </c>
      <c r="I79" s="79">
        <f>'Catering MMC'!I79+'Catering BBC'!I79</f>
        <v>0</v>
      </c>
      <c r="J79" s="80">
        <f t="shared" si="23"/>
        <v>0</v>
      </c>
      <c r="K79" s="79">
        <f>'Catering MMC'!K79+'Catering BBC'!K79</f>
        <v>0</v>
      </c>
      <c r="L79" s="80">
        <f t="shared" si="24"/>
        <v>0</v>
      </c>
      <c r="M79" s="79">
        <f>'Catering MMC'!M79+'Catering BBC'!M79</f>
        <v>0</v>
      </c>
      <c r="N79" s="80">
        <f t="shared" si="25"/>
        <v>0</v>
      </c>
      <c r="O79" s="79">
        <f>'Catering MMC'!O79+'Catering BBC'!O79</f>
        <v>0</v>
      </c>
      <c r="P79" s="80">
        <f t="shared" si="26"/>
        <v>0</v>
      </c>
      <c r="Q79" s="79">
        <f>'Catering MMC'!Q79+'Catering BBC'!Q79</f>
        <v>0</v>
      </c>
      <c r="R79" s="80">
        <f t="shared" si="27"/>
        <v>0</v>
      </c>
      <c r="S79" s="79">
        <f>'Catering MMC'!S79+'Catering BBC'!S79</f>
        <v>0</v>
      </c>
      <c r="T79" s="80">
        <f t="shared" si="28"/>
        <v>0</v>
      </c>
      <c r="U79" s="79">
        <f>'Catering MMC'!U79+'Catering BBC'!U79</f>
        <v>0</v>
      </c>
      <c r="V79" s="80">
        <f t="shared" si="29"/>
        <v>0</v>
      </c>
    </row>
    <row r="80" spans="1:22" ht="12.75" customHeight="1">
      <c r="A80" s="2" t="s">
        <v>424</v>
      </c>
      <c r="B80" s="35"/>
      <c r="C80" s="79">
        <f>'Catering MMC'!C80+'Catering BBC'!C80</f>
        <v>0</v>
      </c>
      <c r="D80" s="80">
        <f t="shared" si="20"/>
        <v>0</v>
      </c>
      <c r="E80" s="79">
        <f>'Catering MMC'!E80+'Catering BBC'!E80</f>
        <v>0</v>
      </c>
      <c r="F80" s="80">
        <f t="shared" si="21"/>
        <v>0</v>
      </c>
      <c r="G80" s="79">
        <f>'Catering MMC'!G80+'Catering BBC'!G80</f>
        <v>0</v>
      </c>
      <c r="H80" s="80">
        <f t="shared" si="22"/>
        <v>0</v>
      </c>
      <c r="I80" s="79">
        <f>'Catering MMC'!I80+'Catering BBC'!I80</f>
        <v>0</v>
      </c>
      <c r="J80" s="80">
        <f t="shared" si="23"/>
        <v>0</v>
      </c>
      <c r="K80" s="79">
        <f>'Catering MMC'!K80+'Catering BBC'!K80</f>
        <v>0</v>
      </c>
      <c r="L80" s="80">
        <f t="shared" si="24"/>
        <v>0</v>
      </c>
      <c r="M80" s="79">
        <f>'Catering MMC'!M80+'Catering BBC'!M80</f>
        <v>0</v>
      </c>
      <c r="N80" s="80">
        <f t="shared" si="25"/>
        <v>0</v>
      </c>
      <c r="O80" s="79">
        <f>'Catering MMC'!O80+'Catering BBC'!O80</f>
        <v>0</v>
      </c>
      <c r="P80" s="80">
        <f t="shared" si="26"/>
        <v>0</v>
      </c>
      <c r="Q80" s="79">
        <f>'Catering MMC'!Q80+'Catering BBC'!Q80</f>
        <v>0</v>
      </c>
      <c r="R80" s="80">
        <f t="shared" si="27"/>
        <v>0</v>
      </c>
      <c r="S80" s="79">
        <f>'Catering MMC'!S80+'Catering BBC'!S80</f>
        <v>0</v>
      </c>
      <c r="T80" s="80">
        <f t="shared" si="28"/>
        <v>0</v>
      </c>
      <c r="U80" s="79">
        <f>'Catering MMC'!U80+'Catering BBC'!U80</f>
        <v>0</v>
      </c>
      <c r="V80" s="80">
        <f t="shared" si="29"/>
        <v>0</v>
      </c>
    </row>
    <row r="81" spans="1:22" ht="12.75" customHeight="1">
      <c r="A81" s="2" t="s">
        <v>425</v>
      </c>
      <c r="B81" s="35"/>
      <c r="C81" s="79">
        <f>'Catering MMC'!C81+'Catering BBC'!C81</f>
        <v>0</v>
      </c>
      <c r="D81" s="80">
        <f t="shared" si="20"/>
        <v>0</v>
      </c>
      <c r="E81" s="79">
        <f>'Catering MMC'!E81+'Catering BBC'!E81</f>
        <v>0</v>
      </c>
      <c r="F81" s="80">
        <f t="shared" si="21"/>
        <v>0</v>
      </c>
      <c r="G81" s="79">
        <f>'Catering MMC'!G81+'Catering BBC'!G81</f>
        <v>0</v>
      </c>
      <c r="H81" s="80">
        <f t="shared" si="22"/>
        <v>0</v>
      </c>
      <c r="I81" s="79">
        <f>'Catering MMC'!I81+'Catering BBC'!I81</f>
        <v>0</v>
      </c>
      <c r="J81" s="80">
        <f t="shared" si="23"/>
        <v>0</v>
      </c>
      <c r="K81" s="79">
        <f>'Catering MMC'!K81+'Catering BBC'!K81</f>
        <v>0</v>
      </c>
      <c r="L81" s="80">
        <f t="shared" si="24"/>
        <v>0</v>
      </c>
      <c r="M81" s="79">
        <f>'Catering MMC'!M81+'Catering BBC'!M81</f>
        <v>0</v>
      </c>
      <c r="N81" s="80">
        <f t="shared" si="25"/>
        <v>0</v>
      </c>
      <c r="O81" s="79">
        <f>'Catering MMC'!O81+'Catering BBC'!O81</f>
        <v>0</v>
      </c>
      <c r="P81" s="80">
        <f t="shared" si="26"/>
        <v>0</v>
      </c>
      <c r="Q81" s="79">
        <f>'Catering MMC'!Q81+'Catering BBC'!Q81</f>
        <v>0</v>
      </c>
      <c r="R81" s="80">
        <f t="shared" si="27"/>
        <v>0</v>
      </c>
      <c r="S81" s="79">
        <f>'Catering MMC'!S81+'Catering BBC'!S81</f>
        <v>0</v>
      </c>
      <c r="T81" s="80">
        <f t="shared" si="28"/>
        <v>0</v>
      </c>
      <c r="U81" s="79">
        <f>'Catering MMC'!U81+'Catering BBC'!U81</f>
        <v>0</v>
      </c>
      <c r="V81" s="80">
        <f t="shared" si="29"/>
        <v>0</v>
      </c>
    </row>
    <row r="82" spans="1:22" ht="12.75" customHeight="1">
      <c r="A82" s="2" t="s">
        <v>426</v>
      </c>
      <c r="B82" s="35"/>
      <c r="C82" s="79">
        <f>'Catering MMC'!C82+'Catering BBC'!C82</f>
        <v>0</v>
      </c>
      <c r="D82" s="80">
        <f t="shared" si="20"/>
        <v>0</v>
      </c>
      <c r="E82" s="79">
        <f>'Catering MMC'!E82+'Catering BBC'!E82</f>
        <v>0</v>
      </c>
      <c r="F82" s="80">
        <f t="shared" si="21"/>
        <v>0</v>
      </c>
      <c r="G82" s="79">
        <f>'Catering MMC'!G82+'Catering BBC'!G82</f>
        <v>0</v>
      </c>
      <c r="H82" s="80">
        <f t="shared" si="22"/>
        <v>0</v>
      </c>
      <c r="I82" s="79">
        <f>'Catering MMC'!I82+'Catering BBC'!I82</f>
        <v>0</v>
      </c>
      <c r="J82" s="80">
        <f t="shared" si="23"/>
        <v>0</v>
      </c>
      <c r="K82" s="79">
        <f>'Catering MMC'!K82+'Catering BBC'!K82</f>
        <v>0</v>
      </c>
      <c r="L82" s="80">
        <f t="shared" si="24"/>
        <v>0</v>
      </c>
      <c r="M82" s="79">
        <f>'Catering MMC'!M82+'Catering BBC'!M82</f>
        <v>0</v>
      </c>
      <c r="N82" s="80">
        <f t="shared" si="25"/>
        <v>0</v>
      </c>
      <c r="O82" s="79">
        <f>'Catering MMC'!O82+'Catering BBC'!O82</f>
        <v>0</v>
      </c>
      <c r="P82" s="80">
        <f t="shared" si="26"/>
        <v>0</v>
      </c>
      <c r="Q82" s="79">
        <f>'Catering MMC'!Q82+'Catering BBC'!Q82</f>
        <v>0</v>
      </c>
      <c r="R82" s="80">
        <f t="shared" si="27"/>
        <v>0</v>
      </c>
      <c r="S82" s="79">
        <f>'Catering MMC'!S82+'Catering BBC'!S82</f>
        <v>0</v>
      </c>
      <c r="T82" s="80">
        <f t="shared" si="28"/>
        <v>0</v>
      </c>
      <c r="U82" s="79">
        <f>'Catering MMC'!U82+'Catering BBC'!U82</f>
        <v>0</v>
      </c>
      <c r="V82" s="80">
        <f t="shared" si="29"/>
        <v>0</v>
      </c>
    </row>
    <row r="83" spans="1:22" ht="12.75" customHeight="1">
      <c r="A83" s="2" t="s">
        <v>427</v>
      </c>
      <c r="B83" s="35"/>
      <c r="C83" s="79">
        <f>'Catering MMC'!C83+'Catering BBC'!C83</f>
        <v>0</v>
      </c>
      <c r="D83" s="80">
        <f t="shared" si="20"/>
        <v>0</v>
      </c>
      <c r="E83" s="79">
        <f>'Catering MMC'!E83+'Catering BBC'!E83</f>
        <v>0</v>
      </c>
      <c r="F83" s="80">
        <f t="shared" si="21"/>
        <v>0</v>
      </c>
      <c r="G83" s="79">
        <f>'Catering MMC'!G83+'Catering BBC'!G83</f>
        <v>0</v>
      </c>
      <c r="H83" s="80">
        <f t="shared" si="22"/>
        <v>0</v>
      </c>
      <c r="I83" s="79">
        <f>'Catering MMC'!I83+'Catering BBC'!I83</f>
        <v>0</v>
      </c>
      <c r="J83" s="80">
        <f t="shared" si="23"/>
        <v>0</v>
      </c>
      <c r="K83" s="79">
        <f>'Catering MMC'!K83+'Catering BBC'!K83</f>
        <v>0</v>
      </c>
      <c r="L83" s="80">
        <f t="shared" si="24"/>
        <v>0</v>
      </c>
      <c r="M83" s="79">
        <f>'Catering MMC'!M83+'Catering BBC'!M83</f>
        <v>0</v>
      </c>
      <c r="N83" s="80">
        <f t="shared" si="25"/>
        <v>0</v>
      </c>
      <c r="O83" s="79">
        <f>'Catering MMC'!O83+'Catering BBC'!O83</f>
        <v>0</v>
      </c>
      <c r="P83" s="80">
        <f t="shared" si="26"/>
        <v>0</v>
      </c>
      <c r="Q83" s="79">
        <f>'Catering MMC'!Q83+'Catering BBC'!Q83</f>
        <v>0</v>
      </c>
      <c r="R83" s="80">
        <f t="shared" si="27"/>
        <v>0</v>
      </c>
      <c r="S83" s="79">
        <f>'Catering MMC'!S83+'Catering BBC'!S83</f>
        <v>0</v>
      </c>
      <c r="T83" s="80">
        <f t="shared" si="28"/>
        <v>0</v>
      </c>
      <c r="U83" s="79">
        <f>'Catering MMC'!U83+'Catering BBC'!U83</f>
        <v>0</v>
      </c>
      <c r="V83" s="80">
        <f t="shared" si="29"/>
        <v>0</v>
      </c>
    </row>
    <row r="84" spans="1:22" ht="12.75" customHeight="1">
      <c r="A84" s="2" t="s">
        <v>428</v>
      </c>
      <c r="B84" s="35"/>
      <c r="C84" s="79">
        <f>'Catering MMC'!C84+'Catering BBC'!C84</f>
        <v>0</v>
      </c>
      <c r="D84" s="80">
        <f t="shared" ref="D84:D105" si="30">IFERROR(C84/C$28,0)</f>
        <v>0</v>
      </c>
      <c r="E84" s="79">
        <f>'Catering MMC'!E84+'Catering BBC'!E84</f>
        <v>0</v>
      </c>
      <c r="F84" s="80">
        <f t="shared" ref="F84:F105" si="31">IFERROR(E84/E$28,0)</f>
        <v>0</v>
      </c>
      <c r="G84" s="79">
        <f>'Catering MMC'!G84+'Catering BBC'!G84</f>
        <v>0</v>
      </c>
      <c r="H84" s="80">
        <f t="shared" ref="H84:H105" si="32">IFERROR(G84/G$28,0)</f>
        <v>0</v>
      </c>
      <c r="I84" s="79">
        <f>'Catering MMC'!I84+'Catering BBC'!I84</f>
        <v>0</v>
      </c>
      <c r="J84" s="80">
        <f t="shared" ref="J84:J105" si="33">IFERROR(I84/I$28,0)</f>
        <v>0</v>
      </c>
      <c r="K84" s="79">
        <f>'Catering MMC'!K84+'Catering BBC'!K84</f>
        <v>0</v>
      </c>
      <c r="L84" s="80">
        <f t="shared" ref="L84:L105" si="34">IFERROR(K84/K$28,0)</f>
        <v>0</v>
      </c>
      <c r="M84" s="79">
        <f>'Catering MMC'!M84+'Catering BBC'!M84</f>
        <v>0</v>
      </c>
      <c r="N84" s="80">
        <f t="shared" ref="N84:N105" si="35">IFERROR(M84/M$28,0)</f>
        <v>0</v>
      </c>
      <c r="O84" s="79">
        <f>'Catering MMC'!O84+'Catering BBC'!O84</f>
        <v>0</v>
      </c>
      <c r="P84" s="80">
        <f t="shared" ref="P84:P105" si="36">IFERROR(O84/O$28,0)</f>
        <v>0</v>
      </c>
      <c r="Q84" s="79">
        <f>'Catering MMC'!Q84+'Catering BBC'!Q84</f>
        <v>0</v>
      </c>
      <c r="R84" s="80">
        <f t="shared" ref="R84:R105" si="37">IFERROR(Q84/Q$28,0)</f>
        <v>0</v>
      </c>
      <c r="S84" s="79">
        <f>'Catering MMC'!S84+'Catering BBC'!S84</f>
        <v>0</v>
      </c>
      <c r="T84" s="80">
        <f t="shared" ref="T84:T105" si="38">IFERROR(S84/S$28,0)</f>
        <v>0</v>
      </c>
      <c r="U84" s="79">
        <f>'Catering MMC'!U84+'Catering BBC'!U84</f>
        <v>0</v>
      </c>
      <c r="V84" s="80">
        <f t="shared" si="29"/>
        <v>0</v>
      </c>
    </row>
    <row r="85" spans="1:22" ht="12.75" customHeight="1">
      <c r="A85" s="2" t="s">
        <v>429</v>
      </c>
      <c r="B85" s="35"/>
      <c r="C85" s="79">
        <f>'Catering MMC'!C85+'Catering BBC'!C85</f>
        <v>0</v>
      </c>
      <c r="D85" s="80">
        <f t="shared" si="30"/>
        <v>0</v>
      </c>
      <c r="E85" s="79">
        <f>'Catering MMC'!E85+'Catering BBC'!E85</f>
        <v>0</v>
      </c>
      <c r="F85" s="80">
        <f t="shared" si="31"/>
        <v>0</v>
      </c>
      <c r="G85" s="79">
        <f>'Catering MMC'!G85+'Catering BBC'!G85</f>
        <v>0</v>
      </c>
      <c r="H85" s="80">
        <f t="shared" si="32"/>
        <v>0</v>
      </c>
      <c r="I85" s="79">
        <f>'Catering MMC'!I85+'Catering BBC'!I85</f>
        <v>0</v>
      </c>
      <c r="J85" s="80">
        <f t="shared" si="33"/>
        <v>0</v>
      </c>
      <c r="K85" s="79">
        <f>'Catering MMC'!K85+'Catering BBC'!K85</f>
        <v>0</v>
      </c>
      <c r="L85" s="80">
        <f t="shared" si="34"/>
        <v>0</v>
      </c>
      <c r="M85" s="79">
        <f>'Catering MMC'!M85+'Catering BBC'!M85</f>
        <v>0</v>
      </c>
      <c r="N85" s="80">
        <f t="shared" si="35"/>
        <v>0</v>
      </c>
      <c r="O85" s="79">
        <f>'Catering MMC'!O85+'Catering BBC'!O85</f>
        <v>0</v>
      </c>
      <c r="P85" s="80">
        <f t="shared" si="36"/>
        <v>0</v>
      </c>
      <c r="Q85" s="79">
        <f>'Catering MMC'!Q85+'Catering BBC'!Q85</f>
        <v>0</v>
      </c>
      <c r="R85" s="80">
        <f t="shared" si="37"/>
        <v>0</v>
      </c>
      <c r="S85" s="79">
        <f>'Catering MMC'!S85+'Catering BBC'!S85</f>
        <v>0</v>
      </c>
      <c r="T85" s="80">
        <f t="shared" si="38"/>
        <v>0</v>
      </c>
      <c r="U85" s="79">
        <f>'Catering MMC'!U85+'Catering BBC'!U85</f>
        <v>0</v>
      </c>
      <c r="V85" s="80">
        <f t="shared" si="29"/>
        <v>0</v>
      </c>
    </row>
    <row r="86" spans="1:22" ht="12.75" customHeight="1">
      <c r="A86" s="214" t="s">
        <v>430</v>
      </c>
      <c r="B86" s="215"/>
      <c r="C86" s="79">
        <f>'Catering MMC'!C86+'Catering BBC'!C86</f>
        <v>4647.0800000000008</v>
      </c>
      <c r="D86" s="80">
        <f t="shared" si="30"/>
        <v>4.000000000000001E-3</v>
      </c>
      <c r="E86" s="79">
        <f>'Catering MMC'!E86+'Catering BBC'!E86</f>
        <v>4832.0216</v>
      </c>
      <c r="F86" s="80">
        <f t="shared" si="31"/>
        <v>4.0000000000000001E-3</v>
      </c>
      <c r="G86" s="79">
        <f>'Catering MMC'!G86+'Catering BBC'!G86</f>
        <v>5024.6620320000011</v>
      </c>
      <c r="H86" s="80">
        <f t="shared" si="32"/>
        <v>4.0000000000000001E-3</v>
      </c>
      <c r="I86" s="79">
        <f>'Catering MMC'!I86+'Catering BBC'!I86</f>
        <v>5229.1552726400005</v>
      </c>
      <c r="J86" s="80">
        <f t="shared" si="33"/>
        <v>4.0000000000000001E-3</v>
      </c>
      <c r="K86" s="79">
        <f>'Catering MMC'!K86+'Catering BBC'!K86</f>
        <v>5385.7383780928003</v>
      </c>
      <c r="L86" s="80">
        <f t="shared" si="34"/>
        <v>4.0000000000000001E-3</v>
      </c>
      <c r="M86" s="79">
        <f>'Catering MMC'!M86+'Catering BBC'!M86</f>
        <v>5493.4531456546556</v>
      </c>
      <c r="N86" s="80">
        <f t="shared" si="35"/>
        <v>4.0000000000000001E-3</v>
      </c>
      <c r="O86" s="79">
        <f>'Catering MMC'!O86+'Catering BBC'!O86</f>
        <v>5599.3222085677489</v>
      </c>
      <c r="P86" s="80">
        <f t="shared" si="36"/>
        <v>3.9999999999999992E-3</v>
      </c>
      <c r="Q86" s="79">
        <f>'Catering MMC'!Q86+'Catering BBC'!Q86</f>
        <v>5709.3086527391042</v>
      </c>
      <c r="R86" s="80">
        <f t="shared" si="37"/>
        <v>3.9999999999999992E-3</v>
      </c>
      <c r="S86" s="79">
        <f>'Catering MMC'!S86+'Catering BBC'!S86</f>
        <v>5823.4948257938859</v>
      </c>
      <c r="T86" s="80">
        <f t="shared" si="38"/>
        <v>3.9999999999999992E-3</v>
      </c>
      <c r="U86" s="79">
        <f>'Catering MMC'!U86+'Catering BBC'!U86</f>
        <v>5939.9647223097636</v>
      </c>
      <c r="V86" s="80">
        <f t="shared" si="29"/>
        <v>3.9999999999999992E-3</v>
      </c>
    </row>
    <row r="87" spans="1:22" ht="12.75" customHeight="1">
      <c r="A87" s="2" t="s">
        <v>431</v>
      </c>
      <c r="B87" s="35"/>
      <c r="C87" s="79">
        <f>'Catering MMC'!C87+'Catering BBC'!C87</f>
        <v>0</v>
      </c>
      <c r="D87" s="80">
        <f t="shared" si="30"/>
        <v>0</v>
      </c>
      <c r="E87" s="79">
        <f>'Catering MMC'!E87+'Catering BBC'!E87</f>
        <v>0</v>
      </c>
      <c r="F87" s="80">
        <f t="shared" si="31"/>
        <v>0</v>
      </c>
      <c r="G87" s="79">
        <f>'Catering MMC'!G87+'Catering BBC'!G87</f>
        <v>0</v>
      </c>
      <c r="H87" s="80">
        <f t="shared" si="32"/>
        <v>0</v>
      </c>
      <c r="I87" s="79">
        <f>'Catering MMC'!I87+'Catering BBC'!I87</f>
        <v>0</v>
      </c>
      <c r="J87" s="80">
        <f t="shared" si="33"/>
        <v>0</v>
      </c>
      <c r="K87" s="79">
        <f>'Catering MMC'!K87+'Catering BBC'!K87</f>
        <v>0</v>
      </c>
      <c r="L87" s="80">
        <f t="shared" si="34"/>
        <v>0</v>
      </c>
      <c r="M87" s="79">
        <f>'Catering MMC'!M87+'Catering BBC'!M87</f>
        <v>0</v>
      </c>
      <c r="N87" s="80">
        <f t="shared" si="35"/>
        <v>0</v>
      </c>
      <c r="O87" s="79">
        <f>'Catering MMC'!O87+'Catering BBC'!O87</f>
        <v>0</v>
      </c>
      <c r="P87" s="80">
        <f t="shared" si="36"/>
        <v>0</v>
      </c>
      <c r="Q87" s="79">
        <f>'Catering MMC'!Q87+'Catering BBC'!Q87</f>
        <v>0</v>
      </c>
      <c r="R87" s="80">
        <f t="shared" si="37"/>
        <v>0</v>
      </c>
      <c r="S87" s="79">
        <f>'Catering MMC'!S87+'Catering BBC'!S87</f>
        <v>0</v>
      </c>
      <c r="T87" s="80">
        <f t="shared" si="38"/>
        <v>0</v>
      </c>
      <c r="U87" s="79">
        <f>'Catering MMC'!U87+'Catering BBC'!U87</f>
        <v>0</v>
      </c>
      <c r="V87" s="80">
        <f t="shared" si="29"/>
        <v>0</v>
      </c>
    </row>
    <row r="88" spans="1:22" ht="12.75" customHeight="1">
      <c r="A88" s="214" t="s">
        <v>432</v>
      </c>
      <c r="B88" s="215"/>
      <c r="C88" s="79">
        <f>'Catering MMC'!C88+'Catering BBC'!C88</f>
        <v>5925.027000000001</v>
      </c>
      <c r="D88" s="80">
        <f t="shared" si="30"/>
        <v>5.1000000000000012E-3</v>
      </c>
      <c r="E88" s="79">
        <f>'Catering MMC'!E88+'Catering BBC'!E88</f>
        <v>6160.8275400000002</v>
      </c>
      <c r="F88" s="80">
        <f t="shared" si="31"/>
        <v>5.1000000000000004E-3</v>
      </c>
      <c r="G88" s="79">
        <f>'Catering MMC'!G88+'Catering BBC'!G88</f>
        <v>6406.4440908000015</v>
      </c>
      <c r="H88" s="80">
        <f t="shared" si="32"/>
        <v>5.1000000000000004E-3</v>
      </c>
      <c r="I88" s="79">
        <f>'Catering MMC'!I88+'Catering BBC'!I88</f>
        <v>6667.1729726160011</v>
      </c>
      <c r="J88" s="80">
        <f t="shared" si="33"/>
        <v>5.1000000000000004E-3</v>
      </c>
      <c r="K88" s="79">
        <f>'Catering MMC'!K88+'Catering BBC'!K88</f>
        <v>6866.8164320683209</v>
      </c>
      <c r="L88" s="80">
        <f t="shared" si="34"/>
        <v>5.1000000000000004E-3</v>
      </c>
      <c r="M88" s="79">
        <f>'Catering MMC'!M88+'Catering BBC'!M88</f>
        <v>7004.1527607096868</v>
      </c>
      <c r="N88" s="80">
        <f t="shared" si="35"/>
        <v>5.1000000000000004E-3</v>
      </c>
      <c r="O88" s="79">
        <f>'Catering MMC'!O88+'Catering BBC'!O88</f>
        <v>7139.1358159238798</v>
      </c>
      <c r="P88" s="80">
        <f t="shared" si="36"/>
        <v>5.0999999999999995E-3</v>
      </c>
      <c r="Q88" s="79">
        <f>'Catering MMC'!Q88+'Catering BBC'!Q88</f>
        <v>7279.368532242358</v>
      </c>
      <c r="R88" s="80">
        <f t="shared" si="37"/>
        <v>5.0999999999999995E-3</v>
      </c>
      <c r="S88" s="79">
        <f>'Catering MMC'!S88+'Catering BBC'!S88</f>
        <v>7424.9559028872045</v>
      </c>
      <c r="T88" s="80">
        <f t="shared" si="38"/>
        <v>5.0999999999999995E-3</v>
      </c>
      <c r="U88" s="79">
        <f>'Catering MMC'!U88+'Catering BBC'!U88</f>
        <v>7573.455020944949</v>
      </c>
      <c r="V88" s="80">
        <f t="shared" si="29"/>
        <v>5.0999999999999995E-3</v>
      </c>
    </row>
    <row r="89" spans="1:22" ht="12.75" customHeight="1">
      <c r="A89" s="2" t="s">
        <v>433</v>
      </c>
      <c r="B89" s="35"/>
      <c r="C89" s="79">
        <f>'Catering MMC'!C89+'Catering BBC'!C89</f>
        <v>0</v>
      </c>
      <c r="D89" s="80">
        <f t="shared" si="30"/>
        <v>0</v>
      </c>
      <c r="E89" s="79">
        <f>'Catering MMC'!E89+'Catering BBC'!E89</f>
        <v>0</v>
      </c>
      <c r="F89" s="80">
        <f t="shared" si="31"/>
        <v>0</v>
      </c>
      <c r="G89" s="79">
        <f>'Catering MMC'!G89+'Catering BBC'!G89</f>
        <v>0</v>
      </c>
      <c r="H89" s="80">
        <f t="shared" si="32"/>
        <v>0</v>
      </c>
      <c r="I89" s="79">
        <f>'Catering MMC'!I89+'Catering BBC'!I89</f>
        <v>0</v>
      </c>
      <c r="J89" s="80">
        <f t="shared" si="33"/>
        <v>0</v>
      </c>
      <c r="K89" s="79">
        <f>'Catering MMC'!K89+'Catering BBC'!K89</f>
        <v>0</v>
      </c>
      <c r="L89" s="80">
        <f t="shared" si="34"/>
        <v>0</v>
      </c>
      <c r="M89" s="79">
        <f>'Catering MMC'!M89+'Catering BBC'!M89</f>
        <v>0</v>
      </c>
      <c r="N89" s="80">
        <f t="shared" si="35"/>
        <v>0</v>
      </c>
      <c r="O89" s="79">
        <f>'Catering MMC'!O89+'Catering BBC'!O89</f>
        <v>0</v>
      </c>
      <c r="P89" s="80">
        <f t="shared" si="36"/>
        <v>0</v>
      </c>
      <c r="Q89" s="79">
        <f>'Catering MMC'!Q89+'Catering BBC'!Q89</f>
        <v>0</v>
      </c>
      <c r="R89" s="80">
        <f t="shared" si="37"/>
        <v>0</v>
      </c>
      <c r="S89" s="79">
        <f>'Catering MMC'!S89+'Catering BBC'!S89</f>
        <v>0</v>
      </c>
      <c r="T89" s="80">
        <f t="shared" si="38"/>
        <v>0</v>
      </c>
      <c r="U89" s="79">
        <f>'Catering MMC'!U89+'Catering BBC'!U89</f>
        <v>0</v>
      </c>
      <c r="V89" s="80">
        <f t="shared" si="29"/>
        <v>0</v>
      </c>
    </row>
    <row r="90" spans="1:22" ht="12.75" customHeight="1">
      <c r="A90" s="214" t="s">
        <v>434</v>
      </c>
      <c r="B90" s="215"/>
      <c r="C90" s="79">
        <f>'Catering MMC'!C90+'Catering BBC'!C90</f>
        <v>232.35400000000004</v>
      </c>
      <c r="D90" s="80">
        <f t="shared" si="30"/>
        <v>2.0000000000000004E-4</v>
      </c>
      <c r="E90" s="79">
        <f>'Catering MMC'!E90+'Catering BBC'!E90</f>
        <v>241.60108000000002</v>
      </c>
      <c r="F90" s="80">
        <f t="shared" si="31"/>
        <v>2.0000000000000004E-4</v>
      </c>
      <c r="G90" s="79">
        <f>'Catering MMC'!G90+'Catering BBC'!G90</f>
        <v>251.23310160000005</v>
      </c>
      <c r="H90" s="80">
        <f t="shared" si="32"/>
        <v>2.0000000000000001E-4</v>
      </c>
      <c r="I90" s="79">
        <f>'Catering MMC'!I90+'Catering BBC'!I90</f>
        <v>261.45776363200002</v>
      </c>
      <c r="J90" s="80">
        <f t="shared" si="33"/>
        <v>2.0000000000000001E-4</v>
      </c>
      <c r="K90" s="79">
        <f>'Catering MMC'!K90+'Catering BBC'!K90</f>
        <v>269.28691890464</v>
      </c>
      <c r="L90" s="80">
        <f t="shared" si="34"/>
        <v>1.9999999999999998E-4</v>
      </c>
      <c r="M90" s="79">
        <f>'Catering MMC'!M90+'Catering BBC'!M90</f>
        <v>274.67265728273281</v>
      </c>
      <c r="N90" s="80">
        <f t="shared" si="35"/>
        <v>2.0000000000000001E-4</v>
      </c>
      <c r="O90" s="79">
        <f>'Catering MMC'!O90+'Catering BBC'!O90</f>
        <v>279.96611042838748</v>
      </c>
      <c r="P90" s="80">
        <f t="shared" si="36"/>
        <v>2.0000000000000001E-4</v>
      </c>
      <c r="Q90" s="79">
        <f>'Catering MMC'!Q90+'Catering BBC'!Q90</f>
        <v>285.46543263695526</v>
      </c>
      <c r="R90" s="80">
        <f t="shared" si="37"/>
        <v>2.0000000000000001E-4</v>
      </c>
      <c r="S90" s="79">
        <f>'Catering MMC'!S90+'Catering BBC'!S90</f>
        <v>291.17474128969434</v>
      </c>
      <c r="T90" s="80">
        <f t="shared" si="38"/>
        <v>2.0000000000000001E-4</v>
      </c>
      <c r="U90" s="79">
        <f>'Catering MMC'!U90+'Catering BBC'!U90</f>
        <v>296.99823611548823</v>
      </c>
      <c r="V90" s="80">
        <f t="shared" si="29"/>
        <v>2.0000000000000001E-4</v>
      </c>
    </row>
    <row r="91" spans="1:22" ht="12.75" customHeight="1">
      <c r="A91" s="2" t="s">
        <v>435</v>
      </c>
      <c r="C91" s="79">
        <f>'Catering MMC'!C91+'Catering BBC'!C91</f>
        <v>0</v>
      </c>
      <c r="D91" s="80">
        <f t="shared" si="30"/>
        <v>0</v>
      </c>
      <c r="E91" s="79">
        <f>'Catering MMC'!E91+'Catering BBC'!E91</f>
        <v>0</v>
      </c>
      <c r="F91" s="80">
        <f t="shared" si="31"/>
        <v>0</v>
      </c>
      <c r="G91" s="79">
        <f>'Catering MMC'!G91+'Catering BBC'!G91</f>
        <v>0</v>
      </c>
      <c r="H91" s="80">
        <f t="shared" si="32"/>
        <v>0</v>
      </c>
      <c r="I91" s="79">
        <f>'Catering MMC'!I91+'Catering BBC'!I91</f>
        <v>0</v>
      </c>
      <c r="J91" s="80">
        <f t="shared" si="33"/>
        <v>0</v>
      </c>
      <c r="K91" s="79">
        <f>'Catering MMC'!K91+'Catering BBC'!K91</f>
        <v>0</v>
      </c>
      <c r="L91" s="80">
        <f t="shared" si="34"/>
        <v>0</v>
      </c>
      <c r="M91" s="79">
        <f>'Catering MMC'!M91+'Catering BBC'!M91</f>
        <v>0</v>
      </c>
      <c r="N91" s="80">
        <f t="shared" si="35"/>
        <v>0</v>
      </c>
      <c r="O91" s="79">
        <f>'Catering MMC'!O91+'Catering BBC'!O91</f>
        <v>0</v>
      </c>
      <c r="P91" s="80">
        <f t="shared" si="36"/>
        <v>0</v>
      </c>
      <c r="Q91" s="79">
        <f>'Catering MMC'!Q91+'Catering BBC'!Q91</f>
        <v>0</v>
      </c>
      <c r="R91" s="80">
        <f t="shared" si="37"/>
        <v>0</v>
      </c>
      <c r="S91" s="79">
        <f>'Catering MMC'!S91+'Catering BBC'!S91</f>
        <v>0</v>
      </c>
      <c r="T91" s="80">
        <f t="shared" si="38"/>
        <v>0</v>
      </c>
      <c r="U91" s="79">
        <f>'Catering MMC'!U91+'Catering BBC'!U91</f>
        <v>0</v>
      </c>
      <c r="V91" s="80">
        <f t="shared" si="29"/>
        <v>0</v>
      </c>
    </row>
    <row r="92" spans="1:22" ht="12.75" customHeight="1">
      <c r="A92" s="214" t="s">
        <v>436</v>
      </c>
      <c r="B92" s="215"/>
      <c r="C92" s="79">
        <f>'Catering MMC'!C92+'Catering BBC'!C92</f>
        <v>6041.2040000000006</v>
      </c>
      <c r="D92" s="80">
        <f t="shared" si="30"/>
        <v>5.2000000000000006E-3</v>
      </c>
      <c r="E92" s="79">
        <f>'Catering MMC'!E92+'Catering BBC'!E92</f>
        <v>6281.6280799999995</v>
      </c>
      <c r="F92" s="80">
        <f t="shared" si="31"/>
        <v>5.1999999999999998E-3</v>
      </c>
      <c r="G92" s="79">
        <f>'Catering MMC'!G92+'Catering BBC'!G92</f>
        <v>6532.0606416000001</v>
      </c>
      <c r="H92" s="80">
        <f t="shared" si="32"/>
        <v>5.1999999999999998E-3</v>
      </c>
      <c r="I92" s="79">
        <f>'Catering MMC'!I92+'Catering BBC'!I92</f>
        <v>6797.9018544320015</v>
      </c>
      <c r="J92" s="80">
        <f t="shared" si="33"/>
        <v>5.2000000000000015E-3</v>
      </c>
      <c r="K92" s="79">
        <f>'Catering MMC'!K92+'Catering BBC'!K92</f>
        <v>7001.4598915206398</v>
      </c>
      <c r="L92" s="80">
        <f t="shared" si="34"/>
        <v>5.1999999999999998E-3</v>
      </c>
      <c r="M92" s="79">
        <f>'Catering MMC'!M92+'Catering BBC'!M92</f>
        <v>7141.4890893510537</v>
      </c>
      <c r="N92" s="80">
        <f t="shared" si="35"/>
        <v>5.2000000000000006E-3</v>
      </c>
      <c r="O92" s="79">
        <f>'Catering MMC'!O92+'Catering BBC'!O92</f>
        <v>7279.1188711380728</v>
      </c>
      <c r="P92" s="80">
        <f t="shared" si="36"/>
        <v>5.1999999999999989E-3</v>
      </c>
      <c r="Q92" s="79">
        <f>'Catering MMC'!Q92+'Catering BBC'!Q92</f>
        <v>7422.1012485608344</v>
      </c>
      <c r="R92" s="80">
        <f t="shared" si="37"/>
        <v>5.1999999999999989E-3</v>
      </c>
      <c r="S92" s="79">
        <f>'Catering MMC'!S92+'Catering BBC'!S92</f>
        <v>7570.5432735320519</v>
      </c>
      <c r="T92" s="80">
        <f t="shared" si="38"/>
        <v>5.1999999999999998E-3</v>
      </c>
      <c r="U92" s="79">
        <f>'Catering MMC'!U92+'Catering BBC'!U92</f>
        <v>7721.9541390026934</v>
      </c>
      <c r="V92" s="80">
        <f t="shared" si="29"/>
        <v>5.1999999999999998E-3</v>
      </c>
    </row>
    <row r="93" spans="1:22" ht="12.75" customHeight="1">
      <c r="A93" s="2" t="s">
        <v>437</v>
      </c>
      <c r="B93" s="35"/>
      <c r="C93" s="79">
        <f>'Catering MMC'!C93+'Catering BBC'!C93</f>
        <v>0</v>
      </c>
      <c r="D93" s="80">
        <f t="shared" si="30"/>
        <v>0</v>
      </c>
      <c r="E93" s="79">
        <f>'Catering MMC'!E93+'Catering BBC'!E93</f>
        <v>0</v>
      </c>
      <c r="F93" s="80">
        <f t="shared" si="31"/>
        <v>0</v>
      </c>
      <c r="G93" s="79">
        <f>'Catering MMC'!G93+'Catering BBC'!G93</f>
        <v>0</v>
      </c>
      <c r="H93" s="80">
        <f t="shared" si="32"/>
        <v>0</v>
      </c>
      <c r="I93" s="79">
        <f>'Catering MMC'!I93+'Catering BBC'!I93</f>
        <v>0</v>
      </c>
      <c r="J93" s="80">
        <f t="shared" si="33"/>
        <v>0</v>
      </c>
      <c r="K93" s="79">
        <f>'Catering MMC'!K93+'Catering BBC'!K93</f>
        <v>0</v>
      </c>
      <c r="L93" s="80">
        <f t="shared" si="34"/>
        <v>0</v>
      </c>
      <c r="M93" s="79">
        <f>'Catering MMC'!M93+'Catering BBC'!M93</f>
        <v>0</v>
      </c>
      <c r="N93" s="80">
        <f t="shared" si="35"/>
        <v>0</v>
      </c>
      <c r="O93" s="79">
        <f>'Catering MMC'!O93+'Catering BBC'!O93</f>
        <v>0</v>
      </c>
      <c r="P93" s="80">
        <f t="shared" si="36"/>
        <v>0</v>
      </c>
      <c r="Q93" s="79">
        <f>'Catering MMC'!Q93+'Catering BBC'!Q93</f>
        <v>0</v>
      </c>
      <c r="R93" s="80">
        <f t="shared" si="37"/>
        <v>0</v>
      </c>
      <c r="S93" s="79">
        <f>'Catering MMC'!S93+'Catering BBC'!S93</f>
        <v>0</v>
      </c>
      <c r="T93" s="80">
        <f t="shared" si="38"/>
        <v>0</v>
      </c>
      <c r="U93" s="79">
        <f>'Catering MMC'!U93+'Catering BBC'!U93</f>
        <v>0</v>
      </c>
      <c r="V93" s="80">
        <f t="shared" si="29"/>
        <v>0</v>
      </c>
    </row>
    <row r="94" spans="1:22" ht="12.75" customHeight="1">
      <c r="A94" s="2" t="s">
        <v>438</v>
      </c>
      <c r="B94" s="35"/>
      <c r="C94" s="79">
        <f>'Catering MMC'!C94+'Catering BBC'!C94</f>
        <v>0</v>
      </c>
      <c r="D94" s="80">
        <f t="shared" si="30"/>
        <v>0</v>
      </c>
      <c r="E94" s="79">
        <f>'Catering MMC'!E94+'Catering BBC'!E94</f>
        <v>0</v>
      </c>
      <c r="F94" s="80">
        <f t="shared" si="31"/>
        <v>0</v>
      </c>
      <c r="G94" s="79">
        <f>'Catering MMC'!G94+'Catering BBC'!G94</f>
        <v>0</v>
      </c>
      <c r="H94" s="80">
        <f t="shared" si="32"/>
        <v>0</v>
      </c>
      <c r="I94" s="79">
        <f>'Catering MMC'!I94+'Catering BBC'!I94</f>
        <v>0</v>
      </c>
      <c r="J94" s="80">
        <f t="shared" si="33"/>
        <v>0</v>
      </c>
      <c r="K94" s="79">
        <f>'Catering MMC'!K94+'Catering BBC'!K94</f>
        <v>0</v>
      </c>
      <c r="L94" s="80">
        <f t="shared" si="34"/>
        <v>0</v>
      </c>
      <c r="M94" s="79">
        <f>'Catering MMC'!M94+'Catering BBC'!M94</f>
        <v>0</v>
      </c>
      <c r="N94" s="80">
        <f t="shared" si="35"/>
        <v>0</v>
      </c>
      <c r="O94" s="79">
        <f>'Catering MMC'!O94+'Catering BBC'!O94</f>
        <v>0</v>
      </c>
      <c r="P94" s="80">
        <f t="shared" si="36"/>
        <v>0</v>
      </c>
      <c r="Q94" s="79">
        <f>'Catering MMC'!Q94+'Catering BBC'!Q94</f>
        <v>0</v>
      </c>
      <c r="R94" s="80">
        <f t="shared" si="37"/>
        <v>0</v>
      </c>
      <c r="S94" s="79">
        <f>'Catering MMC'!S94+'Catering BBC'!S94</f>
        <v>0</v>
      </c>
      <c r="T94" s="80">
        <f t="shared" si="38"/>
        <v>0</v>
      </c>
      <c r="U94" s="79">
        <f>'Catering MMC'!U94+'Catering BBC'!U94</f>
        <v>0</v>
      </c>
      <c r="V94" s="80">
        <f t="shared" si="29"/>
        <v>0</v>
      </c>
    </row>
    <row r="95" spans="1:22" ht="12.75" customHeight="1">
      <c r="A95" s="2" t="s">
        <v>439</v>
      </c>
      <c r="B95" s="35"/>
      <c r="C95" s="79">
        <f>'Catering MMC'!C95+'Catering BBC'!C95</f>
        <v>0</v>
      </c>
      <c r="D95" s="80">
        <f t="shared" si="30"/>
        <v>0</v>
      </c>
      <c r="E95" s="79">
        <f>'Catering MMC'!E95+'Catering BBC'!E95</f>
        <v>0</v>
      </c>
      <c r="F95" s="80">
        <f t="shared" si="31"/>
        <v>0</v>
      </c>
      <c r="G95" s="79">
        <f>'Catering MMC'!G95+'Catering BBC'!G95</f>
        <v>0</v>
      </c>
      <c r="H95" s="80">
        <f t="shared" si="32"/>
        <v>0</v>
      </c>
      <c r="I95" s="79">
        <f>'Catering MMC'!I95+'Catering BBC'!I95</f>
        <v>0</v>
      </c>
      <c r="J95" s="80">
        <f t="shared" si="33"/>
        <v>0</v>
      </c>
      <c r="K95" s="79">
        <f>'Catering MMC'!K95+'Catering BBC'!K95</f>
        <v>0</v>
      </c>
      <c r="L95" s="80">
        <f t="shared" si="34"/>
        <v>0</v>
      </c>
      <c r="M95" s="79">
        <f>'Catering MMC'!M95+'Catering BBC'!M95</f>
        <v>0</v>
      </c>
      <c r="N95" s="80">
        <f t="shared" si="35"/>
        <v>0</v>
      </c>
      <c r="O95" s="79">
        <f>'Catering MMC'!O95+'Catering BBC'!O95</f>
        <v>0</v>
      </c>
      <c r="P95" s="80">
        <f t="shared" si="36"/>
        <v>0</v>
      </c>
      <c r="Q95" s="79">
        <f>'Catering MMC'!Q95+'Catering BBC'!Q95</f>
        <v>0</v>
      </c>
      <c r="R95" s="80">
        <f t="shared" si="37"/>
        <v>0</v>
      </c>
      <c r="S95" s="79">
        <f>'Catering MMC'!S95+'Catering BBC'!S95</f>
        <v>0</v>
      </c>
      <c r="T95" s="80">
        <f t="shared" si="38"/>
        <v>0</v>
      </c>
      <c r="U95" s="79">
        <f>'Catering MMC'!U95+'Catering BBC'!U95</f>
        <v>0</v>
      </c>
      <c r="V95" s="80">
        <f t="shared" si="29"/>
        <v>0</v>
      </c>
    </row>
    <row r="96" spans="1:22" ht="12.75" customHeight="1">
      <c r="A96" s="2" t="s">
        <v>440</v>
      </c>
      <c r="B96" s="35"/>
      <c r="C96" s="79">
        <f>'Catering MMC'!C96+'Catering BBC'!C96</f>
        <v>0</v>
      </c>
      <c r="D96" s="80">
        <f t="shared" si="30"/>
        <v>0</v>
      </c>
      <c r="E96" s="79">
        <f>'Catering MMC'!E96+'Catering BBC'!E96</f>
        <v>0</v>
      </c>
      <c r="F96" s="80">
        <f t="shared" si="31"/>
        <v>0</v>
      </c>
      <c r="G96" s="79">
        <f>'Catering MMC'!G96+'Catering BBC'!G96</f>
        <v>0</v>
      </c>
      <c r="H96" s="80">
        <f t="shared" si="32"/>
        <v>0</v>
      </c>
      <c r="I96" s="79">
        <f>'Catering MMC'!I96+'Catering BBC'!I96</f>
        <v>0</v>
      </c>
      <c r="J96" s="80">
        <f t="shared" si="33"/>
        <v>0</v>
      </c>
      <c r="K96" s="79">
        <f>'Catering MMC'!K96+'Catering BBC'!K96</f>
        <v>0</v>
      </c>
      <c r="L96" s="80">
        <f t="shared" si="34"/>
        <v>0</v>
      </c>
      <c r="M96" s="79">
        <f>'Catering MMC'!M96+'Catering BBC'!M96</f>
        <v>0</v>
      </c>
      <c r="N96" s="80">
        <f t="shared" si="35"/>
        <v>0</v>
      </c>
      <c r="O96" s="79">
        <f>'Catering MMC'!O96+'Catering BBC'!O96</f>
        <v>0</v>
      </c>
      <c r="P96" s="80">
        <f t="shared" si="36"/>
        <v>0</v>
      </c>
      <c r="Q96" s="79">
        <f>'Catering MMC'!Q96+'Catering BBC'!Q96</f>
        <v>0</v>
      </c>
      <c r="R96" s="80">
        <f t="shared" si="37"/>
        <v>0</v>
      </c>
      <c r="S96" s="79">
        <f>'Catering MMC'!S96+'Catering BBC'!S96</f>
        <v>0</v>
      </c>
      <c r="T96" s="80">
        <f t="shared" si="38"/>
        <v>0</v>
      </c>
      <c r="U96" s="79">
        <f>'Catering MMC'!U96+'Catering BBC'!U96</f>
        <v>0</v>
      </c>
      <c r="V96" s="80">
        <f t="shared" si="29"/>
        <v>0</v>
      </c>
    </row>
    <row r="97" spans="1:22" ht="12.75" customHeight="1">
      <c r="A97" s="2" t="s">
        <v>441</v>
      </c>
      <c r="B97" s="35"/>
      <c r="C97" s="79">
        <f>'Catering MMC'!C97+'Catering BBC'!C97</f>
        <v>21881.187600000001</v>
      </c>
      <c r="D97" s="80">
        <f t="shared" si="30"/>
        <v>1.883435413205712E-2</v>
      </c>
      <c r="E97" s="79">
        <f>'Catering MMC'!E97+'Catering BBC'!E97</f>
        <v>22273.887608000001</v>
      </c>
      <c r="F97" s="80">
        <f t="shared" si="31"/>
        <v>1.8438566258064743E-2</v>
      </c>
      <c r="G97" s="79">
        <f>'Catering MMC'!G97+'Catering BBC'!G97</f>
        <v>22674.441616160002</v>
      </c>
      <c r="H97" s="80">
        <f t="shared" si="32"/>
        <v>1.8050520788666646E-2</v>
      </c>
      <c r="I97" s="79">
        <f>'Catering MMC'!I97+'Catering BBC'!I97</f>
        <v>23083.006704483199</v>
      </c>
      <c r="J97" s="80">
        <f t="shared" si="33"/>
        <v>1.7657159140221493E-2</v>
      </c>
      <c r="K97" s="79">
        <f>'Catering MMC'!K97+'Catering BBC'!K97</f>
        <v>23499.743094572867</v>
      </c>
      <c r="L97" s="80">
        <f t="shared" si="34"/>
        <v>1.7453312021364548E-2</v>
      </c>
      <c r="M97" s="79">
        <f>'Catering MMC'!M97+'Catering BBC'!M97</f>
        <v>23924.814212464327</v>
      </c>
      <c r="N97" s="80">
        <f t="shared" si="35"/>
        <v>1.7420601270724555E-2</v>
      </c>
      <c r="O97" s="79">
        <f>'Catering MMC'!O97+'Catering BBC'!O97</f>
        <v>24358.38675271361</v>
      </c>
      <c r="P97" s="80">
        <f t="shared" si="36"/>
        <v>1.7400953790758358E-2</v>
      </c>
      <c r="Q97" s="79">
        <f>'Catering MMC'!Q97+'Catering BBC'!Q97</f>
        <v>24800.630743767884</v>
      </c>
      <c r="R97" s="80">
        <f t="shared" si="37"/>
        <v>1.7375575399567515E-2</v>
      </c>
      <c r="S97" s="79">
        <f>'Catering MMC'!S97+'Catering BBC'!S97</f>
        <v>25251.719614643243</v>
      </c>
      <c r="T97" s="80">
        <f t="shared" si="38"/>
        <v>1.7344718503257747E-2</v>
      </c>
      <c r="U97" s="79">
        <f>'Catering MMC'!U97+'Catering BBC'!U97</f>
        <v>25711.83026293611</v>
      </c>
      <c r="V97" s="80">
        <f t="shared" si="29"/>
        <v>1.7314466644130524E-2</v>
      </c>
    </row>
    <row r="98" spans="1:22" ht="12.75" customHeight="1">
      <c r="A98" s="216" t="s">
        <v>444</v>
      </c>
      <c r="B98" s="215"/>
      <c r="C98" s="79">
        <f>'Catering MMC'!C98+'Catering BBC'!C98</f>
        <v>1394.1239999999998</v>
      </c>
      <c r="D98" s="80">
        <f t="shared" si="30"/>
        <v>1.1999999999999999E-3</v>
      </c>
      <c r="E98" s="79">
        <f>'Catering MMC'!E98+'Catering BBC'!E98</f>
        <v>1449.6064799999997</v>
      </c>
      <c r="F98" s="80">
        <f t="shared" si="31"/>
        <v>1.1999999999999999E-3</v>
      </c>
      <c r="G98" s="79">
        <f>'Catering MMC'!G98+'Catering BBC'!G98</f>
        <v>1507.3986096000001</v>
      </c>
      <c r="H98" s="80">
        <f t="shared" si="32"/>
        <v>1.1999999999999999E-3</v>
      </c>
      <c r="I98" s="79">
        <f>'Catering MMC'!I98+'Catering BBC'!I98</f>
        <v>1568.7465817919999</v>
      </c>
      <c r="J98" s="80">
        <f t="shared" si="33"/>
        <v>1.1999999999999999E-3</v>
      </c>
      <c r="K98" s="79">
        <f>'Catering MMC'!K98+'Catering BBC'!K98</f>
        <v>1615.7215134278401</v>
      </c>
      <c r="L98" s="80">
        <f t="shared" si="34"/>
        <v>1.2000000000000001E-3</v>
      </c>
      <c r="M98" s="79">
        <f>'Catering MMC'!M98+'Catering BBC'!M98</f>
        <v>1648.0359436963968</v>
      </c>
      <c r="N98" s="80">
        <f t="shared" si="35"/>
        <v>1.1999999999999999E-3</v>
      </c>
      <c r="O98" s="79">
        <f>'Catering MMC'!O98+'Catering BBC'!O98</f>
        <v>1679.7966625703248</v>
      </c>
      <c r="P98" s="80">
        <f t="shared" si="36"/>
        <v>1.1999999999999999E-3</v>
      </c>
      <c r="Q98" s="79">
        <f>'Catering MMC'!Q98+'Catering BBC'!Q98</f>
        <v>1712.7925958217311</v>
      </c>
      <c r="R98" s="80">
        <f t="shared" si="37"/>
        <v>1.1999999999999997E-3</v>
      </c>
      <c r="S98" s="79">
        <f>'Catering MMC'!S98+'Catering BBC'!S98</f>
        <v>1747.0484477381656</v>
      </c>
      <c r="T98" s="80">
        <f t="shared" si="38"/>
        <v>1.1999999999999997E-3</v>
      </c>
      <c r="U98" s="79">
        <f>'Catering MMC'!U98+'Catering BBC'!U98</f>
        <v>1781.9894166929291</v>
      </c>
      <c r="V98" s="80">
        <f t="shared" si="29"/>
        <v>1.1999999999999999E-3</v>
      </c>
    </row>
    <row r="99" spans="1:22" ht="12.75" customHeight="1">
      <c r="A99" s="216" t="s">
        <v>444</v>
      </c>
      <c r="B99" s="215"/>
      <c r="C99" s="79">
        <f>'Catering MMC'!C99+'Catering BBC'!C99</f>
        <v>0</v>
      </c>
      <c r="D99" s="80">
        <f t="shared" si="30"/>
        <v>0</v>
      </c>
      <c r="E99" s="79">
        <f>'Catering MMC'!E99+'Catering BBC'!E99</f>
        <v>0</v>
      </c>
      <c r="F99" s="80">
        <f t="shared" si="31"/>
        <v>0</v>
      </c>
      <c r="G99" s="79">
        <f>'Catering MMC'!G99+'Catering BBC'!G99</f>
        <v>0</v>
      </c>
      <c r="H99" s="80">
        <f t="shared" si="32"/>
        <v>0</v>
      </c>
      <c r="I99" s="79">
        <f>'Catering MMC'!I99+'Catering BBC'!I99</f>
        <v>0</v>
      </c>
      <c r="J99" s="80">
        <f t="shared" si="33"/>
        <v>0</v>
      </c>
      <c r="K99" s="79">
        <f>'Catering MMC'!K99+'Catering BBC'!K99</f>
        <v>0</v>
      </c>
      <c r="L99" s="80">
        <f t="shared" si="34"/>
        <v>0</v>
      </c>
      <c r="M99" s="79">
        <f>'Catering MMC'!M99+'Catering BBC'!M99</f>
        <v>0</v>
      </c>
      <c r="N99" s="80">
        <f t="shared" si="35"/>
        <v>0</v>
      </c>
      <c r="O99" s="79">
        <f>'Catering MMC'!O99+'Catering BBC'!O99</f>
        <v>0</v>
      </c>
      <c r="P99" s="80">
        <f t="shared" si="36"/>
        <v>0</v>
      </c>
      <c r="Q99" s="79">
        <f>'Catering MMC'!Q99+'Catering BBC'!Q99</f>
        <v>0</v>
      </c>
      <c r="R99" s="80">
        <f t="shared" si="37"/>
        <v>0</v>
      </c>
      <c r="S99" s="79">
        <f>'Catering MMC'!S99+'Catering BBC'!S99</f>
        <v>0</v>
      </c>
      <c r="T99" s="80">
        <f t="shared" si="38"/>
        <v>0</v>
      </c>
      <c r="U99" s="79">
        <f>'Catering MMC'!U99+'Catering BBC'!U99</f>
        <v>0</v>
      </c>
      <c r="V99" s="80">
        <f t="shared" si="29"/>
        <v>0</v>
      </c>
    </row>
    <row r="100" spans="1:22" ht="12.75" customHeight="1">
      <c r="A100" s="216" t="s">
        <v>444</v>
      </c>
      <c r="B100" s="215"/>
      <c r="C100" s="79">
        <f>'Catering MMC'!C100+'Catering BBC'!C100</f>
        <v>0</v>
      </c>
      <c r="D100" s="80">
        <f t="shared" si="30"/>
        <v>0</v>
      </c>
      <c r="E100" s="79">
        <f>'Catering MMC'!E100+'Catering BBC'!E100</f>
        <v>0</v>
      </c>
      <c r="F100" s="80">
        <f t="shared" si="31"/>
        <v>0</v>
      </c>
      <c r="G100" s="79">
        <f>'Catering MMC'!G100+'Catering BBC'!G100</f>
        <v>0</v>
      </c>
      <c r="H100" s="80">
        <f t="shared" si="32"/>
        <v>0</v>
      </c>
      <c r="I100" s="79">
        <f>'Catering MMC'!I100+'Catering BBC'!I100</f>
        <v>0</v>
      </c>
      <c r="J100" s="80">
        <f t="shared" si="33"/>
        <v>0</v>
      </c>
      <c r="K100" s="79">
        <f>'Catering MMC'!K100+'Catering BBC'!K100</f>
        <v>0</v>
      </c>
      <c r="L100" s="80">
        <f t="shared" si="34"/>
        <v>0</v>
      </c>
      <c r="M100" s="79">
        <f>'Catering MMC'!M100+'Catering BBC'!M100</f>
        <v>0</v>
      </c>
      <c r="N100" s="80">
        <f t="shared" si="35"/>
        <v>0</v>
      </c>
      <c r="O100" s="79">
        <f>'Catering MMC'!O100+'Catering BBC'!O100</f>
        <v>0</v>
      </c>
      <c r="P100" s="80">
        <f t="shared" si="36"/>
        <v>0</v>
      </c>
      <c r="Q100" s="79">
        <f>'Catering MMC'!Q100+'Catering BBC'!Q100</f>
        <v>0</v>
      </c>
      <c r="R100" s="80">
        <f t="shared" si="37"/>
        <v>0</v>
      </c>
      <c r="S100" s="79">
        <f>'Catering MMC'!S100+'Catering BBC'!S100</f>
        <v>0</v>
      </c>
      <c r="T100" s="80">
        <f t="shared" si="38"/>
        <v>0</v>
      </c>
      <c r="U100" s="79">
        <f>'Catering MMC'!U100+'Catering BBC'!U100</f>
        <v>0</v>
      </c>
      <c r="V100" s="80">
        <f t="shared" si="29"/>
        <v>0</v>
      </c>
    </row>
    <row r="101" spans="1:22" ht="12.75" customHeight="1">
      <c r="A101" s="214" t="s">
        <v>445</v>
      </c>
      <c r="B101" s="215"/>
      <c r="C101" s="79">
        <f>'Catering MMC'!C101+'Catering BBC'!C101</f>
        <v>0</v>
      </c>
      <c r="D101" s="80">
        <f t="shared" si="30"/>
        <v>0</v>
      </c>
      <c r="E101" s="79">
        <f>'Catering MMC'!E101+'Catering BBC'!E101</f>
        <v>0</v>
      </c>
      <c r="F101" s="80">
        <f t="shared" si="31"/>
        <v>0</v>
      </c>
      <c r="G101" s="79">
        <f>'Catering MMC'!G101+'Catering BBC'!G101</f>
        <v>0</v>
      </c>
      <c r="H101" s="80">
        <f t="shared" si="32"/>
        <v>0</v>
      </c>
      <c r="I101" s="79">
        <f>'Catering MMC'!I101+'Catering BBC'!I101</f>
        <v>0</v>
      </c>
      <c r="J101" s="80">
        <f t="shared" si="33"/>
        <v>0</v>
      </c>
      <c r="K101" s="79">
        <f>'Catering MMC'!K101+'Catering BBC'!K101</f>
        <v>0</v>
      </c>
      <c r="L101" s="80">
        <f t="shared" si="34"/>
        <v>0</v>
      </c>
      <c r="M101" s="79">
        <f>'Catering MMC'!M101+'Catering BBC'!M101</f>
        <v>0</v>
      </c>
      <c r="N101" s="80">
        <f t="shared" si="35"/>
        <v>0</v>
      </c>
      <c r="O101" s="79">
        <f>'Catering MMC'!O101+'Catering BBC'!O101</f>
        <v>0</v>
      </c>
      <c r="P101" s="80">
        <f t="shared" si="36"/>
        <v>0</v>
      </c>
      <c r="Q101" s="79">
        <f>'Catering MMC'!Q101+'Catering BBC'!Q101</f>
        <v>0</v>
      </c>
      <c r="R101" s="80">
        <f t="shared" si="37"/>
        <v>0</v>
      </c>
      <c r="S101" s="79">
        <f>'Catering MMC'!S101+'Catering BBC'!S101</f>
        <v>0</v>
      </c>
      <c r="T101" s="80">
        <f t="shared" si="38"/>
        <v>0</v>
      </c>
      <c r="U101" s="79">
        <f>'Catering MMC'!U101+'Catering BBC'!U101</f>
        <v>0</v>
      </c>
      <c r="V101" s="80">
        <f t="shared" si="29"/>
        <v>0</v>
      </c>
    </row>
    <row r="102" spans="1:22" ht="12.75" customHeight="1">
      <c r="A102" s="216" t="s">
        <v>446</v>
      </c>
      <c r="B102" s="215"/>
      <c r="C102" s="79">
        <f>'Catering MMC'!C102+'Catering BBC'!C102</f>
        <v>11617.7</v>
      </c>
      <c r="D102" s="80">
        <f t="shared" si="30"/>
        <v>0.01</v>
      </c>
      <c r="E102" s="79">
        <f>'Catering MMC'!E102+'Catering BBC'!E102</f>
        <v>12080.054</v>
      </c>
      <c r="F102" s="80">
        <f t="shared" si="31"/>
        <v>0.01</v>
      </c>
      <c r="G102" s="79">
        <f>'Catering MMC'!G102+'Catering BBC'!G102</f>
        <v>12561.655080000002</v>
      </c>
      <c r="H102" s="80">
        <f t="shared" si="32"/>
        <v>0.01</v>
      </c>
      <c r="I102" s="79">
        <f>'Catering MMC'!I102+'Catering BBC'!I102</f>
        <v>13072.888181600003</v>
      </c>
      <c r="J102" s="80">
        <f t="shared" si="33"/>
        <v>1.0000000000000002E-2</v>
      </c>
      <c r="K102" s="79">
        <f>'Catering MMC'!K102+'Catering BBC'!K102</f>
        <v>13464.345945232002</v>
      </c>
      <c r="L102" s="80">
        <f t="shared" si="34"/>
        <v>1.0000000000000002E-2</v>
      </c>
      <c r="M102" s="79">
        <f>'Catering MMC'!M102+'Catering BBC'!M102</f>
        <v>13733.632864136642</v>
      </c>
      <c r="N102" s="80">
        <f t="shared" si="35"/>
        <v>1.0000000000000002E-2</v>
      </c>
      <c r="O102" s="79">
        <f>'Catering MMC'!O102+'Catering BBC'!O102</f>
        <v>13998.305521419374</v>
      </c>
      <c r="P102" s="80">
        <f t="shared" si="36"/>
        <v>0.01</v>
      </c>
      <c r="Q102" s="79">
        <f>'Catering MMC'!Q102+'Catering BBC'!Q102</f>
        <v>14273.271631847761</v>
      </c>
      <c r="R102" s="80">
        <f t="shared" si="37"/>
        <v>0.01</v>
      </c>
      <c r="S102" s="79">
        <f>'Catering MMC'!S102+'Catering BBC'!S102</f>
        <v>14558.737064484716</v>
      </c>
      <c r="T102" s="80">
        <f t="shared" si="38"/>
        <v>0.01</v>
      </c>
      <c r="U102" s="79">
        <f>'Catering MMC'!U102+'Catering BBC'!U102</f>
        <v>14849.911805774409</v>
      </c>
      <c r="V102" s="80">
        <f t="shared" si="29"/>
        <v>9.9999999999999985E-3</v>
      </c>
    </row>
    <row r="103" spans="1:22" ht="12.75" customHeight="1">
      <c r="A103" s="216" t="s">
        <v>446</v>
      </c>
      <c r="B103" s="215"/>
      <c r="C103" s="79">
        <f>'Catering MMC'!C103+'Catering BBC'!C103</f>
        <v>0</v>
      </c>
      <c r="D103" s="80">
        <f t="shared" si="30"/>
        <v>0</v>
      </c>
      <c r="E103" s="79">
        <f>'Catering MMC'!E103+'Catering BBC'!E103</f>
        <v>0</v>
      </c>
      <c r="F103" s="80">
        <f t="shared" si="31"/>
        <v>0</v>
      </c>
      <c r="G103" s="79">
        <f>'Catering MMC'!G103+'Catering BBC'!G103</f>
        <v>0</v>
      </c>
      <c r="H103" s="80">
        <f t="shared" si="32"/>
        <v>0</v>
      </c>
      <c r="I103" s="79">
        <f>'Catering MMC'!I103+'Catering BBC'!I103</f>
        <v>0</v>
      </c>
      <c r="J103" s="80">
        <f t="shared" si="33"/>
        <v>0</v>
      </c>
      <c r="K103" s="79">
        <f>'Catering MMC'!K103+'Catering BBC'!K103</f>
        <v>0</v>
      </c>
      <c r="L103" s="80">
        <f t="shared" si="34"/>
        <v>0</v>
      </c>
      <c r="M103" s="79">
        <f>'Catering MMC'!M103+'Catering BBC'!M103</f>
        <v>0</v>
      </c>
      <c r="N103" s="80">
        <f t="shared" si="35"/>
        <v>0</v>
      </c>
      <c r="O103" s="79">
        <f>'Catering MMC'!O103+'Catering BBC'!O103</f>
        <v>0</v>
      </c>
      <c r="P103" s="80">
        <f t="shared" si="36"/>
        <v>0</v>
      </c>
      <c r="Q103" s="79">
        <f>'Catering MMC'!Q103+'Catering BBC'!Q103</f>
        <v>0</v>
      </c>
      <c r="R103" s="80">
        <f t="shared" si="37"/>
        <v>0</v>
      </c>
      <c r="S103" s="79">
        <f>'Catering MMC'!S103+'Catering BBC'!S103</f>
        <v>0</v>
      </c>
      <c r="T103" s="80">
        <f t="shared" si="38"/>
        <v>0</v>
      </c>
      <c r="U103" s="79">
        <f>'Catering MMC'!U103+'Catering BBC'!U103</f>
        <v>0</v>
      </c>
      <c r="V103" s="80">
        <f t="shared" si="29"/>
        <v>0</v>
      </c>
    </row>
    <row r="104" spans="1:22" ht="12.75" customHeight="1">
      <c r="A104" s="216" t="s">
        <v>446</v>
      </c>
      <c r="B104" s="217"/>
      <c r="C104" s="81">
        <f>'Catering MMC'!C104+'Catering BBC'!C104</f>
        <v>0</v>
      </c>
      <c r="D104" s="80">
        <f t="shared" si="30"/>
        <v>0</v>
      </c>
      <c r="E104" s="81">
        <f>'Catering MMC'!E104+'Catering BBC'!E104</f>
        <v>0</v>
      </c>
      <c r="F104" s="80">
        <f t="shared" si="31"/>
        <v>0</v>
      </c>
      <c r="G104" s="81">
        <f>'Catering MMC'!G104+'Catering BBC'!G104</f>
        <v>0</v>
      </c>
      <c r="H104" s="80">
        <f t="shared" si="32"/>
        <v>0</v>
      </c>
      <c r="I104" s="81">
        <f>'Catering MMC'!I104+'Catering BBC'!I104</f>
        <v>0</v>
      </c>
      <c r="J104" s="80">
        <f t="shared" si="33"/>
        <v>0</v>
      </c>
      <c r="K104" s="81">
        <f>'Catering MMC'!K104+'Catering BBC'!K104</f>
        <v>0</v>
      </c>
      <c r="L104" s="80">
        <f t="shared" si="34"/>
        <v>0</v>
      </c>
      <c r="M104" s="81">
        <f>'Catering MMC'!M104+'Catering BBC'!M104</f>
        <v>0</v>
      </c>
      <c r="N104" s="80">
        <f t="shared" si="35"/>
        <v>0</v>
      </c>
      <c r="O104" s="81">
        <f>'Catering MMC'!O104+'Catering BBC'!O104</f>
        <v>0</v>
      </c>
      <c r="P104" s="80">
        <f t="shared" si="36"/>
        <v>0</v>
      </c>
      <c r="Q104" s="81">
        <f>'Catering MMC'!Q104+'Catering BBC'!Q104</f>
        <v>0</v>
      </c>
      <c r="R104" s="80">
        <f t="shared" si="37"/>
        <v>0</v>
      </c>
      <c r="S104" s="81">
        <f>'Catering MMC'!S104+'Catering BBC'!S104</f>
        <v>0</v>
      </c>
      <c r="T104" s="80">
        <f t="shared" si="38"/>
        <v>0</v>
      </c>
      <c r="U104" s="81">
        <f>'Catering MMC'!U104+'Catering BBC'!U104</f>
        <v>0</v>
      </c>
      <c r="V104" s="80">
        <f t="shared" si="29"/>
        <v>0</v>
      </c>
    </row>
    <row r="105" spans="1:22" ht="12.75" customHeight="1">
      <c r="A105" s="1" t="s">
        <v>447</v>
      </c>
      <c r="B105" s="53"/>
      <c r="C105" s="82">
        <f>SUM(C52:C104)</f>
        <v>128968.12717193458</v>
      </c>
      <c r="D105" s="83">
        <f t="shared" si="30"/>
        <v>0.11101003397568759</v>
      </c>
      <c r="E105" s="82">
        <f>SUM(E52:E104)</f>
        <v>133839.57788906887</v>
      </c>
      <c r="F105" s="83">
        <f t="shared" si="31"/>
        <v>0.11079385728662212</v>
      </c>
      <c r="G105" s="82">
        <f>SUM(G52:G104)</f>
        <v>138523.82355166826</v>
      </c>
      <c r="H105" s="83">
        <f t="shared" si="32"/>
        <v>0.11027513704959031</v>
      </c>
      <c r="I105" s="82">
        <f>SUM(I52:I104)</f>
        <v>143688.21860356512</v>
      </c>
      <c r="J105" s="83">
        <f t="shared" si="33"/>
        <v>0.10991313978024023</v>
      </c>
      <c r="K105" s="82">
        <f>SUM(K52:K104)</f>
        <v>147665.57029832629</v>
      </c>
      <c r="L105" s="83">
        <f t="shared" si="34"/>
        <v>0.10967155099770567</v>
      </c>
      <c r="M105" s="82">
        <f>SUM(M52:M104)</f>
        <v>150602.22435300937</v>
      </c>
      <c r="N105" s="83">
        <f t="shared" si="35"/>
        <v>0.10965942212295837</v>
      </c>
      <c r="O105" s="82">
        <f>SUM(O52:O104)</f>
        <v>153512.39745028527</v>
      </c>
      <c r="P105" s="83">
        <f t="shared" si="36"/>
        <v>0.10966498567658045</v>
      </c>
      <c r="Q105" s="82">
        <f>SUM(Q52:Q104)</f>
        <v>156542.95619783096</v>
      </c>
      <c r="R105" s="83">
        <f t="shared" si="37"/>
        <v>0.10967559522130774</v>
      </c>
      <c r="S105" s="82">
        <f>SUM(S52:S104)</f>
        <v>159680.00585762516</v>
      </c>
      <c r="T105" s="83">
        <f t="shared" si="38"/>
        <v>0.10967984733178282</v>
      </c>
      <c r="U105" s="82">
        <f>SUM(U52:U104)</f>
        <v>162884.39454555605</v>
      </c>
      <c r="V105" s="83">
        <f t="shared" si="29"/>
        <v>0.10968711240575732</v>
      </c>
    </row>
    <row r="106" spans="1:22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2" ht="12.75" customHeight="1">
      <c r="A107" s="1" t="s">
        <v>448</v>
      </c>
      <c r="B107" s="53"/>
      <c r="C107" s="82">
        <f>C28-C33-C46-C105</f>
        <v>39468.216828065342</v>
      </c>
      <c r="D107" s="83">
        <f>IFERROR(C107/C$28,0)</f>
        <v>3.3972487521682727E-2</v>
      </c>
      <c r="E107" s="82">
        <f>E28-E33-E46-E105</f>
        <v>54380.642430931097</v>
      </c>
      <c r="F107" s="83">
        <f>IFERROR(E107/E$28,0)</f>
        <v>4.5016886870647352E-2</v>
      </c>
      <c r="G107" s="82">
        <f>G28-G33-G46-G105</f>
        <v>70535.950614731817</v>
      </c>
      <c r="H107" s="83">
        <f>IFERROR(G107/G$28,0)</f>
        <v>5.6151797008847509E-2</v>
      </c>
      <c r="I107" s="82">
        <f>I28-I33-I46-I105</f>
        <v>87947.900486162864</v>
      </c>
      <c r="J107" s="83">
        <f>IFERROR(I107/I$28,0)</f>
        <v>6.7275034609374937E-2</v>
      </c>
      <c r="K107" s="82">
        <f>K28-K33-K46-K105</f>
        <v>98418.420613196125</v>
      </c>
      <c r="L107" s="83">
        <f>IFERROR(K107/K$28,0)</f>
        <v>7.3095582223990679E-2</v>
      </c>
      <c r="M107" s="82">
        <f>M28-M33-M46-M105</f>
        <v>101638.59581674344</v>
      </c>
      <c r="N107" s="83">
        <f>IFERROR(M107/M$28,0)</f>
        <v>7.4007072143422198E-2</v>
      </c>
      <c r="O107" s="82">
        <f>O28-O33-O46-O105</f>
        <v>104348.38856286288</v>
      </c>
      <c r="P107" s="83">
        <f>IFERROR(O107/O$28,0)</f>
        <v>7.4543585581265656E-2</v>
      </c>
      <c r="Q107" s="82">
        <f>Q28-Q33-Q46-Q105</f>
        <v>107380.19497557997</v>
      </c>
      <c r="R107" s="83">
        <f>IFERROR(Q107/Q$28,0)</f>
        <v>7.5231662190176476E-2</v>
      </c>
      <c r="S107" s="82">
        <f>S28-S33-S46-S105</f>
        <v>110756.75777925388</v>
      </c>
      <c r="T107" s="83">
        <f>IFERROR(S107/S$28,0)</f>
        <v>7.6075800592236287E-2</v>
      </c>
      <c r="U107" s="82">
        <f>U28-U33-U46-U105</f>
        <v>114196.25380406075</v>
      </c>
      <c r="V107" s="83">
        <f>IFERROR(U107/U$28,0)</f>
        <v>7.6900290922707948E-2</v>
      </c>
    </row>
    <row r="108" spans="1:22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2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2" ht="12.75" customHeight="1">
      <c r="A110" s="40" t="s">
        <v>449</v>
      </c>
      <c r="B110" s="40"/>
      <c r="C110" s="86" t="str">
        <f>C50</f>
        <v>FY 2018-19</v>
      </c>
      <c r="D110" s="86" t="s">
        <v>366</v>
      </c>
      <c r="E110" s="86" t="str">
        <f>E50</f>
        <v>FY 2019-20</v>
      </c>
      <c r="F110" s="86" t="s">
        <v>366</v>
      </c>
      <c r="G110" s="86" t="str">
        <f>G50</f>
        <v>FY 2020-21</v>
      </c>
      <c r="H110" s="86" t="s">
        <v>366</v>
      </c>
      <c r="I110" s="86" t="str">
        <f>I50</f>
        <v>FY 2021-22</v>
      </c>
      <c r="J110" s="86" t="s">
        <v>366</v>
      </c>
      <c r="K110" s="86" t="str">
        <f>K50</f>
        <v>FY 2022-23</v>
      </c>
      <c r="L110" s="86" t="s">
        <v>366</v>
      </c>
      <c r="M110" s="86" t="str">
        <f>M50</f>
        <v>FY 2023-24</v>
      </c>
      <c r="N110" s="86" t="s">
        <v>366</v>
      </c>
      <c r="O110" s="86" t="str">
        <f>O50</f>
        <v>FY 2024-25</v>
      </c>
      <c r="P110" s="86" t="s">
        <v>366</v>
      </c>
      <c r="Q110" s="86" t="str">
        <f>Q50</f>
        <v>FY 2025-26</v>
      </c>
      <c r="R110" s="86" t="s">
        <v>366</v>
      </c>
      <c r="S110" s="86" t="str">
        <f>S50</f>
        <v>FY 2026-27</v>
      </c>
      <c r="T110" s="86" t="s">
        <v>366</v>
      </c>
      <c r="U110" s="86" t="str">
        <f>U50</f>
        <v>FY 2027-28</v>
      </c>
      <c r="V110" s="86" t="s">
        <v>366</v>
      </c>
    </row>
    <row r="111" spans="1:22" ht="12.75" customHeight="1">
      <c r="A111" s="2" t="s">
        <v>403</v>
      </c>
      <c r="B111" s="35"/>
      <c r="C111" s="84">
        <f>'Catering MMC'!C111+'Catering BBC'!C111</f>
        <v>0</v>
      </c>
      <c r="D111" s="80">
        <f t="shared" ref="D111:D116" si="39">IFERROR(C111/C$28,0)</f>
        <v>0</v>
      </c>
      <c r="E111" s="84">
        <f>'Catering MMC'!E111+'Catering BBC'!E111</f>
        <v>0</v>
      </c>
      <c r="F111" s="80">
        <f t="shared" ref="F111:F116" si="40">IFERROR(E111/E$28,0)</f>
        <v>0</v>
      </c>
      <c r="G111" s="84">
        <f>'Catering MMC'!G111+'Catering BBC'!G111</f>
        <v>0</v>
      </c>
      <c r="H111" s="80">
        <f t="shared" ref="H111:H116" si="41">IFERROR(G111/G$28,0)</f>
        <v>0</v>
      </c>
      <c r="I111" s="84">
        <f>'Catering MMC'!I111+'Catering BBC'!I111</f>
        <v>0</v>
      </c>
      <c r="J111" s="80">
        <f t="shared" ref="J111:J116" si="42">IFERROR(I111/I$28,0)</f>
        <v>0</v>
      </c>
      <c r="K111" s="84">
        <f>'Catering MMC'!K111+'Catering BBC'!K111</f>
        <v>0</v>
      </c>
      <c r="L111" s="80">
        <f t="shared" ref="L111:L116" si="43">IFERROR(K111/K$28,0)</f>
        <v>0</v>
      </c>
      <c r="M111" s="84">
        <f>'Catering MMC'!M111+'Catering BBC'!M111</f>
        <v>0</v>
      </c>
      <c r="N111" s="80">
        <f t="shared" ref="N111:N116" si="44">IFERROR(M111/M$28,0)</f>
        <v>0</v>
      </c>
      <c r="O111" s="84">
        <f>'Catering MMC'!O111+'Catering BBC'!O111</f>
        <v>0</v>
      </c>
      <c r="P111" s="80">
        <f t="shared" ref="P111:P116" si="45">IFERROR(O111/O$28,0)</f>
        <v>0</v>
      </c>
      <c r="Q111" s="84">
        <f>'Catering MMC'!Q111+'Catering BBC'!Q111</f>
        <v>0</v>
      </c>
      <c r="R111" s="80">
        <f t="shared" ref="R111:R116" si="46">IFERROR(Q111/Q$28,0)</f>
        <v>0</v>
      </c>
      <c r="S111" s="84">
        <f>'Catering MMC'!S111+'Catering BBC'!S111</f>
        <v>0</v>
      </c>
      <c r="T111" s="80">
        <f t="shared" ref="T111:T116" si="47">IFERROR(S111/S$28,0)</f>
        <v>0</v>
      </c>
      <c r="U111" s="84">
        <f>'Catering MMC'!U111+'Catering BBC'!U111</f>
        <v>0</v>
      </c>
      <c r="V111" s="80">
        <f t="shared" ref="V111:V116" si="48">IFERROR(U111/U$28,0)</f>
        <v>0</v>
      </c>
    </row>
    <row r="112" spans="1:22" ht="12.75" customHeight="1">
      <c r="A112" s="2" t="s">
        <v>450</v>
      </c>
      <c r="B112" s="35"/>
      <c r="C112" s="79">
        <f>'Catering MMC'!C112+'Catering BBC'!C112</f>
        <v>0</v>
      </c>
      <c r="D112" s="80">
        <f t="shared" si="39"/>
        <v>0</v>
      </c>
      <c r="E112" s="79">
        <f>'Catering MMC'!E112+'Catering BBC'!E112</f>
        <v>0</v>
      </c>
      <c r="F112" s="80">
        <f t="shared" si="40"/>
        <v>0</v>
      </c>
      <c r="G112" s="79">
        <f>'Catering MMC'!G112+'Catering BBC'!G112</f>
        <v>0</v>
      </c>
      <c r="H112" s="80">
        <f t="shared" si="41"/>
        <v>0</v>
      </c>
      <c r="I112" s="79">
        <f>'Catering MMC'!I112+'Catering BBC'!I112</f>
        <v>0</v>
      </c>
      <c r="J112" s="80">
        <f t="shared" si="42"/>
        <v>0</v>
      </c>
      <c r="K112" s="79">
        <f>'Catering MMC'!K112+'Catering BBC'!K112</f>
        <v>0</v>
      </c>
      <c r="L112" s="80">
        <f t="shared" si="43"/>
        <v>0</v>
      </c>
      <c r="M112" s="79">
        <f>'Catering MMC'!M112+'Catering BBC'!M112</f>
        <v>0</v>
      </c>
      <c r="N112" s="80">
        <f t="shared" si="44"/>
        <v>0</v>
      </c>
      <c r="O112" s="79">
        <f>'Catering MMC'!O112+'Catering BBC'!O112</f>
        <v>0</v>
      </c>
      <c r="P112" s="80">
        <f t="shared" si="45"/>
        <v>0</v>
      </c>
      <c r="Q112" s="79">
        <f>'Catering MMC'!Q112+'Catering BBC'!Q112</f>
        <v>0</v>
      </c>
      <c r="R112" s="80">
        <f t="shared" si="46"/>
        <v>0</v>
      </c>
      <c r="S112" s="79">
        <f>'Catering MMC'!S112+'Catering BBC'!S112</f>
        <v>0</v>
      </c>
      <c r="T112" s="80">
        <f t="shared" si="47"/>
        <v>0</v>
      </c>
      <c r="U112" s="79">
        <f>'Catering MMC'!U112+'Catering BBC'!U112</f>
        <v>0</v>
      </c>
      <c r="V112" s="80">
        <f t="shared" si="48"/>
        <v>0</v>
      </c>
    </row>
    <row r="113" spans="1:22" ht="12.75" customHeight="1">
      <c r="A113" s="117" t="s">
        <v>446</v>
      </c>
      <c r="B113" s="41"/>
      <c r="C113" s="79">
        <f>'Catering MMC'!C113+'Catering BBC'!C113</f>
        <v>0</v>
      </c>
      <c r="D113" s="80">
        <f t="shared" si="39"/>
        <v>0</v>
      </c>
      <c r="E113" s="79">
        <f>'Catering MMC'!E113+'Catering BBC'!E113</f>
        <v>0</v>
      </c>
      <c r="F113" s="80">
        <f t="shared" si="40"/>
        <v>0</v>
      </c>
      <c r="G113" s="79">
        <f>'Catering MMC'!G113+'Catering BBC'!G113</f>
        <v>0</v>
      </c>
      <c r="H113" s="80">
        <f t="shared" si="41"/>
        <v>0</v>
      </c>
      <c r="I113" s="79">
        <f>'Catering MMC'!I113+'Catering BBC'!I113</f>
        <v>0</v>
      </c>
      <c r="J113" s="80">
        <f t="shared" si="42"/>
        <v>0</v>
      </c>
      <c r="K113" s="79">
        <f>'Catering MMC'!K113+'Catering BBC'!K113</f>
        <v>0</v>
      </c>
      <c r="L113" s="80">
        <f t="shared" si="43"/>
        <v>0</v>
      </c>
      <c r="M113" s="79">
        <f>'Catering MMC'!M113+'Catering BBC'!M113</f>
        <v>0</v>
      </c>
      <c r="N113" s="80">
        <f t="shared" si="44"/>
        <v>0</v>
      </c>
      <c r="O113" s="79">
        <f>'Catering MMC'!O113+'Catering BBC'!O113</f>
        <v>0</v>
      </c>
      <c r="P113" s="80">
        <f t="shared" si="45"/>
        <v>0</v>
      </c>
      <c r="Q113" s="79">
        <f>'Catering MMC'!Q113+'Catering BBC'!Q113</f>
        <v>0</v>
      </c>
      <c r="R113" s="80">
        <f t="shared" si="46"/>
        <v>0</v>
      </c>
      <c r="S113" s="79">
        <f>'Catering MMC'!S113+'Catering BBC'!S113</f>
        <v>0</v>
      </c>
      <c r="T113" s="80">
        <f t="shared" si="47"/>
        <v>0</v>
      </c>
      <c r="U113" s="79">
        <f>'Catering MMC'!U113+'Catering BBC'!U113</f>
        <v>0</v>
      </c>
      <c r="V113" s="80">
        <f t="shared" si="48"/>
        <v>0</v>
      </c>
    </row>
    <row r="114" spans="1:22" ht="12.75" customHeight="1">
      <c r="A114" s="117" t="s">
        <v>446</v>
      </c>
      <c r="B114" s="41"/>
      <c r="C114" s="79">
        <f>'Catering MMC'!C114+'Catering BBC'!C114</f>
        <v>0</v>
      </c>
      <c r="D114" s="80">
        <f t="shared" si="39"/>
        <v>0</v>
      </c>
      <c r="E114" s="79">
        <f>'Catering MMC'!E114+'Catering BBC'!E114</f>
        <v>0</v>
      </c>
      <c r="F114" s="80">
        <f t="shared" si="40"/>
        <v>0</v>
      </c>
      <c r="G114" s="79">
        <f>'Catering MMC'!G114+'Catering BBC'!G114</f>
        <v>0</v>
      </c>
      <c r="H114" s="80">
        <f t="shared" si="41"/>
        <v>0</v>
      </c>
      <c r="I114" s="79">
        <f>'Catering MMC'!I114+'Catering BBC'!I114</f>
        <v>0</v>
      </c>
      <c r="J114" s="80">
        <f t="shared" si="42"/>
        <v>0</v>
      </c>
      <c r="K114" s="79">
        <f>'Catering MMC'!K114+'Catering BBC'!K114</f>
        <v>0</v>
      </c>
      <c r="L114" s="80">
        <f t="shared" si="43"/>
        <v>0</v>
      </c>
      <c r="M114" s="79">
        <f>'Catering MMC'!M114+'Catering BBC'!M114</f>
        <v>0</v>
      </c>
      <c r="N114" s="80">
        <f t="shared" si="44"/>
        <v>0</v>
      </c>
      <c r="O114" s="79">
        <f>'Catering MMC'!O114+'Catering BBC'!O114</f>
        <v>0</v>
      </c>
      <c r="P114" s="80">
        <f t="shared" si="45"/>
        <v>0</v>
      </c>
      <c r="Q114" s="79">
        <f>'Catering MMC'!Q114+'Catering BBC'!Q114</f>
        <v>0</v>
      </c>
      <c r="R114" s="80">
        <f t="shared" si="46"/>
        <v>0</v>
      </c>
      <c r="S114" s="79">
        <f>'Catering MMC'!S114+'Catering BBC'!S114</f>
        <v>0</v>
      </c>
      <c r="T114" s="80">
        <f t="shared" si="47"/>
        <v>0</v>
      </c>
      <c r="U114" s="79">
        <f>'Catering MMC'!U114+'Catering BBC'!U114</f>
        <v>0</v>
      </c>
      <c r="V114" s="80">
        <f t="shared" si="48"/>
        <v>0</v>
      </c>
    </row>
    <row r="115" spans="1:22" ht="12.75" customHeight="1">
      <c r="A115" s="117" t="s">
        <v>446</v>
      </c>
      <c r="B115" s="41"/>
      <c r="C115" s="81">
        <f>'Catering MMC'!C115+'Catering BBC'!C115</f>
        <v>0</v>
      </c>
      <c r="D115" s="80">
        <f t="shared" si="39"/>
        <v>0</v>
      </c>
      <c r="E115" s="81">
        <f>'Catering MMC'!E115+'Catering BBC'!E115</f>
        <v>0</v>
      </c>
      <c r="F115" s="80">
        <f t="shared" si="40"/>
        <v>0</v>
      </c>
      <c r="G115" s="81">
        <f>'Catering MMC'!G115+'Catering BBC'!G115</f>
        <v>0</v>
      </c>
      <c r="H115" s="80">
        <f t="shared" si="41"/>
        <v>0</v>
      </c>
      <c r="I115" s="81">
        <f>'Catering MMC'!I115+'Catering BBC'!I115</f>
        <v>0</v>
      </c>
      <c r="J115" s="80">
        <f t="shared" si="42"/>
        <v>0</v>
      </c>
      <c r="K115" s="81">
        <f>'Catering MMC'!K115+'Catering BBC'!K115</f>
        <v>0</v>
      </c>
      <c r="L115" s="80">
        <f t="shared" si="43"/>
        <v>0</v>
      </c>
      <c r="M115" s="81">
        <f>'Catering MMC'!M115+'Catering BBC'!M115</f>
        <v>0</v>
      </c>
      <c r="N115" s="80">
        <f t="shared" si="44"/>
        <v>0</v>
      </c>
      <c r="O115" s="81">
        <f>'Catering MMC'!O115+'Catering BBC'!O115</f>
        <v>0</v>
      </c>
      <c r="P115" s="80">
        <f t="shared" si="45"/>
        <v>0</v>
      </c>
      <c r="Q115" s="81">
        <f>'Catering MMC'!Q115+'Catering BBC'!Q115</f>
        <v>0</v>
      </c>
      <c r="R115" s="80">
        <f t="shared" si="46"/>
        <v>0</v>
      </c>
      <c r="S115" s="81">
        <f>'Catering MMC'!S115+'Catering BBC'!S115</f>
        <v>0</v>
      </c>
      <c r="T115" s="80">
        <f t="shared" si="47"/>
        <v>0</v>
      </c>
      <c r="U115" s="81">
        <f>'Catering MMC'!U115+'Catering BBC'!U115</f>
        <v>0</v>
      </c>
      <c r="V115" s="80">
        <f t="shared" si="48"/>
        <v>0</v>
      </c>
    </row>
    <row r="116" spans="1:22" ht="12.75" customHeight="1">
      <c r="A116" s="40" t="s">
        <v>451</v>
      </c>
      <c r="B116" s="42"/>
      <c r="C116" s="85">
        <f>SUM(C111:C115)</f>
        <v>0</v>
      </c>
      <c r="D116" s="83">
        <f t="shared" si="39"/>
        <v>0</v>
      </c>
      <c r="E116" s="85">
        <f>SUM(E111:E115)</f>
        <v>0</v>
      </c>
      <c r="F116" s="83">
        <f t="shared" si="40"/>
        <v>0</v>
      </c>
      <c r="G116" s="85">
        <f>SUM(G111:G115)</f>
        <v>0</v>
      </c>
      <c r="H116" s="83">
        <f t="shared" si="41"/>
        <v>0</v>
      </c>
      <c r="I116" s="85">
        <f>SUM(I111:I115)</f>
        <v>0</v>
      </c>
      <c r="J116" s="83">
        <f t="shared" si="42"/>
        <v>0</v>
      </c>
      <c r="K116" s="85">
        <f>SUM(K111:K115)</f>
        <v>0</v>
      </c>
      <c r="L116" s="83">
        <f t="shared" si="43"/>
        <v>0</v>
      </c>
      <c r="M116" s="85">
        <f>SUM(M111:M115)</f>
        <v>0</v>
      </c>
      <c r="N116" s="83">
        <f t="shared" si="44"/>
        <v>0</v>
      </c>
      <c r="O116" s="85">
        <f>SUM(O111:O115)</f>
        <v>0</v>
      </c>
      <c r="P116" s="83">
        <f t="shared" si="45"/>
        <v>0</v>
      </c>
      <c r="Q116" s="85">
        <f>SUM(Q111:Q115)</f>
        <v>0</v>
      </c>
      <c r="R116" s="83">
        <f t="shared" si="46"/>
        <v>0</v>
      </c>
      <c r="S116" s="85">
        <f>SUM(S111:S115)</f>
        <v>0</v>
      </c>
      <c r="T116" s="83">
        <f t="shared" si="47"/>
        <v>0</v>
      </c>
      <c r="U116" s="85">
        <f>SUM(U111:U115)</f>
        <v>0</v>
      </c>
      <c r="V116" s="83">
        <f t="shared" si="48"/>
        <v>0</v>
      </c>
    </row>
    <row r="118" spans="1:22" ht="12.75" customHeight="1">
      <c r="A118" s="43" t="s">
        <v>452</v>
      </c>
      <c r="B118" s="43"/>
    </row>
    <row r="119" spans="1:22" ht="12.75" customHeight="1">
      <c r="A119" s="47" t="s">
        <v>453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A1:G39"/>
  <sheetViews>
    <sheetView zoomScaleNormal="100" workbookViewId="0" xr3:uid="{F9CF3CF3-643B-5BE6-8B46-32C596A47465}">
      <selection activeCell="C6" sqref="C6"/>
    </sheetView>
  </sheetViews>
  <sheetFormatPr defaultColWidth="9.140625" defaultRowHeight="12.75"/>
  <cols>
    <col min="1" max="1" width="4.5703125" style="2" customWidth="1"/>
    <col min="2" max="2" width="5.5703125" style="2" customWidth="1"/>
    <col min="3" max="3" width="35.5703125" style="2" customWidth="1"/>
    <col min="4" max="4" width="1.5703125" style="2" customWidth="1"/>
    <col min="5" max="5" width="39.5703125" style="2" customWidth="1"/>
    <col min="6" max="6" width="1.5703125" style="2" customWidth="1"/>
    <col min="7" max="7" width="15.7109375" style="2" customWidth="1"/>
    <col min="8" max="16384" width="9.140625" style="2"/>
  </cols>
  <sheetData>
    <row r="1" spans="1:7">
      <c r="A1" s="1" t="s">
        <v>0</v>
      </c>
      <c r="C1" s="1"/>
    </row>
    <row r="2" spans="1:7">
      <c r="A2" s="1" t="s">
        <v>1</v>
      </c>
      <c r="C2" s="1"/>
    </row>
    <row r="3" spans="1:7">
      <c r="A3" s="1" t="s">
        <v>150</v>
      </c>
      <c r="C3" s="19"/>
    </row>
    <row r="4" spans="1:7">
      <c r="A4" s="1"/>
      <c r="C4" s="19"/>
    </row>
    <row r="5" spans="1:7">
      <c r="A5" s="1" t="s">
        <v>16</v>
      </c>
      <c r="C5" s="109" t="s">
        <v>17</v>
      </c>
    </row>
    <row r="6" spans="1:7">
      <c r="B6" s="1"/>
      <c r="C6" s="1"/>
    </row>
    <row r="7" spans="1:7">
      <c r="A7" s="107" t="s">
        <v>18</v>
      </c>
      <c r="B7" s="1" t="s">
        <v>151</v>
      </c>
      <c r="C7" s="1"/>
    </row>
    <row r="8" spans="1:7">
      <c r="B8" s="4" t="s">
        <v>152</v>
      </c>
      <c r="C8" s="4"/>
    </row>
    <row r="10" spans="1:7">
      <c r="B10" s="255" t="s">
        <v>151</v>
      </c>
      <c r="C10" s="256"/>
      <c r="D10" s="133"/>
      <c r="E10" s="86" t="s">
        <v>153</v>
      </c>
      <c r="F10" s="133"/>
      <c r="G10" s="86" t="s">
        <v>154</v>
      </c>
    </row>
    <row r="11" spans="1:7">
      <c r="B11" s="254" t="s">
        <v>155</v>
      </c>
      <c r="C11" s="254"/>
      <c r="E11" s="109" t="s">
        <v>156</v>
      </c>
      <c r="G11" s="142">
        <v>25000</v>
      </c>
    </row>
    <row r="12" spans="1:7" ht="25.5">
      <c r="B12" s="254" t="s">
        <v>155</v>
      </c>
      <c r="C12" s="254"/>
      <c r="E12" s="208" t="s">
        <v>157</v>
      </c>
      <c r="G12" s="142">
        <v>148000</v>
      </c>
    </row>
    <row r="13" spans="1:7">
      <c r="B13" s="254" t="s">
        <v>155</v>
      </c>
      <c r="C13" s="254"/>
      <c r="E13" s="109" t="s">
        <v>158</v>
      </c>
      <c r="G13" s="142">
        <v>103000</v>
      </c>
    </row>
    <row r="14" spans="1:7">
      <c r="B14" s="254"/>
      <c r="C14" s="254"/>
      <c r="E14" s="109"/>
      <c r="G14" s="142">
        <v>0</v>
      </c>
    </row>
    <row r="15" spans="1:7">
      <c r="B15" s="254"/>
      <c r="C15" s="254"/>
      <c r="E15" s="109"/>
      <c r="G15" s="142">
        <v>0</v>
      </c>
    </row>
    <row r="16" spans="1:7">
      <c r="B16" s="254"/>
      <c r="C16" s="254"/>
      <c r="E16" s="109"/>
      <c r="G16" s="142">
        <v>0</v>
      </c>
    </row>
    <row r="17" spans="2:7">
      <c r="B17" s="254"/>
      <c r="C17" s="254"/>
      <c r="E17" s="109"/>
      <c r="G17" s="142">
        <v>0</v>
      </c>
    </row>
    <row r="18" spans="2:7">
      <c r="B18" s="254"/>
      <c r="C18" s="254"/>
      <c r="E18" s="109"/>
      <c r="G18" s="142">
        <v>0</v>
      </c>
    </row>
    <row r="19" spans="2:7">
      <c r="B19" s="254"/>
      <c r="C19" s="254"/>
      <c r="E19" s="109"/>
      <c r="G19" s="142">
        <v>0</v>
      </c>
    </row>
    <row r="20" spans="2:7">
      <c r="B20" s="254"/>
      <c r="C20" s="254"/>
      <c r="E20" s="109"/>
      <c r="G20" s="142">
        <v>0</v>
      </c>
    </row>
    <row r="21" spans="2:7">
      <c r="B21" s="254"/>
      <c r="C21" s="254"/>
      <c r="E21" s="109"/>
      <c r="G21" s="142">
        <v>0</v>
      </c>
    </row>
    <row r="22" spans="2:7">
      <c r="B22" s="254"/>
      <c r="C22" s="254"/>
      <c r="E22" s="109"/>
      <c r="G22" s="142">
        <v>0</v>
      </c>
    </row>
    <row r="23" spans="2:7">
      <c r="B23" s="254"/>
      <c r="C23" s="254"/>
      <c r="E23" s="109"/>
      <c r="G23" s="142">
        <v>0</v>
      </c>
    </row>
    <row r="24" spans="2:7">
      <c r="B24" s="254"/>
      <c r="C24" s="254"/>
      <c r="E24" s="109"/>
      <c r="G24" s="142">
        <v>0</v>
      </c>
    </row>
    <row r="25" spans="2:7">
      <c r="B25" s="254"/>
      <c r="C25" s="254"/>
      <c r="E25" s="109"/>
      <c r="G25" s="142">
        <v>0</v>
      </c>
    </row>
    <row r="26" spans="2:7">
      <c r="B26" s="254"/>
      <c r="C26" s="254"/>
      <c r="E26" s="109"/>
      <c r="G26" s="142">
        <v>0</v>
      </c>
    </row>
    <row r="27" spans="2:7">
      <c r="B27" s="254"/>
      <c r="C27" s="254"/>
      <c r="E27" s="109"/>
      <c r="G27" s="142">
        <v>0</v>
      </c>
    </row>
    <row r="28" spans="2:7">
      <c r="B28" s="254"/>
      <c r="C28" s="254"/>
      <c r="E28" s="109"/>
      <c r="G28" s="142">
        <v>0</v>
      </c>
    </row>
    <row r="29" spans="2:7">
      <c r="B29" s="254"/>
      <c r="C29" s="254"/>
      <c r="E29" s="109"/>
      <c r="G29" s="142">
        <v>0</v>
      </c>
    </row>
    <row r="30" spans="2:7">
      <c r="B30" s="254"/>
      <c r="C30" s="254"/>
      <c r="E30" s="109"/>
      <c r="G30" s="142">
        <v>0</v>
      </c>
    </row>
    <row r="31" spans="2:7">
      <c r="B31" s="254"/>
      <c r="C31" s="254"/>
      <c r="E31" s="109"/>
      <c r="G31" s="142">
        <v>0</v>
      </c>
    </row>
    <row r="32" spans="2:7">
      <c r="B32" s="1" t="s">
        <v>159</v>
      </c>
      <c r="C32" s="1"/>
      <c r="G32" s="143">
        <f>SUM(G11:G31)</f>
        <v>276000</v>
      </c>
    </row>
    <row r="33" spans="2:7">
      <c r="G33" s="12"/>
    </row>
    <row r="34" spans="2:7">
      <c r="B34" s="44" t="s">
        <v>160</v>
      </c>
      <c r="C34" s="44"/>
    </row>
    <row r="35" spans="2:7">
      <c r="B35" s="2" t="s">
        <v>161</v>
      </c>
      <c r="G35" s="109"/>
    </row>
    <row r="36" spans="2:7">
      <c r="B36" s="2" t="s">
        <v>162</v>
      </c>
      <c r="G36" s="144" t="s">
        <v>163</v>
      </c>
    </row>
    <row r="38" spans="2:7">
      <c r="B38" s="4" t="s">
        <v>164</v>
      </c>
      <c r="C38" s="4"/>
    </row>
    <row r="39" spans="2:7">
      <c r="B39" s="4" t="s">
        <v>165</v>
      </c>
      <c r="C39" s="4"/>
    </row>
  </sheetData>
  <mergeCells count="22">
    <mergeCell ref="B28:C28"/>
    <mergeCell ref="B29:C29"/>
    <mergeCell ref="B30:C30"/>
    <mergeCell ref="B31:C31"/>
    <mergeCell ref="B10:C10"/>
    <mergeCell ref="B22:C22"/>
    <mergeCell ref="B23:C23"/>
    <mergeCell ref="B24:C24"/>
    <mergeCell ref="B25:C25"/>
    <mergeCell ref="B26:C26"/>
    <mergeCell ref="B27:C27"/>
    <mergeCell ref="B16:C16"/>
    <mergeCell ref="B17:C17"/>
    <mergeCell ref="B18:C18"/>
    <mergeCell ref="B19:C19"/>
    <mergeCell ref="B20:C20"/>
    <mergeCell ref="B21:C21"/>
    <mergeCell ref="B11:C11"/>
    <mergeCell ref="B12:C12"/>
    <mergeCell ref="B13:C13"/>
    <mergeCell ref="B14:C14"/>
    <mergeCell ref="B15:C15"/>
  </mergeCells>
  <pageMargins left="0.7" right="0.7" top="0.75" bottom="0.75" header="0.3" footer="0.3"/>
  <pageSetup scale="94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8" tint="0.39997558519241921"/>
  </sheetPr>
  <dimension ref="A1:PS121"/>
  <sheetViews>
    <sheetView zoomScale="70" zoomScaleNormal="70" workbookViewId="0" xr3:uid="{0048B8E7-8DCA-5CD6-B67B-486C8B362ABD}">
      <selection activeCell="G84" sqref="G84"/>
    </sheetView>
  </sheetViews>
  <sheetFormatPr defaultColWidth="9.140625" defaultRowHeight="12.75" customHeight="1"/>
  <cols>
    <col min="1" max="1" width="9.5703125" style="2" customWidth="1"/>
    <col min="2" max="2" width="39" style="2" customWidth="1"/>
    <col min="3" max="3" width="15.42578125" style="2" customWidth="1"/>
    <col min="4" max="4" width="8.7109375" style="2" customWidth="1"/>
    <col min="5" max="5" width="12.7109375" style="2" customWidth="1"/>
    <col min="6" max="6" width="8.7109375" style="2" customWidth="1"/>
    <col min="7" max="7" width="12.7109375" style="2" customWidth="1"/>
    <col min="8" max="8" width="8.7109375" style="2" customWidth="1"/>
    <col min="9" max="9" width="12.7109375" style="2" customWidth="1"/>
    <col min="10" max="10" width="8.7109375" style="2" customWidth="1"/>
    <col min="11" max="11" width="12.5703125" style="2" customWidth="1"/>
    <col min="12" max="12" width="8.7109375" style="2" customWidth="1"/>
    <col min="13" max="13" width="12.7109375" style="2" customWidth="1"/>
    <col min="14" max="14" width="8.7109375" style="2" customWidth="1"/>
    <col min="15" max="15" width="12.7109375" style="2" customWidth="1"/>
    <col min="16" max="16" width="8.7109375" style="2" customWidth="1"/>
    <col min="17" max="17" width="12.7109375" style="2" customWidth="1"/>
    <col min="18" max="18" width="8.7109375" style="2" customWidth="1"/>
    <col min="19" max="19" width="12.7109375" style="2" customWidth="1"/>
    <col min="20" max="20" width="8.7109375" style="2" customWidth="1"/>
    <col min="21" max="21" width="12.570312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513</v>
      </c>
      <c r="B1" s="1"/>
    </row>
    <row r="2" spans="1:22" ht="12.75" customHeight="1">
      <c r="A2" s="1" t="s">
        <v>1</v>
      </c>
      <c r="B2" s="1"/>
      <c r="D2" s="118" t="s">
        <v>355</v>
      </c>
      <c r="G2" s="33" t="s">
        <v>518</v>
      </c>
      <c r="H2" s="34"/>
      <c r="I2" s="34"/>
      <c r="V2" s="32"/>
    </row>
    <row r="3" spans="1:22" ht="12.75" customHeight="1">
      <c r="A3" s="1" t="s">
        <v>357</v>
      </c>
      <c r="D3" s="118" t="s">
        <v>358</v>
      </c>
      <c r="G3" s="115" t="str">
        <f>+G2</f>
        <v>General &amp; Administrative</v>
      </c>
      <c r="H3" s="116"/>
      <c r="I3" s="116"/>
      <c r="V3" s="32"/>
    </row>
    <row r="4" spans="1:22" ht="12.75" customHeight="1">
      <c r="A4" s="1" t="s">
        <v>359</v>
      </c>
      <c r="B4" s="109" t="s">
        <v>221</v>
      </c>
      <c r="D4" s="118" t="s">
        <v>360</v>
      </c>
      <c r="G4" s="115" t="s">
        <v>65</v>
      </c>
      <c r="H4" s="116"/>
      <c r="I4" s="116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89" t="s">
        <v>361</v>
      </c>
      <c r="B7" s="89"/>
      <c r="C7" s="90"/>
      <c r="D7" s="90"/>
      <c r="E7" s="90"/>
      <c r="F7" s="90"/>
      <c r="G7" s="90"/>
      <c r="H7" s="90"/>
      <c r="I7" s="90"/>
      <c r="J7" s="90"/>
      <c r="K7" s="90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</row>
    <row r="8" spans="1:22" ht="12.75" customHeight="1">
      <c r="A8" s="90" t="s">
        <v>362</v>
      </c>
      <c r="B8" s="90"/>
      <c r="C8" s="91"/>
      <c r="D8" s="90"/>
      <c r="E8" s="91"/>
      <c r="F8" s="90"/>
      <c r="G8" s="91"/>
      <c r="H8" s="90"/>
      <c r="I8" s="91"/>
      <c r="J8" s="90"/>
      <c r="K8" s="91"/>
      <c r="L8" s="90"/>
      <c r="M8" s="91"/>
      <c r="N8" s="90"/>
      <c r="O8" s="91"/>
      <c r="P8" s="90"/>
      <c r="Q8" s="91"/>
      <c r="R8" s="90"/>
      <c r="S8" s="91"/>
      <c r="T8" s="90"/>
      <c r="U8" s="91"/>
      <c r="V8" s="90"/>
    </row>
    <row r="9" spans="1:22" ht="12.75" customHeight="1">
      <c r="A9" s="90"/>
      <c r="B9" s="90"/>
      <c r="C9" s="90"/>
      <c r="D9" s="90"/>
      <c r="E9" s="90"/>
      <c r="F9" s="90"/>
      <c r="G9" s="90"/>
      <c r="H9" s="90"/>
      <c r="I9" s="90"/>
      <c r="J9" s="90"/>
      <c r="K9" s="90"/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</row>
    <row r="10" spans="1:22" ht="12.75" customHeight="1">
      <c r="A10" s="90" t="s">
        <v>462</v>
      </c>
      <c r="B10" s="90"/>
      <c r="C10" s="91"/>
      <c r="D10" s="90"/>
      <c r="E10" s="91"/>
      <c r="F10" s="90"/>
      <c r="G10" s="91"/>
      <c r="H10" s="90"/>
      <c r="I10" s="91"/>
      <c r="J10" s="90"/>
      <c r="K10" s="91"/>
      <c r="L10" s="90"/>
      <c r="M10" s="91"/>
      <c r="N10" s="90"/>
      <c r="O10" s="91"/>
      <c r="P10" s="90"/>
      <c r="Q10" s="91"/>
      <c r="R10" s="90"/>
      <c r="S10" s="91"/>
      <c r="T10" s="90"/>
      <c r="U10" s="91"/>
      <c r="V10" s="90"/>
    </row>
    <row r="11" spans="1:22" ht="12.75" customHeight="1">
      <c r="A11" s="90"/>
      <c r="B11" s="90"/>
      <c r="C11" s="90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1:22" ht="12.75" customHeight="1">
      <c r="A12" s="90" t="s">
        <v>463</v>
      </c>
      <c r="B12" s="90"/>
      <c r="C12" s="92"/>
      <c r="D12" s="90"/>
      <c r="E12" s="92"/>
      <c r="F12" s="90"/>
      <c r="G12" s="92"/>
      <c r="H12" s="90"/>
      <c r="I12" s="92"/>
      <c r="J12" s="90"/>
      <c r="K12" s="92"/>
      <c r="L12" s="90"/>
      <c r="M12" s="92"/>
      <c r="N12" s="90"/>
      <c r="O12" s="92"/>
      <c r="P12" s="90"/>
      <c r="Q12" s="92"/>
      <c r="R12" s="90"/>
      <c r="S12" s="92"/>
      <c r="T12" s="90"/>
      <c r="U12" s="92"/>
      <c r="V12" s="90"/>
    </row>
    <row r="13" spans="1:22" ht="12.75" customHeight="1">
      <c r="A13" s="90"/>
      <c r="B13" s="90"/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1:22" ht="12.75" customHeight="1">
      <c r="A14" s="90" t="s">
        <v>464</v>
      </c>
      <c r="B14" s="90"/>
      <c r="C14" s="124">
        <f>C12*C10*C8</f>
        <v>0</v>
      </c>
      <c r="D14" s="90"/>
      <c r="E14" s="124">
        <f>E12*E10*E8</f>
        <v>0</v>
      </c>
      <c r="F14" s="90"/>
      <c r="G14" s="124">
        <f>G12*G10*G8</f>
        <v>0</v>
      </c>
      <c r="H14" s="90"/>
      <c r="I14" s="124">
        <f>I12*I10*I8</f>
        <v>0</v>
      </c>
      <c r="J14" s="90"/>
      <c r="K14" s="124">
        <f>K12*K10*K8</f>
        <v>0</v>
      </c>
      <c r="L14" s="90"/>
      <c r="M14" s="124">
        <f>M12*M10*M8</f>
        <v>0</v>
      </c>
      <c r="N14" s="90"/>
      <c r="O14" s="124">
        <f>O12*O10*O8</f>
        <v>0</v>
      </c>
      <c r="P14" s="90"/>
      <c r="Q14" s="124">
        <f>Q12*Q10*Q8</f>
        <v>0</v>
      </c>
      <c r="R14" s="90"/>
      <c r="S14" s="124">
        <f>S12*S10*S8</f>
        <v>0</v>
      </c>
      <c r="T14" s="90"/>
      <c r="U14" s="124">
        <f>U12*U10*U8</f>
        <v>0</v>
      </c>
      <c r="V14" s="90"/>
    </row>
    <row r="16" spans="1:22" ht="12.75" customHeight="1">
      <c r="B16" s="35"/>
      <c r="C16" s="86" t="str">
        <f>C6</f>
        <v>FY 2018-19</v>
      </c>
      <c r="D16" s="86" t="s">
        <v>366</v>
      </c>
      <c r="E16" s="86" t="str">
        <f>E6</f>
        <v>FY 2019-20</v>
      </c>
      <c r="F16" s="86" t="s">
        <v>366</v>
      </c>
      <c r="G16" s="86" t="str">
        <f>G6</f>
        <v>FY 2020-21</v>
      </c>
      <c r="H16" s="86" t="s">
        <v>366</v>
      </c>
      <c r="I16" s="86" t="str">
        <f>I6</f>
        <v>FY 2021-22</v>
      </c>
      <c r="J16" s="86" t="s">
        <v>366</v>
      </c>
      <c r="K16" s="86" t="str">
        <f>K6</f>
        <v>FY 2022-23</v>
      </c>
      <c r="L16" s="86" t="s">
        <v>366</v>
      </c>
      <c r="M16" s="86" t="str">
        <f>M6</f>
        <v>FY 2023-24</v>
      </c>
      <c r="N16" s="86" t="s">
        <v>366</v>
      </c>
      <c r="O16" s="86" t="str">
        <f>O6</f>
        <v>FY 2024-25</v>
      </c>
      <c r="P16" s="86" t="s">
        <v>366</v>
      </c>
      <c r="Q16" s="86" t="str">
        <f>Q6</f>
        <v>FY 2025-26</v>
      </c>
      <c r="R16" s="86" t="s">
        <v>366</v>
      </c>
      <c r="S16" s="86" t="str">
        <f>S6</f>
        <v>FY 2026-27</v>
      </c>
      <c r="T16" s="86" t="s">
        <v>366</v>
      </c>
      <c r="U16" s="86" t="str">
        <f>U6</f>
        <v>FY 2027-28</v>
      </c>
      <c r="V16" s="86" t="s">
        <v>366</v>
      </c>
    </row>
    <row r="17" spans="1:22" ht="12.75" customHeight="1">
      <c r="A17" s="1" t="s">
        <v>367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2" ht="12.75" customHeight="1">
      <c r="A18" s="2" t="s">
        <v>368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</row>
    <row r="19" spans="1:22" ht="12.75" customHeight="1">
      <c r="A19" s="2" t="s">
        <v>369</v>
      </c>
      <c r="B19" s="35"/>
      <c r="C19" s="111"/>
      <c r="D19" s="80">
        <f>IFERROR(C19/C$28,0)</f>
        <v>0</v>
      </c>
      <c r="E19" s="111"/>
      <c r="F19" s="80">
        <f>IFERROR(E19/E$28,0)</f>
        <v>0</v>
      </c>
      <c r="G19" s="111"/>
      <c r="H19" s="80">
        <f>IFERROR(G19/G$28,0)</f>
        <v>0</v>
      </c>
      <c r="I19" s="111"/>
      <c r="J19" s="80">
        <f>IFERROR(I19/I$28,0)</f>
        <v>0</v>
      </c>
      <c r="K19" s="111"/>
      <c r="L19" s="80">
        <f>IFERROR(K19/K$28,0)</f>
        <v>0</v>
      </c>
      <c r="M19" s="111"/>
      <c r="N19" s="80">
        <f>IFERROR(M19/M$28,0)</f>
        <v>0</v>
      </c>
      <c r="O19" s="111"/>
      <c r="P19" s="80">
        <f>IFERROR(O19/O$28,0)</f>
        <v>0</v>
      </c>
      <c r="Q19" s="111"/>
      <c r="R19" s="80">
        <f>IFERROR(Q19/Q$28,0)</f>
        <v>0</v>
      </c>
      <c r="S19" s="111"/>
      <c r="T19" s="80">
        <f>IFERROR(S19/S$28,0)</f>
        <v>0</v>
      </c>
      <c r="U19" s="111"/>
      <c r="V19" s="80">
        <f>IFERROR(U19/U$28,0)</f>
        <v>0</v>
      </c>
    </row>
    <row r="20" spans="1:22" ht="12.75" customHeight="1">
      <c r="A20" s="2" t="s">
        <v>370</v>
      </c>
      <c r="B20" s="35"/>
      <c r="C20" s="111"/>
      <c r="D20" s="80">
        <f>IFERROR(C20/C$28,0)</f>
        <v>0</v>
      </c>
      <c r="E20" s="111"/>
      <c r="F20" s="80">
        <f>IFERROR(E20/E$28,0)</f>
        <v>0</v>
      </c>
      <c r="G20" s="111"/>
      <c r="H20" s="80">
        <f>IFERROR(G20/G$28,0)</f>
        <v>0</v>
      </c>
      <c r="I20" s="111"/>
      <c r="J20" s="80">
        <f>IFERROR(I20/I$28,0)</f>
        <v>0</v>
      </c>
      <c r="K20" s="111"/>
      <c r="L20" s="80">
        <f>IFERROR(K20/K$28,0)</f>
        <v>0</v>
      </c>
      <c r="M20" s="111"/>
      <c r="N20" s="80">
        <f>IFERROR(M20/M$28,0)</f>
        <v>0</v>
      </c>
      <c r="O20" s="111"/>
      <c r="P20" s="80">
        <f>IFERROR(O20/O$28,0)</f>
        <v>0</v>
      </c>
      <c r="Q20" s="111"/>
      <c r="R20" s="80">
        <f>IFERROR(Q20/Q$28,0)</f>
        <v>0</v>
      </c>
      <c r="S20" s="111"/>
      <c r="T20" s="80">
        <f>IFERROR(S20/S$28,0)</f>
        <v>0</v>
      </c>
      <c r="U20" s="111"/>
      <c r="V20" s="80">
        <f>IFERROR(U20/U$28,0)</f>
        <v>0</v>
      </c>
    </row>
    <row r="21" spans="1:22" ht="12.75" customHeight="1">
      <c r="A21" s="122" t="s">
        <v>371</v>
      </c>
      <c r="B21" s="35"/>
      <c r="C21" s="79"/>
      <c r="D21" s="80">
        <f>IFERROR(C21/C$28,0)</f>
        <v>0</v>
      </c>
      <c r="E21" s="79"/>
      <c r="F21" s="80">
        <f>IFERROR(E21/E$28,0)</f>
        <v>0</v>
      </c>
      <c r="G21" s="79"/>
      <c r="H21" s="80">
        <f>IFERROR(G21/G$28,0)</f>
        <v>0</v>
      </c>
      <c r="I21" s="79"/>
      <c r="J21" s="80">
        <f>IFERROR(I21/I$28,0)</f>
        <v>0</v>
      </c>
      <c r="K21" s="79"/>
      <c r="L21" s="80">
        <f>IFERROR(K21/K$28,0)</f>
        <v>0</v>
      </c>
      <c r="M21" s="79"/>
      <c r="N21" s="80">
        <f>IFERROR(M21/M$28,0)</f>
        <v>0</v>
      </c>
      <c r="O21" s="79"/>
      <c r="P21" s="80">
        <f>IFERROR(O21/O$28,0)</f>
        <v>0</v>
      </c>
      <c r="Q21" s="79"/>
      <c r="R21" s="80">
        <f>IFERROR(Q21/Q$28,0)</f>
        <v>0</v>
      </c>
      <c r="S21" s="79"/>
      <c r="T21" s="80">
        <f>IFERROR(S21/S$28,0)</f>
        <v>0</v>
      </c>
      <c r="U21" s="79"/>
      <c r="V21" s="80">
        <f>IFERROR(U21/U$28,0)</f>
        <v>0</v>
      </c>
    </row>
    <row r="22" spans="1:22" ht="12.75" customHeight="1">
      <c r="A22" s="2" t="s">
        <v>372</v>
      </c>
      <c r="B22" s="35"/>
      <c r="C22" s="79"/>
      <c r="D22" s="80"/>
      <c r="E22" s="79"/>
      <c r="F22" s="80"/>
      <c r="G22" s="79"/>
      <c r="H22" s="80"/>
      <c r="I22" s="79"/>
      <c r="J22" s="80"/>
      <c r="K22" s="79"/>
      <c r="L22" s="80"/>
      <c r="M22" s="79"/>
      <c r="N22" s="80"/>
      <c r="O22" s="79"/>
      <c r="P22" s="80"/>
      <c r="Q22" s="79"/>
      <c r="R22" s="80"/>
      <c r="S22" s="79"/>
      <c r="T22" s="80"/>
      <c r="U22" s="79"/>
      <c r="V22" s="80"/>
    </row>
    <row r="23" spans="1:22" ht="12.75" customHeight="1">
      <c r="A23" s="122" t="s">
        <v>373</v>
      </c>
      <c r="B23" s="35"/>
      <c r="C23" s="79"/>
      <c r="D23" s="80">
        <f t="shared" ref="D23:D28" si="0">IFERROR(C23/C$28,0)</f>
        <v>0</v>
      </c>
      <c r="E23" s="79"/>
      <c r="F23" s="80">
        <f t="shared" ref="F23:F28" si="1">IFERROR(E23/E$28,0)</f>
        <v>0</v>
      </c>
      <c r="G23" s="79"/>
      <c r="H23" s="80">
        <f t="shared" ref="H23:H28" si="2">IFERROR(G23/G$28,0)</f>
        <v>0</v>
      </c>
      <c r="I23" s="79"/>
      <c r="J23" s="80">
        <f t="shared" ref="J23:J28" si="3">IFERROR(I23/I$28,0)</f>
        <v>0</v>
      </c>
      <c r="K23" s="79"/>
      <c r="L23" s="80">
        <f t="shared" ref="L23:L28" si="4">IFERROR(K23/K$28,0)</f>
        <v>0</v>
      </c>
      <c r="M23" s="79"/>
      <c r="N23" s="80">
        <f t="shared" ref="N23:N28" si="5">IFERROR(M23/M$28,0)</f>
        <v>0</v>
      </c>
      <c r="O23" s="79"/>
      <c r="P23" s="80">
        <f t="shared" ref="P23:P28" si="6">IFERROR(O23/O$28,0)</f>
        <v>0</v>
      </c>
      <c r="Q23" s="79"/>
      <c r="R23" s="80">
        <f t="shared" ref="R23:R28" si="7">IFERROR(Q23/Q$28,0)</f>
        <v>0</v>
      </c>
      <c r="S23" s="79"/>
      <c r="T23" s="80">
        <f t="shared" ref="T23:T28" si="8">IFERROR(S23/S$28,0)</f>
        <v>0</v>
      </c>
      <c r="U23" s="79"/>
      <c r="V23" s="80">
        <f t="shared" ref="V23:V28" si="9">IFERROR(U23/U$28,0)</f>
        <v>0</v>
      </c>
    </row>
    <row r="24" spans="1:22" ht="12.75" customHeight="1">
      <c r="A24" s="122" t="s">
        <v>374</v>
      </c>
      <c r="B24" s="35"/>
      <c r="C24" s="79"/>
      <c r="D24" s="80">
        <f t="shared" si="0"/>
        <v>0</v>
      </c>
      <c r="E24" s="79"/>
      <c r="F24" s="80">
        <f t="shared" si="1"/>
        <v>0</v>
      </c>
      <c r="G24" s="79"/>
      <c r="H24" s="80">
        <f t="shared" si="2"/>
        <v>0</v>
      </c>
      <c r="I24" s="79"/>
      <c r="J24" s="80">
        <f t="shared" si="3"/>
        <v>0</v>
      </c>
      <c r="K24" s="79"/>
      <c r="L24" s="80">
        <f t="shared" si="4"/>
        <v>0</v>
      </c>
      <c r="M24" s="79"/>
      <c r="N24" s="80">
        <f t="shared" si="5"/>
        <v>0</v>
      </c>
      <c r="O24" s="79"/>
      <c r="P24" s="80">
        <f t="shared" si="6"/>
        <v>0</v>
      </c>
      <c r="Q24" s="79"/>
      <c r="R24" s="80">
        <f t="shared" si="7"/>
        <v>0</v>
      </c>
      <c r="S24" s="79"/>
      <c r="T24" s="80">
        <f t="shared" si="8"/>
        <v>0</v>
      </c>
      <c r="U24" s="79"/>
      <c r="V24" s="80">
        <f t="shared" si="9"/>
        <v>0</v>
      </c>
    </row>
    <row r="25" spans="1:22" ht="12.75" customHeight="1">
      <c r="A25" s="2" t="s">
        <v>375</v>
      </c>
      <c r="B25" s="35"/>
      <c r="C25" s="79"/>
      <c r="D25" s="80">
        <f t="shared" si="0"/>
        <v>0</v>
      </c>
      <c r="E25" s="79"/>
      <c r="F25" s="80">
        <f t="shared" si="1"/>
        <v>0</v>
      </c>
      <c r="G25" s="79"/>
      <c r="H25" s="80">
        <f t="shared" si="2"/>
        <v>0</v>
      </c>
      <c r="I25" s="79"/>
      <c r="J25" s="80">
        <f t="shared" si="3"/>
        <v>0</v>
      </c>
      <c r="K25" s="79"/>
      <c r="L25" s="80">
        <f t="shared" si="4"/>
        <v>0</v>
      </c>
      <c r="M25" s="79"/>
      <c r="N25" s="80">
        <f t="shared" si="5"/>
        <v>0</v>
      </c>
      <c r="O25" s="79"/>
      <c r="P25" s="80">
        <f t="shared" si="6"/>
        <v>0</v>
      </c>
      <c r="Q25" s="79"/>
      <c r="R25" s="80">
        <f t="shared" si="7"/>
        <v>0</v>
      </c>
      <c r="S25" s="79"/>
      <c r="T25" s="80">
        <f t="shared" si="8"/>
        <v>0</v>
      </c>
      <c r="U25" s="79"/>
      <c r="V25" s="80">
        <f t="shared" si="9"/>
        <v>0</v>
      </c>
    </row>
    <row r="26" spans="1:22" ht="12.75" customHeight="1">
      <c r="A26" s="122" t="s">
        <v>376</v>
      </c>
      <c r="B26" s="35"/>
      <c r="C26" s="79"/>
      <c r="D26" s="80">
        <f t="shared" si="0"/>
        <v>0</v>
      </c>
      <c r="E26" s="79"/>
      <c r="F26" s="80">
        <f t="shared" si="1"/>
        <v>0</v>
      </c>
      <c r="G26" s="79"/>
      <c r="H26" s="80">
        <f t="shared" si="2"/>
        <v>0</v>
      </c>
      <c r="I26" s="79"/>
      <c r="J26" s="80">
        <f t="shared" si="3"/>
        <v>0</v>
      </c>
      <c r="K26" s="79"/>
      <c r="L26" s="80">
        <f t="shared" si="4"/>
        <v>0</v>
      </c>
      <c r="M26" s="79"/>
      <c r="N26" s="80">
        <f t="shared" si="5"/>
        <v>0</v>
      </c>
      <c r="O26" s="79"/>
      <c r="P26" s="80">
        <f t="shared" si="6"/>
        <v>0</v>
      </c>
      <c r="Q26" s="79"/>
      <c r="R26" s="80">
        <f t="shared" si="7"/>
        <v>0</v>
      </c>
      <c r="S26" s="79"/>
      <c r="T26" s="80">
        <f t="shared" si="8"/>
        <v>0</v>
      </c>
      <c r="U26" s="79"/>
      <c r="V26" s="80">
        <f t="shared" si="9"/>
        <v>0</v>
      </c>
    </row>
    <row r="27" spans="1:22" ht="12.75" customHeight="1">
      <c r="A27" s="2" t="s">
        <v>377</v>
      </c>
      <c r="B27" s="35"/>
      <c r="C27" s="112"/>
      <c r="D27" s="80">
        <f t="shared" si="0"/>
        <v>0</v>
      </c>
      <c r="E27" s="112"/>
      <c r="F27" s="80">
        <f t="shared" si="1"/>
        <v>0</v>
      </c>
      <c r="G27" s="112"/>
      <c r="H27" s="80">
        <f t="shared" si="2"/>
        <v>0</v>
      </c>
      <c r="I27" s="112"/>
      <c r="J27" s="80">
        <f t="shared" si="3"/>
        <v>0</v>
      </c>
      <c r="K27" s="112"/>
      <c r="L27" s="80">
        <f t="shared" si="4"/>
        <v>0</v>
      </c>
      <c r="M27" s="112"/>
      <c r="N27" s="80">
        <f t="shared" si="5"/>
        <v>0</v>
      </c>
      <c r="O27" s="112"/>
      <c r="P27" s="80">
        <f t="shared" si="6"/>
        <v>0</v>
      </c>
      <c r="Q27" s="112"/>
      <c r="R27" s="80">
        <f t="shared" si="7"/>
        <v>0</v>
      </c>
      <c r="S27" s="112"/>
      <c r="T27" s="80">
        <f t="shared" si="8"/>
        <v>0</v>
      </c>
      <c r="U27" s="112"/>
      <c r="V27" s="80">
        <f t="shared" si="9"/>
        <v>0</v>
      </c>
    </row>
    <row r="28" spans="1:22" ht="12.75" customHeight="1">
      <c r="A28" s="1" t="s">
        <v>378</v>
      </c>
      <c r="B28" s="53"/>
      <c r="C28" s="82">
        <f>SUM(C19:C27)</f>
        <v>0</v>
      </c>
      <c r="D28" s="83">
        <f t="shared" si="0"/>
        <v>0</v>
      </c>
      <c r="E28" s="82">
        <f>SUM(E19:E27)</f>
        <v>0</v>
      </c>
      <c r="F28" s="83">
        <f t="shared" si="1"/>
        <v>0</v>
      </c>
      <c r="G28" s="82">
        <f>SUM(G19:G27)</f>
        <v>0</v>
      </c>
      <c r="H28" s="83">
        <f t="shared" si="2"/>
        <v>0</v>
      </c>
      <c r="I28" s="82">
        <f>SUM(I19:I27)</f>
        <v>0</v>
      </c>
      <c r="J28" s="83">
        <f t="shared" si="3"/>
        <v>0</v>
      </c>
      <c r="K28" s="82">
        <f>SUM(K19:K27)</f>
        <v>0</v>
      </c>
      <c r="L28" s="83">
        <f t="shared" si="4"/>
        <v>0</v>
      </c>
      <c r="M28" s="82">
        <f>SUM(M19:M27)</f>
        <v>0</v>
      </c>
      <c r="N28" s="83">
        <f t="shared" si="5"/>
        <v>0</v>
      </c>
      <c r="O28" s="82">
        <f>SUM(O19:O27)</f>
        <v>0</v>
      </c>
      <c r="P28" s="83">
        <f t="shared" si="6"/>
        <v>0</v>
      </c>
      <c r="Q28" s="82">
        <f>SUM(Q19:Q27)</f>
        <v>0</v>
      </c>
      <c r="R28" s="83">
        <f t="shared" si="7"/>
        <v>0</v>
      </c>
      <c r="S28" s="82">
        <f>SUM(S19:S27)</f>
        <v>0</v>
      </c>
      <c r="T28" s="83">
        <f t="shared" si="8"/>
        <v>0</v>
      </c>
      <c r="U28" s="82">
        <f>SUM(U19:U27)</f>
        <v>0</v>
      </c>
      <c r="V28" s="83">
        <f t="shared" si="9"/>
        <v>0</v>
      </c>
    </row>
    <row r="29" spans="1:22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2" ht="12.75" customHeight="1">
      <c r="A30" s="1" t="s">
        <v>379</v>
      </c>
      <c r="B30" s="53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2" ht="12.75" customHeight="1">
      <c r="A31" s="2" t="s">
        <v>380</v>
      </c>
      <c r="B31" s="35"/>
      <c r="C31" s="178">
        <f>275000*0.4</f>
        <v>110000</v>
      </c>
      <c r="D31" s="80">
        <f>IFERROR(C31/C$28,0)</f>
        <v>0</v>
      </c>
      <c r="E31" s="178">
        <f>+C31*1.03</f>
        <v>113300</v>
      </c>
      <c r="F31" s="80">
        <f>IFERROR(E31/E$28,0)</f>
        <v>0</v>
      </c>
      <c r="G31" s="178">
        <f>+E31*1.03</f>
        <v>116699</v>
      </c>
      <c r="H31" s="80">
        <f>IFERROR(G31/G$28,0)</f>
        <v>0</v>
      </c>
      <c r="I31" s="178">
        <f>+G31*1.03</f>
        <v>120199.97</v>
      </c>
      <c r="J31" s="80">
        <f>IFERROR(I31/I$28,0)</f>
        <v>0</v>
      </c>
      <c r="K31" s="178">
        <f>+I31*1.03</f>
        <v>123805.9691</v>
      </c>
      <c r="L31" s="80">
        <f>IFERROR(K31/K$28,0)</f>
        <v>0</v>
      </c>
      <c r="M31" s="178">
        <f>+K31*1.03</f>
        <v>127520.14817300001</v>
      </c>
      <c r="N31" s="80">
        <f>IFERROR(M31/M$28,0)</f>
        <v>0</v>
      </c>
      <c r="O31" s="178">
        <f>+M31*1.03</f>
        <v>131345.75261819002</v>
      </c>
      <c r="P31" s="80">
        <f>IFERROR(O31/O$28,0)</f>
        <v>0</v>
      </c>
      <c r="Q31" s="178">
        <f>+O31*1.03</f>
        <v>135286.12519673572</v>
      </c>
      <c r="R31" s="80">
        <f>IFERROR(Q31/Q$28,0)</f>
        <v>0</v>
      </c>
      <c r="S31" s="178">
        <f>+Q31*1.03</f>
        <v>139344.7089526378</v>
      </c>
      <c r="T31" s="80">
        <f>IFERROR(S31/S$28,0)</f>
        <v>0</v>
      </c>
      <c r="U31" s="178">
        <f>+S31*1.03</f>
        <v>143525.05022121692</v>
      </c>
      <c r="V31" s="80">
        <f>IFERROR(U31/U$28,0)</f>
        <v>0</v>
      </c>
    </row>
    <row r="32" spans="1:22" ht="12.75" customHeight="1">
      <c r="A32" s="8" t="s">
        <v>381</v>
      </c>
      <c r="B32" s="8"/>
      <c r="C32" s="181">
        <v>100000</v>
      </c>
      <c r="D32" s="80">
        <f>IFERROR(C32/C$28,0)</f>
        <v>0</v>
      </c>
      <c r="E32" s="181">
        <v>100000</v>
      </c>
      <c r="F32" s="80">
        <f>IFERROR(E32/E$28,0)</f>
        <v>0</v>
      </c>
      <c r="G32" s="181">
        <v>100000</v>
      </c>
      <c r="H32" s="80">
        <f>IFERROR(G32/G$28,0)</f>
        <v>0</v>
      </c>
      <c r="I32" s="181">
        <v>100000</v>
      </c>
      <c r="J32" s="80">
        <f>IFERROR(I32/I$28,0)</f>
        <v>0</v>
      </c>
      <c r="K32" s="181">
        <v>100000</v>
      </c>
      <c r="L32" s="80">
        <f>IFERROR(K32/K$28,0)</f>
        <v>0</v>
      </c>
      <c r="M32" s="181">
        <v>100000</v>
      </c>
      <c r="N32" s="80">
        <f>IFERROR(M32/M$28,0)</f>
        <v>0</v>
      </c>
      <c r="O32" s="181">
        <v>100000</v>
      </c>
      <c r="P32" s="80">
        <f>IFERROR(O32/O$28,0)</f>
        <v>0</v>
      </c>
      <c r="Q32" s="181">
        <v>100000</v>
      </c>
      <c r="R32" s="80">
        <f>IFERROR(Q32/Q$28,0)</f>
        <v>0</v>
      </c>
      <c r="S32" s="181">
        <v>100000</v>
      </c>
      <c r="T32" s="80">
        <f>IFERROR(S32/S$28,0)</f>
        <v>0</v>
      </c>
      <c r="U32" s="181">
        <v>100000</v>
      </c>
      <c r="V32" s="80">
        <f>IFERROR(U32/U$28,0)</f>
        <v>0</v>
      </c>
    </row>
    <row r="33" spans="1:22" ht="12.75" customHeight="1">
      <c r="A33" s="1" t="s">
        <v>382</v>
      </c>
      <c r="B33" s="53"/>
      <c r="C33" s="82">
        <f>SUM(C31:C32)</f>
        <v>210000</v>
      </c>
      <c r="D33" s="83">
        <f>IFERROR(C33/C$28,0)</f>
        <v>0</v>
      </c>
      <c r="E33" s="82">
        <f>SUM(E31:E32)</f>
        <v>213300</v>
      </c>
      <c r="F33" s="83">
        <f>IFERROR(E33/E$28,0)</f>
        <v>0</v>
      </c>
      <c r="G33" s="82">
        <f>SUM(G31:G32)</f>
        <v>216699</v>
      </c>
      <c r="H33" s="83">
        <f>IFERROR(G33/G$28,0)</f>
        <v>0</v>
      </c>
      <c r="I33" s="82">
        <f>SUM(I31:I32)</f>
        <v>220199.97</v>
      </c>
      <c r="J33" s="83">
        <f>IFERROR(I33/I$28,0)</f>
        <v>0</v>
      </c>
      <c r="K33" s="82">
        <f>SUM(K31:K32)</f>
        <v>223805.96909999999</v>
      </c>
      <c r="L33" s="83">
        <f>IFERROR(K33/K$28,0)</f>
        <v>0</v>
      </c>
      <c r="M33" s="82">
        <f>SUM(M31:M32)</f>
        <v>227520.14817300002</v>
      </c>
      <c r="N33" s="83">
        <f>IFERROR(M33/M$28,0)</f>
        <v>0</v>
      </c>
      <c r="O33" s="82">
        <f>SUM(O31:O32)</f>
        <v>231345.75261819002</v>
      </c>
      <c r="P33" s="83">
        <f>IFERROR(O33/O$28,0)</f>
        <v>0</v>
      </c>
      <c r="Q33" s="82">
        <f>SUM(Q31:Q32)</f>
        <v>235286.12519673572</v>
      </c>
      <c r="R33" s="83">
        <f>IFERROR(Q33/Q$28,0)</f>
        <v>0</v>
      </c>
      <c r="S33" s="82">
        <f>SUM(S31:S32)</f>
        <v>239344.7089526378</v>
      </c>
      <c r="T33" s="83">
        <f>IFERROR(S33/S$28,0)</f>
        <v>0</v>
      </c>
      <c r="U33" s="82">
        <f>SUM(U31:U32)</f>
        <v>243525.05022121692</v>
      </c>
      <c r="V33" s="83">
        <f>IFERROR(U33/U$28,0)</f>
        <v>0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383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384</v>
      </c>
      <c r="B36" s="35"/>
      <c r="C36" s="178">
        <f>461447-15000</f>
        <v>446447</v>
      </c>
      <c r="D36" s="80">
        <f t="shared" ref="D36:D46" si="10">IFERROR(C36/C$28,0)</f>
        <v>0</v>
      </c>
      <c r="E36" s="178">
        <f>+C36*1.025</f>
        <v>457608.17499999999</v>
      </c>
      <c r="F36" s="80">
        <f t="shared" ref="F36:F46" si="11">IFERROR(E36/E$28,0)</f>
        <v>0</v>
      </c>
      <c r="G36" s="178">
        <f>+E36*1.025</f>
        <v>469048.37937499996</v>
      </c>
      <c r="H36" s="80">
        <f t="shared" ref="H36:H46" si="12">IFERROR(G36/G$28,0)</f>
        <v>0</v>
      </c>
      <c r="I36" s="178">
        <f>+G36*1.025</f>
        <v>480774.58885937493</v>
      </c>
      <c r="J36" s="80">
        <f t="shared" ref="J36:J46" si="13">IFERROR(I36/I$28,0)</f>
        <v>0</v>
      </c>
      <c r="K36" s="178">
        <f>+I36*1.025</f>
        <v>492793.95358085923</v>
      </c>
      <c r="L36" s="80">
        <f t="shared" ref="L36:L46" si="14">IFERROR(K36/K$28,0)</f>
        <v>0</v>
      </c>
      <c r="M36" s="178">
        <f>+K36*1.025</f>
        <v>505113.80242038064</v>
      </c>
      <c r="N36" s="80">
        <f t="shared" ref="N36:N46" si="15">IFERROR(M36/M$28,0)</f>
        <v>0</v>
      </c>
      <c r="O36" s="178">
        <f>+M36*1.025</f>
        <v>517741.6474808901</v>
      </c>
      <c r="P36" s="80">
        <f t="shared" ref="P36:P46" si="16">IFERROR(O36/O$28,0)</f>
        <v>0</v>
      </c>
      <c r="Q36" s="178">
        <f>+O36*1.025</f>
        <v>530685.18866791227</v>
      </c>
      <c r="R36" s="80">
        <f t="shared" ref="R36:R46" si="17">IFERROR(Q36/Q$28,0)</f>
        <v>0</v>
      </c>
      <c r="S36" s="178">
        <f>+Q36*1.025</f>
        <v>543952.31838461</v>
      </c>
      <c r="T36" s="80">
        <f t="shared" ref="T36:T46" si="18">IFERROR(S36/S$28,0)</f>
        <v>0</v>
      </c>
      <c r="U36" s="178">
        <f>+S36*1.025</f>
        <v>557551.12634422525</v>
      </c>
      <c r="V36" s="80">
        <f t="shared" ref="V36:V46" si="19">IFERROR(U36/U$28,0)</f>
        <v>0</v>
      </c>
    </row>
    <row r="37" spans="1:22" ht="12.75" customHeight="1">
      <c r="A37" s="2" t="s">
        <v>385</v>
      </c>
      <c r="B37" s="35"/>
      <c r="C37" s="178">
        <f>256882-70000</f>
        <v>186882</v>
      </c>
      <c r="D37" s="80">
        <f t="shared" si="10"/>
        <v>0</v>
      </c>
      <c r="E37" s="178">
        <f>+C37*1.025</f>
        <v>191554.05</v>
      </c>
      <c r="F37" s="80">
        <f t="shared" si="11"/>
        <v>0</v>
      </c>
      <c r="G37" s="178">
        <f>+E37*1.025</f>
        <v>196342.90124999997</v>
      </c>
      <c r="H37" s="80">
        <f t="shared" si="12"/>
        <v>0</v>
      </c>
      <c r="I37" s="178">
        <f>+G37*1.025</f>
        <v>201251.47378124995</v>
      </c>
      <c r="J37" s="80">
        <f t="shared" si="13"/>
        <v>0</v>
      </c>
      <c r="K37" s="178">
        <f>+I37*1.025</f>
        <v>206282.76062578117</v>
      </c>
      <c r="L37" s="80">
        <f t="shared" si="14"/>
        <v>0</v>
      </c>
      <c r="M37" s="178">
        <f>+K37*1.025</f>
        <v>211439.82964142569</v>
      </c>
      <c r="N37" s="80">
        <f t="shared" si="15"/>
        <v>0</v>
      </c>
      <c r="O37" s="178">
        <f>+M37*1.025</f>
        <v>216725.82538246131</v>
      </c>
      <c r="P37" s="80">
        <f t="shared" si="16"/>
        <v>0</v>
      </c>
      <c r="Q37" s="178">
        <f>+O37*1.025</f>
        <v>222143.97101702282</v>
      </c>
      <c r="R37" s="80">
        <f t="shared" si="17"/>
        <v>0</v>
      </c>
      <c r="S37" s="178">
        <f>+Q37*1.025</f>
        <v>227697.57029244836</v>
      </c>
      <c r="T37" s="80">
        <f t="shared" si="18"/>
        <v>0</v>
      </c>
      <c r="U37" s="178">
        <f>+S37*1.025</f>
        <v>233390.00954975956</v>
      </c>
      <c r="V37" s="80">
        <f t="shared" si="19"/>
        <v>0</v>
      </c>
    </row>
    <row r="38" spans="1:22" ht="12.75" customHeight="1">
      <c r="A38" s="2" t="s">
        <v>386</v>
      </c>
      <c r="B38" s="35"/>
      <c r="C38" s="178">
        <v>0</v>
      </c>
      <c r="D38" s="80">
        <f t="shared" si="10"/>
        <v>0</v>
      </c>
      <c r="E38" s="178"/>
      <c r="F38" s="80">
        <f t="shared" si="11"/>
        <v>0</v>
      </c>
      <c r="G38" s="178"/>
      <c r="H38" s="80">
        <f t="shared" si="12"/>
        <v>0</v>
      </c>
      <c r="I38" s="178"/>
      <c r="J38" s="80">
        <f t="shared" si="13"/>
        <v>0</v>
      </c>
      <c r="K38" s="178"/>
      <c r="L38" s="80">
        <f t="shared" si="14"/>
        <v>0</v>
      </c>
      <c r="M38" s="178"/>
      <c r="N38" s="80">
        <f t="shared" si="15"/>
        <v>0</v>
      </c>
      <c r="O38" s="178"/>
      <c r="P38" s="80">
        <f t="shared" si="16"/>
        <v>0</v>
      </c>
      <c r="Q38" s="178"/>
      <c r="R38" s="80">
        <f t="shared" si="17"/>
        <v>0</v>
      </c>
      <c r="S38" s="178"/>
      <c r="T38" s="80">
        <f t="shared" si="18"/>
        <v>0</v>
      </c>
      <c r="U38" s="178"/>
      <c r="V38" s="80">
        <f t="shared" si="19"/>
        <v>0</v>
      </c>
    </row>
    <row r="39" spans="1:22" ht="12.75" customHeight="1">
      <c r="A39" s="2" t="s">
        <v>387</v>
      </c>
      <c r="B39" s="35"/>
      <c r="C39" s="178">
        <v>0</v>
      </c>
      <c r="D39" s="80">
        <f t="shared" si="10"/>
        <v>0</v>
      </c>
      <c r="E39" s="178"/>
      <c r="F39" s="80">
        <f t="shared" si="11"/>
        <v>0</v>
      </c>
      <c r="G39" s="178"/>
      <c r="H39" s="80">
        <f t="shared" si="12"/>
        <v>0</v>
      </c>
      <c r="I39" s="178"/>
      <c r="J39" s="80">
        <f t="shared" si="13"/>
        <v>0</v>
      </c>
      <c r="K39" s="178"/>
      <c r="L39" s="80">
        <f t="shared" si="14"/>
        <v>0</v>
      </c>
      <c r="M39" s="178"/>
      <c r="N39" s="80">
        <f t="shared" si="15"/>
        <v>0</v>
      </c>
      <c r="O39" s="178"/>
      <c r="P39" s="80">
        <f t="shared" si="16"/>
        <v>0</v>
      </c>
      <c r="Q39" s="178"/>
      <c r="R39" s="80">
        <f t="shared" si="17"/>
        <v>0</v>
      </c>
      <c r="S39" s="178"/>
      <c r="T39" s="80">
        <f t="shared" si="18"/>
        <v>0</v>
      </c>
      <c r="U39" s="178"/>
      <c r="V39" s="80">
        <f t="shared" si="19"/>
        <v>0</v>
      </c>
    </row>
    <row r="40" spans="1:22" ht="12.75" customHeight="1">
      <c r="A40" s="2" t="s">
        <v>388</v>
      </c>
      <c r="B40" s="35"/>
      <c r="C40" s="178">
        <f>+C36*0.124</f>
        <v>55359.428</v>
      </c>
      <c r="D40" s="80">
        <f t="shared" si="10"/>
        <v>0</v>
      </c>
      <c r="E40" s="178">
        <f>+E36*0.124</f>
        <v>56743.413699999997</v>
      </c>
      <c r="F40" s="80">
        <f t="shared" si="11"/>
        <v>0</v>
      </c>
      <c r="G40" s="178">
        <f>+G36*0.124</f>
        <v>58161.999042499992</v>
      </c>
      <c r="H40" s="80">
        <f t="shared" si="12"/>
        <v>0</v>
      </c>
      <c r="I40" s="178">
        <f>+I36*0.124</f>
        <v>59616.049018562488</v>
      </c>
      <c r="J40" s="80">
        <f t="shared" si="13"/>
        <v>0</v>
      </c>
      <c r="K40" s="178">
        <f>+K36*0.124</f>
        <v>61106.450244026542</v>
      </c>
      <c r="L40" s="80">
        <f t="shared" si="14"/>
        <v>0</v>
      </c>
      <c r="M40" s="178">
        <f>+M36*0.124</f>
        <v>62634.111500127197</v>
      </c>
      <c r="N40" s="80">
        <f t="shared" si="15"/>
        <v>0</v>
      </c>
      <c r="O40" s="178">
        <f>+O36*0.124</f>
        <v>64199.96428763037</v>
      </c>
      <c r="P40" s="80">
        <f t="shared" si="16"/>
        <v>0</v>
      </c>
      <c r="Q40" s="178">
        <f>+Q36*0.124</f>
        <v>65804.963394821127</v>
      </c>
      <c r="R40" s="80">
        <f t="shared" si="17"/>
        <v>0</v>
      </c>
      <c r="S40" s="178">
        <f>+S36*0.124</f>
        <v>67450.087479691632</v>
      </c>
      <c r="T40" s="80">
        <f t="shared" si="18"/>
        <v>0</v>
      </c>
      <c r="U40" s="178">
        <f>+U36*0.124</f>
        <v>69136.339666683925</v>
      </c>
      <c r="V40" s="80">
        <f t="shared" si="19"/>
        <v>0</v>
      </c>
    </row>
    <row r="41" spans="1:22" ht="12.75" customHeight="1">
      <c r="A41" s="2" t="s">
        <v>389</v>
      </c>
      <c r="B41" s="35"/>
      <c r="C41" s="178">
        <f>+C37*0.124</f>
        <v>23173.367999999999</v>
      </c>
      <c r="D41" s="80">
        <f t="shared" si="10"/>
        <v>0</v>
      </c>
      <c r="E41" s="178">
        <f>+E37*0.124</f>
        <v>23752.7022</v>
      </c>
      <c r="F41" s="80">
        <f t="shared" si="11"/>
        <v>0</v>
      </c>
      <c r="G41" s="178">
        <f>+G37*0.124</f>
        <v>24346.519754999994</v>
      </c>
      <c r="H41" s="80">
        <f t="shared" si="12"/>
        <v>0</v>
      </c>
      <c r="I41" s="178">
        <f>+I37*0.124</f>
        <v>24955.182748874995</v>
      </c>
      <c r="J41" s="80">
        <f t="shared" si="13"/>
        <v>0</v>
      </c>
      <c r="K41" s="178">
        <f>+K37*0.124</f>
        <v>25579.062317596865</v>
      </c>
      <c r="L41" s="80">
        <f t="shared" si="14"/>
        <v>0</v>
      </c>
      <c r="M41" s="178">
        <f>+M37*0.124</f>
        <v>26218.538875536786</v>
      </c>
      <c r="N41" s="80">
        <f t="shared" si="15"/>
        <v>0</v>
      </c>
      <c r="O41" s="178">
        <f>+O37*0.124</f>
        <v>26874.002347425201</v>
      </c>
      <c r="P41" s="80">
        <f t="shared" si="16"/>
        <v>0</v>
      </c>
      <c r="Q41" s="178">
        <f>+Q37*0.124</f>
        <v>27545.852406110829</v>
      </c>
      <c r="R41" s="80">
        <f t="shared" si="17"/>
        <v>0</v>
      </c>
      <c r="S41" s="178">
        <f>+S37*0.124</f>
        <v>28234.498716263595</v>
      </c>
      <c r="T41" s="80">
        <f t="shared" si="18"/>
        <v>0</v>
      </c>
      <c r="U41" s="178">
        <f>+U37*0.124</f>
        <v>28940.361184170186</v>
      </c>
      <c r="V41" s="80">
        <f t="shared" si="19"/>
        <v>0</v>
      </c>
    </row>
    <row r="42" spans="1:22" ht="12.75" customHeight="1">
      <c r="A42" s="2" t="s">
        <v>390</v>
      </c>
      <c r="B42" s="35"/>
      <c r="C42" s="178"/>
      <c r="D42" s="80">
        <f t="shared" si="10"/>
        <v>0</v>
      </c>
      <c r="E42" s="178"/>
      <c r="F42" s="80">
        <f t="shared" si="11"/>
        <v>0</v>
      </c>
      <c r="G42" s="178"/>
      <c r="H42" s="80">
        <f t="shared" si="12"/>
        <v>0</v>
      </c>
      <c r="I42" s="178"/>
      <c r="J42" s="80">
        <f t="shared" si="13"/>
        <v>0</v>
      </c>
      <c r="K42" s="178"/>
      <c r="L42" s="80">
        <f t="shared" si="14"/>
        <v>0</v>
      </c>
      <c r="M42" s="178"/>
      <c r="N42" s="80">
        <f t="shared" si="15"/>
        <v>0</v>
      </c>
      <c r="O42" s="178"/>
      <c r="P42" s="80">
        <f t="shared" si="16"/>
        <v>0</v>
      </c>
      <c r="Q42" s="178"/>
      <c r="R42" s="80">
        <f t="shared" si="17"/>
        <v>0</v>
      </c>
      <c r="S42" s="178"/>
      <c r="T42" s="80">
        <f t="shared" si="18"/>
        <v>0</v>
      </c>
      <c r="U42" s="178"/>
      <c r="V42" s="80">
        <f t="shared" si="19"/>
        <v>0</v>
      </c>
    </row>
    <row r="43" spans="1:22" ht="12.75" customHeight="1">
      <c r="A43" s="2" t="s">
        <v>391</v>
      </c>
      <c r="B43" s="35"/>
      <c r="C43" s="178"/>
      <c r="D43" s="80">
        <f t="shared" si="10"/>
        <v>0</v>
      </c>
      <c r="E43" s="178"/>
      <c r="F43" s="80">
        <f t="shared" si="11"/>
        <v>0</v>
      </c>
      <c r="G43" s="178"/>
      <c r="H43" s="80">
        <f t="shared" si="12"/>
        <v>0</v>
      </c>
      <c r="I43" s="178"/>
      <c r="J43" s="80">
        <f t="shared" si="13"/>
        <v>0</v>
      </c>
      <c r="K43" s="178"/>
      <c r="L43" s="80">
        <f t="shared" si="14"/>
        <v>0</v>
      </c>
      <c r="M43" s="178"/>
      <c r="N43" s="80">
        <f t="shared" si="15"/>
        <v>0</v>
      </c>
      <c r="O43" s="178"/>
      <c r="P43" s="80">
        <f t="shared" si="16"/>
        <v>0</v>
      </c>
      <c r="Q43" s="178"/>
      <c r="R43" s="80">
        <f t="shared" si="17"/>
        <v>0</v>
      </c>
      <c r="S43" s="178"/>
      <c r="T43" s="80">
        <f t="shared" si="18"/>
        <v>0</v>
      </c>
      <c r="U43" s="178"/>
      <c r="V43" s="80">
        <f t="shared" si="19"/>
        <v>0</v>
      </c>
    </row>
    <row r="44" spans="1:22" ht="12.75" customHeight="1">
      <c r="A44" s="2" t="s">
        <v>392</v>
      </c>
      <c r="B44" s="35"/>
      <c r="C44" s="178"/>
      <c r="D44" s="80">
        <f t="shared" si="10"/>
        <v>0</v>
      </c>
      <c r="E44" s="178"/>
      <c r="F44" s="80">
        <f t="shared" si="11"/>
        <v>0</v>
      </c>
      <c r="G44" s="178"/>
      <c r="H44" s="80">
        <f t="shared" si="12"/>
        <v>0</v>
      </c>
      <c r="I44" s="178"/>
      <c r="J44" s="80">
        <f t="shared" si="13"/>
        <v>0</v>
      </c>
      <c r="K44" s="178"/>
      <c r="L44" s="80">
        <f t="shared" si="14"/>
        <v>0</v>
      </c>
      <c r="M44" s="178"/>
      <c r="N44" s="80">
        <f t="shared" si="15"/>
        <v>0</v>
      </c>
      <c r="O44" s="178"/>
      <c r="P44" s="80">
        <f t="shared" si="16"/>
        <v>0</v>
      </c>
      <c r="Q44" s="178"/>
      <c r="R44" s="80">
        <f t="shared" si="17"/>
        <v>0</v>
      </c>
      <c r="S44" s="178"/>
      <c r="T44" s="80">
        <f t="shared" si="18"/>
        <v>0</v>
      </c>
      <c r="U44" s="178"/>
      <c r="V44" s="80">
        <f t="shared" si="19"/>
        <v>0</v>
      </c>
    </row>
    <row r="45" spans="1:22" ht="12.75" customHeight="1">
      <c r="A45" s="2" t="s">
        <v>393</v>
      </c>
      <c r="B45" s="35"/>
      <c r="C45" s="181">
        <f>+SUM(C36+C37)*0.094</f>
        <v>59532.925999999999</v>
      </c>
      <c r="D45" s="80">
        <f t="shared" si="10"/>
        <v>0</v>
      </c>
      <c r="E45" s="181">
        <f>+SUM(E36+E37)*0.094</f>
        <v>61021.249149999996</v>
      </c>
      <c r="F45" s="80">
        <f t="shared" si="11"/>
        <v>0</v>
      </c>
      <c r="G45" s="181">
        <f>+SUM(G36+G37)*0.094</f>
        <v>62546.780378749987</v>
      </c>
      <c r="H45" s="80">
        <f t="shared" si="12"/>
        <v>0</v>
      </c>
      <c r="I45" s="181">
        <f>+SUM(I36+I37)*0.094</f>
        <v>64110.449888218733</v>
      </c>
      <c r="J45" s="80">
        <f t="shared" si="13"/>
        <v>0</v>
      </c>
      <c r="K45" s="181">
        <f>+SUM(K36+K37)*0.094</f>
        <v>65713.211135424193</v>
      </c>
      <c r="L45" s="80">
        <f t="shared" si="14"/>
        <v>0</v>
      </c>
      <c r="M45" s="181">
        <f>+SUM(M36+M37)*0.094</f>
        <v>67356.041413809784</v>
      </c>
      <c r="N45" s="80">
        <f t="shared" si="15"/>
        <v>0</v>
      </c>
      <c r="O45" s="181">
        <f>+SUM(O36+O37)*0.094</f>
        <v>69039.942449155031</v>
      </c>
      <c r="P45" s="80">
        <f t="shared" si="16"/>
        <v>0</v>
      </c>
      <c r="Q45" s="181">
        <f>+SUM(Q36+Q37)*0.094</f>
        <v>70765.941010383904</v>
      </c>
      <c r="R45" s="80">
        <f t="shared" si="17"/>
        <v>0</v>
      </c>
      <c r="S45" s="181">
        <f>+SUM(S36+S37)*0.094</f>
        <v>72535.089535643492</v>
      </c>
      <c r="T45" s="80">
        <f t="shared" si="18"/>
        <v>0</v>
      </c>
      <c r="U45" s="181">
        <f>+SUM(U36+U37)*0.094</f>
        <v>74348.466774034576</v>
      </c>
      <c r="V45" s="80">
        <f t="shared" si="19"/>
        <v>0</v>
      </c>
    </row>
    <row r="46" spans="1:22" ht="12.75" customHeight="1">
      <c r="A46" s="1" t="s">
        <v>394</v>
      </c>
      <c r="B46" s="53"/>
      <c r="C46" s="82">
        <f>SUM(C36:C45)</f>
        <v>771394.72199999995</v>
      </c>
      <c r="D46" s="83">
        <f t="shared" si="10"/>
        <v>0</v>
      </c>
      <c r="E46" s="82">
        <f>SUM(E36:E45)</f>
        <v>790679.59005</v>
      </c>
      <c r="F46" s="83">
        <f t="shared" si="11"/>
        <v>0</v>
      </c>
      <c r="G46" s="82">
        <f>SUM(G36:G45)</f>
        <v>810446.5798012499</v>
      </c>
      <c r="H46" s="83">
        <f t="shared" si="12"/>
        <v>0</v>
      </c>
      <c r="I46" s="82">
        <f>SUM(I36:I45)</f>
        <v>830707.74429628113</v>
      </c>
      <c r="J46" s="83">
        <f t="shared" si="13"/>
        <v>0</v>
      </c>
      <c r="K46" s="82">
        <f>SUM(K36:K45)</f>
        <v>851475.43790368794</v>
      </c>
      <c r="L46" s="83">
        <f t="shared" si="14"/>
        <v>0</v>
      </c>
      <c r="M46" s="82">
        <f>SUM(M36:M45)</f>
        <v>872762.32385128003</v>
      </c>
      <c r="N46" s="83">
        <f t="shared" si="15"/>
        <v>0</v>
      </c>
      <c r="O46" s="82">
        <f>SUM(O36:O45)</f>
        <v>894581.3819475621</v>
      </c>
      <c r="P46" s="83">
        <f t="shared" si="16"/>
        <v>0</v>
      </c>
      <c r="Q46" s="82">
        <f>SUM(Q36:Q45)</f>
        <v>916945.91649625101</v>
      </c>
      <c r="R46" s="83">
        <f t="shared" si="17"/>
        <v>0</v>
      </c>
      <c r="S46" s="82">
        <f>SUM(S36:S45)</f>
        <v>939869.56440865702</v>
      </c>
      <c r="T46" s="83">
        <f t="shared" si="18"/>
        <v>0</v>
      </c>
      <c r="U46" s="82">
        <f>SUM(U36:U45)</f>
        <v>963366.30351887352</v>
      </c>
      <c r="V46" s="83">
        <f t="shared" si="19"/>
        <v>0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435" ht="12.75" customHeight="1">
      <c r="A49" s="1"/>
      <c r="B49" s="118"/>
    </row>
    <row r="50" spans="1:435" ht="12.75" customHeight="1">
      <c r="C50" s="86" t="str">
        <f>C6</f>
        <v>FY 2018-19</v>
      </c>
      <c r="D50" s="86" t="s">
        <v>366</v>
      </c>
      <c r="E50" s="86" t="str">
        <f>E6</f>
        <v>FY 2019-20</v>
      </c>
      <c r="F50" s="86" t="s">
        <v>366</v>
      </c>
      <c r="G50" s="86" t="str">
        <f>G6</f>
        <v>FY 2020-21</v>
      </c>
      <c r="H50" s="86" t="s">
        <v>366</v>
      </c>
      <c r="I50" s="86" t="str">
        <f>I6</f>
        <v>FY 2021-22</v>
      </c>
      <c r="J50" s="86" t="s">
        <v>366</v>
      </c>
      <c r="K50" s="86" t="str">
        <f>K6</f>
        <v>FY 2022-23</v>
      </c>
      <c r="L50" s="86" t="s">
        <v>366</v>
      </c>
      <c r="M50" s="86" t="str">
        <f>M6</f>
        <v>FY 2023-24</v>
      </c>
      <c r="N50" s="86" t="s">
        <v>366</v>
      </c>
      <c r="O50" s="86" t="str">
        <f>O6</f>
        <v>FY 2024-25</v>
      </c>
      <c r="P50" s="86" t="s">
        <v>366</v>
      </c>
      <c r="Q50" s="86" t="str">
        <f>Q6</f>
        <v>FY 2025-26</v>
      </c>
      <c r="R50" s="86" t="s">
        <v>366</v>
      </c>
      <c r="S50" s="86" t="str">
        <f>S6</f>
        <v>FY 2026-27</v>
      </c>
      <c r="T50" s="86" t="s">
        <v>366</v>
      </c>
      <c r="U50" s="86" t="str">
        <f>U6</f>
        <v>FY 2027-28</v>
      </c>
      <c r="V50" s="86" t="s">
        <v>366</v>
      </c>
    </row>
    <row r="51" spans="1:435" ht="12.75" customHeight="1">
      <c r="A51" s="1" t="s">
        <v>395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435" s="212" customFormat="1" ht="12.75" customHeight="1">
      <c r="A52" s="2" t="s">
        <v>396</v>
      </c>
      <c r="B52" s="35"/>
      <c r="C52" s="178">
        <v>298689.61284133</v>
      </c>
      <c r="D52" s="80">
        <f t="shared" ref="D52" si="20">IFERROR(C52/C$28,0)</f>
        <v>0</v>
      </c>
      <c r="E52" s="178">
        <v>1646836.6886236048</v>
      </c>
      <c r="F52" s="80">
        <f t="shared" ref="F52" si="21">IFERROR(E52/E$28,0)</f>
        <v>0</v>
      </c>
      <c r="G52" s="178">
        <v>2348964.348198073</v>
      </c>
      <c r="H52" s="80">
        <f t="shared" ref="H52" si="22">IFERROR(G52/G$28,0)</f>
        <v>0</v>
      </c>
      <c r="I52" s="178">
        <v>2356107.2053409303</v>
      </c>
      <c r="J52" s="80">
        <f t="shared" ref="J52" si="23">IFERROR(I52/I$28,0)</f>
        <v>0</v>
      </c>
      <c r="K52" s="178">
        <v>2447609.6683951169</v>
      </c>
      <c r="L52" s="80">
        <f t="shared" ref="L52" si="24">IFERROR(K52/K$28,0)</f>
        <v>0</v>
      </c>
      <c r="M52" s="178">
        <v>2589851.0477054617</v>
      </c>
      <c r="N52" s="80">
        <f t="shared" ref="N52" si="25">IFERROR(M52/M$28,0)</f>
        <v>0</v>
      </c>
      <c r="O52" s="178">
        <v>2589851.0477054617</v>
      </c>
      <c r="P52" s="80">
        <f t="shared" ref="P52" si="26">IFERROR(O52/O$28,0)</f>
        <v>0</v>
      </c>
      <c r="Q52" s="178">
        <v>2589851.0477054617</v>
      </c>
      <c r="R52" s="80">
        <f t="shared" ref="R52" si="27">IFERROR(Q52/Q$28,0)</f>
        <v>0</v>
      </c>
      <c r="S52" s="178">
        <v>2589851.0477054617</v>
      </c>
      <c r="T52" s="80">
        <f t="shared" ref="T52" si="28">IFERROR(S52/S$28,0)</f>
        <v>0</v>
      </c>
      <c r="U52" s="178">
        <v>1942388.2857790967</v>
      </c>
      <c r="V52" s="80">
        <f t="shared" ref="V52" si="29">IFERROR(U52/U$28,0)</f>
        <v>0</v>
      </c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</row>
    <row r="53" spans="1:435" s="212" customFormat="1" ht="12.75" customHeight="1">
      <c r="A53" s="2" t="s">
        <v>397</v>
      </c>
      <c r="B53" s="35"/>
      <c r="C53" s="178"/>
      <c r="D53" s="80">
        <f t="shared" ref="D53:D83" si="30">IFERROR(C53/C$28,0)</f>
        <v>0</v>
      </c>
      <c r="E53" s="178"/>
      <c r="F53" s="80">
        <f t="shared" ref="F53:F105" si="31">IFERROR(E53/E$28,0)</f>
        <v>0</v>
      </c>
      <c r="G53" s="178"/>
      <c r="H53" s="80">
        <f t="shared" ref="H53:H105" si="32">IFERROR(G53/G$28,0)</f>
        <v>0</v>
      </c>
      <c r="I53" s="178">
        <v>0</v>
      </c>
      <c r="J53" s="80">
        <f t="shared" ref="J53:J105" si="33">IFERROR(I53/I$28,0)</f>
        <v>0</v>
      </c>
      <c r="K53" s="178">
        <v>0</v>
      </c>
      <c r="L53" s="80">
        <f t="shared" ref="L53:L105" si="34">IFERROR(K53/K$28,0)</f>
        <v>0</v>
      </c>
      <c r="M53" s="178">
        <v>0</v>
      </c>
      <c r="N53" s="80">
        <f t="shared" ref="N53:N105" si="35">IFERROR(M53/M$28,0)</f>
        <v>0</v>
      </c>
      <c r="O53" s="178">
        <v>0</v>
      </c>
      <c r="P53" s="80">
        <f t="shared" ref="P53:P105" si="36">IFERROR(O53/O$28,0)</f>
        <v>0</v>
      </c>
      <c r="Q53" s="178">
        <v>0</v>
      </c>
      <c r="R53" s="80">
        <f t="shared" ref="R53:R105" si="37">IFERROR(Q53/Q$28,0)</f>
        <v>0</v>
      </c>
      <c r="S53" s="178">
        <v>0</v>
      </c>
      <c r="T53" s="80">
        <f t="shared" ref="T53:T105" si="38">IFERROR(S53/S$28,0)</f>
        <v>0</v>
      </c>
      <c r="U53" s="178">
        <v>0</v>
      </c>
      <c r="V53" s="80">
        <f t="shared" ref="V53:V105" si="39">IFERROR(U53/U$28,0)</f>
        <v>0</v>
      </c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</row>
    <row r="54" spans="1:435" ht="12.75" customHeight="1">
      <c r="A54" s="2" t="s">
        <v>398</v>
      </c>
      <c r="B54" s="35"/>
      <c r="C54" s="178">
        <v>0</v>
      </c>
      <c r="D54" s="80">
        <f t="shared" si="30"/>
        <v>0</v>
      </c>
      <c r="E54" s="178">
        <v>0</v>
      </c>
      <c r="F54" s="80">
        <f t="shared" si="31"/>
        <v>0</v>
      </c>
      <c r="G54" s="178">
        <v>0</v>
      </c>
      <c r="H54" s="80">
        <f t="shared" si="32"/>
        <v>0</v>
      </c>
      <c r="I54" s="178">
        <v>0</v>
      </c>
      <c r="J54" s="80">
        <f t="shared" si="33"/>
        <v>0</v>
      </c>
      <c r="K54" s="178">
        <v>0</v>
      </c>
      <c r="L54" s="80">
        <f t="shared" si="34"/>
        <v>0</v>
      </c>
      <c r="M54" s="178">
        <v>0</v>
      </c>
      <c r="N54" s="80">
        <f t="shared" si="35"/>
        <v>0</v>
      </c>
      <c r="O54" s="178">
        <v>0</v>
      </c>
      <c r="P54" s="80">
        <f t="shared" si="36"/>
        <v>0</v>
      </c>
      <c r="Q54" s="178">
        <v>0</v>
      </c>
      <c r="R54" s="80">
        <f t="shared" si="37"/>
        <v>0</v>
      </c>
      <c r="S54" s="178">
        <v>0</v>
      </c>
      <c r="T54" s="80">
        <f t="shared" si="38"/>
        <v>0</v>
      </c>
      <c r="U54" s="178">
        <v>0</v>
      </c>
      <c r="V54" s="80">
        <f t="shared" si="39"/>
        <v>0</v>
      </c>
    </row>
    <row r="55" spans="1:435" ht="12.75" customHeight="1">
      <c r="A55" s="2" t="s">
        <v>399</v>
      </c>
      <c r="B55" s="35"/>
      <c r="C55" s="178">
        <v>0</v>
      </c>
      <c r="D55" s="80">
        <f t="shared" si="30"/>
        <v>0</v>
      </c>
      <c r="E55" s="178">
        <v>0</v>
      </c>
      <c r="F55" s="80">
        <f t="shared" si="31"/>
        <v>0</v>
      </c>
      <c r="G55" s="178">
        <v>0</v>
      </c>
      <c r="H55" s="80">
        <f t="shared" si="32"/>
        <v>0</v>
      </c>
      <c r="I55" s="178">
        <v>0</v>
      </c>
      <c r="J55" s="80">
        <f t="shared" si="33"/>
        <v>0</v>
      </c>
      <c r="K55" s="178">
        <v>0</v>
      </c>
      <c r="L55" s="80">
        <f t="shared" si="34"/>
        <v>0</v>
      </c>
      <c r="M55" s="178">
        <v>0</v>
      </c>
      <c r="N55" s="80">
        <f t="shared" si="35"/>
        <v>0</v>
      </c>
      <c r="O55" s="178">
        <v>0</v>
      </c>
      <c r="P55" s="80">
        <f t="shared" si="36"/>
        <v>0</v>
      </c>
      <c r="Q55" s="178">
        <v>0</v>
      </c>
      <c r="R55" s="80">
        <f t="shared" si="37"/>
        <v>0</v>
      </c>
      <c r="S55" s="178">
        <v>0</v>
      </c>
      <c r="T55" s="80">
        <f t="shared" si="38"/>
        <v>0</v>
      </c>
      <c r="U55" s="178">
        <v>0</v>
      </c>
      <c r="V55" s="80">
        <f t="shared" si="39"/>
        <v>0</v>
      </c>
    </row>
    <row r="56" spans="1:435" ht="12.75" customHeight="1">
      <c r="A56" s="2" t="s">
        <v>400</v>
      </c>
      <c r="B56" s="35"/>
      <c r="C56" s="178">
        <v>0</v>
      </c>
      <c r="D56" s="80">
        <f t="shared" si="30"/>
        <v>0</v>
      </c>
      <c r="E56" s="178">
        <v>0</v>
      </c>
      <c r="F56" s="80">
        <f t="shared" si="31"/>
        <v>0</v>
      </c>
      <c r="G56" s="178">
        <v>0</v>
      </c>
      <c r="H56" s="80">
        <f t="shared" si="32"/>
        <v>0</v>
      </c>
      <c r="I56" s="178">
        <v>0</v>
      </c>
      <c r="J56" s="80">
        <f t="shared" si="33"/>
        <v>0</v>
      </c>
      <c r="K56" s="178">
        <v>0</v>
      </c>
      <c r="L56" s="80">
        <f t="shared" si="34"/>
        <v>0</v>
      </c>
      <c r="M56" s="178">
        <v>0</v>
      </c>
      <c r="N56" s="80">
        <f t="shared" si="35"/>
        <v>0</v>
      </c>
      <c r="O56" s="178">
        <v>0</v>
      </c>
      <c r="P56" s="80">
        <f t="shared" si="36"/>
        <v>0</v>
      </c>
      <c r="Q56" s="178">
        <v>0</v>
      </c>
      <c r="R56" s="80">
        <f t="shared" si="37"/>
        <v>0</v>
      </c>
      <c r="S56" s="178">
        <v>0</v>
      </c>
      <c r="T56" s="80">
        <f t="shared" si="38"/>
        <v>0</v>
      </c>
      <c r="U56" s="178">
        <v>0</v>
      </c>
      <c r="V56" s="80">
        <f t="shared" si="39"/>
        <v>0</v>
      </c>
    </row>
    <row r="57" spans="1:435" s="212" customFormat="1" ht="12.75" customHeight="1">
      <c r="A57" s="2" t="s">
        <v>401</v>
      </c>
      <c r="B57" s="35"/>
      <c r="C57" s="178">
        <v>13078</v>
      </c>
      <c r="D57" s="80">
        <f t="shared" si="30"/>
        <v>0</v>
      </c>
      <c r="E57" s="178">
        <v>13404.949999999999</v>
      </c>
      <c r="F57" s="80">
        <f t="shared" si="31"/>
        <v>0</v>
      </c>
      <c r="G57" s="178">
        <v>13740.073749999998</v>
      </c>
      <c r="H57" s="80">
        <f t="shared" si="32"/>
        <v>0</v>
      </c>
      <c r="I57" s="178">
        <v>14083.575593749996</v>
      </c>
      <c r="J57" s="80">
        <f t="shared" si="33"/>
        <v>0</v>
      </c>
      <c r="K57" s="178">
        <v>14435.664983593744</v>
      </c>
      <c r="L57" s="80">
        <f t="shared" si="34"/>
        <v>0</v>
      </c>
      <c r="M57" s="178">
        <v>14796.556608183586</v>
      </c>
      <c r="N57" s="80">
        <f t="shared" si="35"/>
        <v>0</v>
      </c>
      <c r="O57" s="178">
        <v>15166.470523388174</v>
      </c>
      <c r="P57" s="80">
        <f t="shared" si="36"/>
        <v>0</v>
      </c>
      <c r="Q57" s="178">
        <v>15545.632286472877</v>
      </c>
      <c r="R57" s="80">
        <f t="shared" si="37"/>
        <v>0</v>
      </c>
      <c r="S57" s="178">
        <v>15934.273093634698</v>
      </c>
      <c r="T57" s="80">
        <f t="shared" si="38"/>
        <v>0</v>
      </c>
      <c r="U57" s="178">
        <v>16332.629920975563</v>
      </c>
      <c r="V57" s="80">
        <f t="shared" si="39"/>
        <v>0</v>
      </c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</row>
    <row r="58" spans="1:435" s="212" customFormat="1" ht="12.75" customHeight="1">
      <c r="A58" s="2" t="s">
        <v>402</v>
      </c>
      <c r="B58" s="35"/>
      <c r="C58" s="178">
        <v>12252</v>
      </c>
      <c r="D58" s="80">
        <f t="shared" si="30"/>
        <v>0</v>
      </c>
      <c r="E58" s="178">
        <v>13989</v>
      </c>
      <c r="F58" s="80">
        <f t="shared" si="31"/>
        <v>0</v>
      </c>
      <c r="G58" s="178">
        <v>14338.724999999999</v>
      </c>
      <c r="H58" s="80">
        <f t="shared" si="32"/>
        <v>0</v>
      </c>
      <c r="I58" s="178">
        <v>14697.193124999998</v>
      </c>
      <c r="J58" s="80">
        <f t="shared" si="33"/>
        <v>0</v>
      </c>
      <c r="K58" s="178">
        <v>15064.622953124997</v>
      </c>
      <c r="L58" s="80">
        <f t="shared" si="34"/>
        <v>0</v>
      </c>
      <c r="M58" s="178">
        <v>15441.238526953121</v>
      </c>
      <c r="N58" s="80">
        <f t="shared" si="35"/>
        <v>0</v>
      </c>
      <c r="O58" s="178">
        <v>15827.269490126948</v>
      </c>
      <c r="P58" s="80">
        <f t="shared" si="36"/>
        <v>0</v>
      </c>
      <c r="Q58" s="178">
        <v>16222.951227380121</v>
      </c>
      <c r="R58" s="80">
        <f t="shared" si="37"/>
        <v>0</v>
      </c>
      <c r="S58" s="178">
        <v>16628.525008064622</v>
      </c>
      <c r="T58" s="80">
        <f t="shared" si="38"/>
        <v>0</v>
      </c>
      <c r="U58" s="178">
        <v>17044.238133266237</v>
      </c>
      <c r="V58" s="80">
        <f t="shared" si="39"/>
        <v>0</v>
      </c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</row>
    <row r="59" spans="1:435" ht="12.75" customHeight="1">
      <c r="A59" s="2" t="s">
        <v>403</v>
      </c>
      <c r="B59" s="35"/>
      <c r="C59" s="178">
        <v>0</v>
      </c>
      <c r="D59" s="80">
        <f t="shared" si="30"/>
        <v>0</v>
      </c>
      <c r="E59" s="178">
        <v>0</v>
      </c>
      <c r="F59" s="80">
        <f t="shared" si="31"/>
        <v>0</v>
      </c>
      <c r="G59" s="178">
        <v>0</v>
      </c>
      <c r="H59" s="80">
        <f t="shared" si="32"/>
        <v>0</v>
      </c>
      <c r="I59" s="178">
        <v>0</v>
      </c>
      <c r="J59" s="80">
        <f t="shared" si="33"/>
        <v>0</v>
      </c>
      <c r="K59" s="178">
        <v>0</v>
      </c>
      <c r="L59" s="80">
        <f t="shared" si="34"/>
        <v>0</v>
      </c>
      <c r="M59" s="178">
        <v>0</v>
      </c>
      <c r="N59" s="80">
        <f t="shared" si="35"/>
        <v>0</v>
      </c>
      <c r="O59" s="178">
        <v>0</v>
      </c>
      <c r="P59" s="80">
        <f t="shared" si="36"/>
        <v>0</v>
      </c>
      <c r="Q59" s="178">
        <v>0</v>
      </c>
      <c r="R59" s="80">
        <f t="shared" si="37"/>
        <v>0</v>
      </c>
      <c r="S59" s="178">
        <v>0</v>
      </c>
      <c r="T59" s="80">
        <f t="shared" si="38"/>
        <v>0</v>
      </c>
      <c r="U59" s="178">
        <v>0</v>
      </c>
      <c r="V59" s="80">
        <f t="shared" si="39"/>
        <v>0</v>
      </c>
    </row>
    <row r="60" spans="1:435" s="212" customFormat="1" ht="12.75" customHeight="1">
      <c r="A60" s="2" t="s">
        <v>404</v>
      </c>
      <c r="B60" s="35"/>
      <c r="C60" s="178">
        <v>0</v>
      </c>
      <c r="D60" s="80">
        <f t="shared" si="30"/>
        <v>0</v>
      </c>
      <c r="E60" s="178">
        <v>0</v>
      </c>
      <c r="F60" s="80">
        <f t="shared" si="31"/>
        <v>0</v>
      </c>
      <c r="G60" s="178">
        <v>0</v>
      </c>
      <c r="H60" s="80">
        <f t="shared" si="32"/>
        <v>0</v>
      </c>
      <c r="I60" s="178">
        <v>0</v>
      </c>
      <c r="J60" s="80">
        <f t="shared" si="33"/>
        <v>0</v>
      </c>
      <c r="K60" s="178">
        <v>0</v>
      </c>
      <c r="L60" s="80">
        <f t="shared" si="34"/>
        <v>0</v>
      </c>
      <c r="M60" s="178">
        <v>0</v>
      </c>
      <c r="N60" s="80">
        <f t="shared" si="35"/>
        <v>0</v>
      </c>
      <c r="O60" s="178">
        <v>0</v>
      </c>
      <c r="P60" s="80">
        <f t="shared" si="36"/>
        <v>0</v>
      </c>
      <c r="Q60" s="178">
        <v>0</v>
      </c>
      <c r="R60" s="80">
        <f t="shared" si="37"/>
        <v>0</v>
      </c>
      <c r="S60" s="178">
        <v>0</v>
      </c>
      <c r="T60" s="80">
        <f t="shared" si="38"/>
        <v>0</v>
      </c>
      <c r="U60" s="178">
        <v>0</v>
      </c>
      <c r="V60" s="80">
        <f t="shared" si="39"/>
        <v>0</v>
      </c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</row>
    <row r="61" spans="1:435" s="212" customFormat="1" ht="12.75" customHeight="1">
      <c r="A61" s="2" t="s">
        <v>405</v>
      </c>
      <c r="B61" s="35"/>
      <c r="C61" s="178">
        <v>134132.52499999999</v>
      </c>
      <c r="D61" s="80">
        <f t="shared" si="30"/>
        <v>0</v>
      </c>
      <c r="E61" s="178">
        <v>160959.03</v>
      </c>
      <c r="F61" s="80">
        <f t="shared" si="31"/>
        <v>0</v>
      </c>
      <c r="G61" s="178">
        <v>177054.93300000002</v>
      </c>
      <c r="H61" s="80">
        <f t="shared" si="32"/>
        <v>0</v>
      </c>
      <c r="I61" s="178">
        <v>181481.30632500001</v>
      </c>
      <c r="J61" s="80">
        <f t="shared" si="33"/>
        <v>0</v>
      </c>
      <c r="K61" s="178">
        <v>186018.338983125</v>
      </c>
      <c r="L61" s="80">
        <f t="shared" si="34"/>
        <v>0</v>
      </c>
      <c r="M61" s="178">
        <v>190668.7974577031</v>
      </c>
      <c r="N61" s="80">
        <f t="shared" si="35"/>
        <v>0</v>
      </c>
      <c r="O61" s="178">
        <v>195435.51739414566</v>
      </c>
      <c r="P61" s="80">
        <f t="shared" si="36"/>
        <v>0</v>
      </c>
      <c r="Q61" s="178">
        <v>200321.40532899927</v>
      </c>
      <c r="R61" s="80">
        <f t="shared" si="37"/>
        <v>0</v>
      </c>
      <c r="S61" s="178">
        <v>205329.44046222424</v>
      </c>
      <c r="T61" s="80">
        <f t="shared" si="38"/>
        <v>0</v>
      </c>
      <c r="U61" s="178">
        <v>210462.67647377984</v>
      </c>
      <c r="V61" s="80">
        <f t="shared" si="39"/>
        <v>0</v>
      </c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</row>
    <row r="62" spans="1:435" s="212" customFormat="1" ht="12.75" customHeight="1">
      <c r="A62" s="2" t="s">
        <v>406</v>
      </c>
      <c r="B62" s="35"/>
      <c r="C62" s="178">
        <v>762608.2728988931</v>
      </c>
      <c r="D62" s="80">
        <f t="shared" si="30"/>
        <v>0</v>
      </c>
      <c r="E62" s="178">
        <v>865459.56820365239</v>
      </c>
      <c r="F62" s="80">
        <f t="shared" si="31"/>
        <v>0</v>
      </c>
      <c r="G62" s="178">
        <v>1423343.9343738651</v>
      </c>
      <c r="H62" s="80">
        <f t="shared" si="32"/>
        <v>0</v>
      </c>
      <c r="I62" s="178">
        <v>932841.42727386509</v>
      </c>
      <c r="J62" s="80">
        <f t="shared" si="33"/>
        <v>0</v>
      </c>
      <c r="K62" s="178">
        <v>948514.01737465803</v>
      </c>
      <c r="L62" s="80">
        <f t="shared" si="34"/>
        <v>0</v>
      </c>
      <c r="M62" s="178">
        <v>1518016.3541439925</v>
      </c>
      <c r="N62" s="80">
        <f t="shared" si="35"/>
        <v>0</v>
      </c>
      <c r="O62" s="178">
        <v>977848.15756813064</v>
      </c>
      <c r="P62" s="80">
        <f t="shared" si="36"/>
        <v>0</v>
      </c>
      <c r="Q62" s="178">
        <v>987974.91509499319</v>
      </c>
      <c r="R62" s="80">
        <f t="shared" si="37"/>
        <v>0</v>
      </c>
      <c r="S62" s="178">
        <v>1598405.4753476614</v>
      </c>
      <c r="T62" s="80">
        <f t="shared" si="38"/>
        <v>0</v>
      </c>
      <c r="U62" s="178">
        <v>963826.55907306424</v>
      </c>
      <c r="V62" s="80">
        <f t="shared" si="39"/>
        <v>0</v>
      </c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</row>
    <row r="63" spans="1:435" ht="12.75" customHeight="1">
      <c r="A63" s="2" t="s">
        <v>407</v>
      </c>
      <c r="B63" s="35"/>
      <c r="C63" s="178">
        <v>0</v>
      </c>
      <c r="D63" s="80">
        <f t="shared" si="30"/>
        <v>0</v>
      </c>
      <c r="E63" s="178">
        <v>0</v>
      </c>
      <c r="F63" s="80">
        <f t="shared" si="31"/>
        <v>0</v>
      </c>
      <c r="G63" s="178">
        <v>0</v>
      </c>
      <c r="H63" s="80">
        <f t="shared" si="32"/>
        <v>0</v>
      </c>
      <c r="I63" s="178">
        <v>0</v>
      </c>
      <c r="J63" s="80">
        <f t="shared" si="33"/>
        <v>0</v>
      </c>
      <c r="K63" s="178">
        <v>0</v>
      </c>
      <c r="L63" s="80">
        <f t="shared" si="34"/>
        <v>0</v>
      </c>
      <c r="M63" s="178">
        <v>0</v>
      </c>
      <c r="N63" s="80">
        <f t="shared" si="35"/>
        <v>0</v>
      </c>
      <c r="O63" s="178">
        <v>0</v>
      </c>
      <c r="P63" s="80">
        <f t="shared" si="36"/>
        <v>0</v>
      </c>
      <c r="Q63" s="178">
        <v>0</v>
      </c>
      <c r="R63" s="80">
        <f t="shared" si="37"/>
        <v>0</v>
      </c>
      <c r="S63" s="178">
        <v>0</v>
      </c>
      <c r="T63" s="80">
        <f t="shared" si="38"/>
        <v>0</v>
      </c>
      <c r="U63" s="178">
        <v>0</v>
      </c>
      <c r="V63" s="80">
        <f t="shared" si="39"/>
        <v>0</v>
      </c>
    </row>
    <row r="64" spans="1:435" ht="12.75" customHeight="1">
      <c r="A64" s="2" t="s">
        <v>408</v>
      </c>
      <c r="B64" s="35"/>
      <c r="C64" s="178">
        <v>0</v>
      </c>
      <c r="D64" s="80">
        <f t="shared" si="30"/>
        <v>0</v>
      </c>
      <c r="E64" s="178">
        <v>0</v>
      </c>
      <c r="F64" s="80">
        <f t="shared" si="31"/>
        <v>0</v>
      </c>
      <c r="G64" s="178">
        <v>0</v>
      </c>
      <c r="H64" s="80">
        <f t="shared" si="32"/>
        <v>0</v>
      </c>
      <c r="I64" s="178">
        <v>0</v>
      </c>
      <c r="J64" s="80">
        <f t="shared" si="33"/>
        <v>0</v>
      </c>
      <c r="K64" s="178">
        <v>0</v>
      </c>
      <c r="L64" s="80">
        <f t="shared" si="34"/>
        <v>0</v>
      </c>
      <c r="M64" s="178">
        <v>0</v>
      </c>
      <c r="N64" s="80">
        <f t="shared" si="35"/>
        <v>0</v>
      </c>
      <c r="O64" s="178">
        <v>0</v>
      </c>
      <c r="P64" s="80">
        <f t="shared" si="36"/>
        <v>0</v>
      </c>
      <c r="Q64" s="178">
        <v>0</v>
      </c>
      <c r="R64" s="80">
        <f t="shared" si="37"/>
        <v>0</v>
      </c>
      <c r="S64" s="178">
        <v>0</v>
      </c>
      <c r="T64" s="80">
        <f t="shared" si="38"/>
        <v>0</v>
      </c>
      <c r="U64" s="178">
        <v>0</v>
      </c>
      <c r="V64" s="80">
        <f t="shared" si="39"/>
        <v>0</v>
      </c>
    </row>
    <row r="65" spans="1:435" ht="12.75" customHeight="1">
      <c r="A65" s="2" t="s">
        <v>409</v>
      </c>
      <c r="B65" s="35"/>
      <c r="C65" s="178">
        <v>0</v>
      </c>
      <c r="D65" s="80">
        <f t="shared" si="30"/>
        <v>0</v>
      </c>
      <c r="E65" s="178">
        <v>0</v>
      </c>
      <c r="F65" s="80">
        <f t="shared" si="31"/>
        <v>0</v>
      </c>
      <c r="G65" s="178">
        <v>0</v>
      </c>
      <c r="H65" s="80">
        <f t="shared" si="32"/>
        <v>0</v>
      </c>
      <c r="I65" s="178">
        <v>0</v>
      </c>
      <c r="J65" s="80">
        <f t="shared" si="33"/>
        <v>0</v>
      </c>
      <c r="K65" s="178">
        <v>0</v>
      </c>
      <c r="L65" s="80">
        <f t="shared" si="34"/>
        <v>0</v>
      </c>
      <c r="M65" s="178">
        <v>0</v>
      </c>
      <c r="N65" s="80">
        <f t="shared" si="35"/>
        <v>0</v>
      </c>
      <c r="O65" s="178">
        <v>0</v>
      </c>
      <c r="P65" s="80">
        <f t="shared" si="36"/>
        <v>0</v>
      </c>
      <c r="Q65" s="178">
        <v>0</v>
      </c>
      <c r="R65" s="80">
        <f t="shared" si="37"/>
        <v>0</v>
      </c>
      <c r="S65" s="178">
        <v>0</v>
      </c>
      <c r="T65" s="80">
        <f t="shared" si="38"/>
        <v>0</v>
      </c>
      <c r="U65" s="178">
        <v>0</v>
      </c>
      <c r="V65" s="80">
        <f t="shared" si="39"/>
        <v>0</v>
      </c>
    </row>
    <row r="66" spans="1:435" ht="12.75" customHeight="1">
      <c r="A66" s="2" t="s">
        <v>410</v>
      </c>
      <c r="B66" s="35"/>
      <c r="C66" s="178">
        <v>0</v>
      </c>
      <c r="D66" s="80">
        <f t="shared" si="30"/>
        <v>0</v>
      </c>
      <c r="E66" s="178">
        <v>0</v>
      </c>
      <c r="F66" s="80">
        <f t="shared" si="31"/>
        <v>0</v>
      </c>
      <c r="G66" s="178">
        <v>0</v>
      </c>
      <c r="H66" s="80">
        <f t="shared" si="32"/>
        <v>0</v>
      </c>
      <c r="I66" s="178">
        <v>0</v>
      </c>
      <c r="J66" s="80">
        <f t="shared" si="33"/>
        <v>0</v>
      </c>
      <c r="K66" s="178">
        <v>0</v>
      </c>
      <c r="L66" s="80">
        <f t="shared" si="34"/>
        <v>0</v>
      </c>
      <c r="M66" s="178">
        <v>0</v>
      </c>
      <c r="N66" s="80">
        <f t="shared" si="35"/>
        <v>0</v>
      </c>
      <c r="O66" s="178">
        <v>0</v>
      </c>
      <c r="P66" s="80">
        <f t="shared" si="36"/>
        <v>0</v>
      </c>
      <c r="Q66" s="178">
        <v>0</v>
      </c>
      <c r="R66" s="80">
        <f t="shared" si="37"/>
        <v>0</v>
      </c>
      <c r="S66" s="178">
        <v>0</v>
      </c>
      <c r="T66" s="80">
        <f t="shared" si="38"/>
        <v>0</v>
      </c>
      <c r="U66" s="178">
        <v>0</v>
      </c>
      <c r="V66" s="80">
        <f t="shared" si="39"/>
        <v>0</v>
      </c>
    </row>
    <row r="67" spans="1:435" ht="12.75" customHeight="1">
      <c r="A67" s="2" t="s">
        <v>411</v>
      </c>
      <c r="B67" s="35"/>
      <c r="C67" s="178">
        <v>0</v>
      </c>
      <c r="D67" s="80">
        <f t="shared" si="30"/>
        <v>0</v>
      </c>
      <c r="E67" s="178">
        <v>0</v>
      </c>
      <c r="F67" s="80">
        <f t="shared" si="31"/>
        <v>0</v>
      </c>
      <c r="G67" s="178">
        <v>0</v>
      </c>
      <c r="H67" s="80">
        <f t="shared" si="32"/>
        <v>0</v>
      </c>
      <c r="I67" s="178">
        <v>0</v>
      </c>
      <c r="J67" s="80">
        <f t="shared" si="33"/>
        <v>0</v>
      </c>
      <c r="K67" s="178">
        <v>0</v>
      </c>
      <c r="L67" s="80">
        <f t="shared" si="34"/>
        <v>0</v>
      </c>
      <c r="M67" s="178">
        <v>0</v>
      </c>
      <c r="N67" s="80">
        <f t="shared" si="35"/>
        <v>0</v>
      </c>
      <c r="O67" s="178">
        <v>0</v>
      </c>
      <c r="P67" s="80">
        <f t="shared" si="36"/>
        <v>0</v>
      </c>
      <c r="Q67" s="178">
        <v>0</v>
      </c>
      <c r="R67" s="80">
        <f t="shared" si="37"/>
        <v>0</v>
      </c>
      <c r="S67" s="178">
        <v>0</v>
      </c>
      <c r="T67" s="80">
        <f t="shared" si="38"/>
        <v>0</v>
      </c>
      <c r="U67" s="178">
        <v>0</v>
      </c>
      <c r="V67" s="80">
        <f t="shared" si="39"/>
        <v>0</v>
      </c>
    </row>
    <row r="68" spans="1:435" ht="12.75" customHeight="1">
      <c r="A68" s="2" t="s">
        <v>412</v>
      </c>
      <c r="B68" s="35"/>
      <c r="C68" s="178">
        <v>0</v>
      </c>
      <c r="D68" s="80">
        <f t="shared" si="30"/>
        <v>0</v>
      </c>
      <c r="E68" s="178">
        <v>0</v>
      </c>
      <c r="F68" s="80">
        <f t="shared" si="31"/>
        <v>0</v>
      </c>
      <c r="G68" s="178">
        <v>0</v>
      </c>
      <c r="H68" s="80">
        <f t="shared" si="32"/>
        <v>0</v>
      </c>
      <c r="I68" s="178">
        <v>0</v>
      </c>
      <c r="J68" s="80">
        <f t="shared" si="33"/>
        <v>0</v>
      </c>
      <c r="K68" s="178">
        <v>0</v>
      </c>
      <c r="L68" s="80">
        <f t="shared" si="34"/>
        <v>0</v>
      </c>
      <c r="M68" s="178">
        <v>0</v>
      </c>
      <c r="N68" s="80">
        <f t="shared" si="35"/>
        <v>0</v>
      </c>
      <c r="O68" s="178">
        <v>0</v>
      </c>
      <c r="P68" s="80">
        <f t="shared" si="36"/>
        <v>0</v>
      </c>
      <c r="Q68" s="178">
        <v>0</v>
      </c>
      <c r="R68" s="80">
        <f t="shared" si="37"/>
        <v>0</v>
      </c>
      <c r="S68" s="178">
        <v>0</v>
      </c>
      <c r="T68" s="80">
        <f t="shared" si="38"/>
        <v>0</v>
      </c>
      <c r="U68" s="178">
        <v>0</v>
      </c>
      <c r="V68" s="80">
        <f t="shared" si="39"/>
        <v>0</v>
      </c>
    </row>
    <row r="69" spans="1:435" s="212" customFormat="1" ht="12.75" customHeight="1">
      <c r="A69" s="2" t="s">
        <v>413</v>
      </c>
      <c r="B69" s="35"/>
      <c r="C69" s="178">
        <v>12588</v>
      </c>
      <c r="D69" s="80">
        <f t="shared" si="30"/>
        <v>0</v>
      </c>
      <c r="E69" s="178">
        <v>13846.800000000001</v>
      </c>
      <c r="F69" s="80">
        <f t="shared" si="31"/>
        <v>0</v>
      </c>
      <c r="G69" s="178">
        <v>14539.140000000001</v>
      </c>
      <c r="H69" s="80">
        <f t="shared" si="32"/>
        <v>0</v>
      </c>
      <c r="I69" s="178">
        <v>14902.6185</v>
      </c>
      <c r="J69" s="80">
        <f t="shared" si="33"/>
        <v>0</v>
      </c>
      <c r="K69" s="178">
        <v>15275.183962499999</v>
      </c>
      <c r="L69" s="80">
        <f t="shared" si="34"/>
        <v>0</v>
      </c>
      <c r="M69" s="178">
        <v>15657.063561562498</v>
      </c>
      <c r="N69" s="80">
        <f t="shared" si="35"/>
        <v>0</v>
      </c>
      <c r="O69" s="178">
        <v>16048.490150601559</v>
      </c>
      <c r="P69" s="80">
        <f t="shared" si="36"/>
        <v>0</v>
      </c>
      <c r="Q69" s="178">
        <v>16449.702404366599</v>
      </c>
      <c r="R69" s="80">
        <f t="shared" si="37"/>
        <v>0</v>
      </c>
      <c r="S69" s="178">
        <v>16860.944964475762</v>
      </c>
      <c r="T69" s="80">
        <f t="shared" si="38"/>
        <v>0</v>
      </c>
      <c r="U69" s="178">
        <v>17282.468588587653</v>
      </c>
      <c r="V69" s="80">
        <f t="shared" si="39"/>
        <v>0</v>
      </c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</row>
    <row r="70" spans="1:435" ht="12.75" customHeight="1">
      <c r="A70" s="2" t="s">
        <v>414</v>
      </c>
      <c r="B70" s="35"/>
      <c r="C70" s="178">
        <v>0</v>
      </c>
      <c r="D70" s="80">
        <f t="shared" si="30"/>
        <v>0</v>
      </c>
      <c r="E70" s="178">
        <v>0</v>
      </c>
      <c r="F70" s="80">
        <f t="shared" si="31"/>
        <v>0</v>
      </c>
      <c r="G70" s="178">
        <v>0</v>
      </c>
      <c r="H70" s="80">
        <f t="shared" si="32"/>
        <v>0</v>
      </c>
      <c r="I70" s="178">
        <v>0</v>
      </c>
      <c r="J70" s="80">
        <f t="shared" si="33"/>
        <v>0</v>
      </c>
      <c r="K70" s="178">
        <v>0</v>
      </c>
      <c r="L70" s="80">
        <f t="shared" si="34"/>
        <v>0</v>
      </c>
      <c r="M70" s="178">
        <v>0</v>
      </c>
      <c r="N70" s="80">
        <f t="shared" si="35"/>
        <v>0</v>
      </c>
      <c r="O70" s="178">
        <v>0</v>
      </c>
      <c r="P70" s="80">
        <f t="shared" si="36"/>
        <v>0</v>
      </c>
      <c r="Q70" s="178">
        <v>0</v>
      </c>
      <c r="R70" s="80">
        <f t="shared" si="37"/>
        <v>0</v>
      </c>
      <c r="S70" s="178">
        <v>0</v>
      </c>
      <c r="T70" s="80">
        <f t="shared" si="38"/>
        <v>0</v>
      </c>
      <c r="U70" s="178">
        <v>0</v>
      </c>
      <c r="V70" s="80">
        <f t="shared" si="39"/>
        <v>0</v>
      </c>
    </row>
    <row r="71" spans="1:435" s="212" customFormat="1" ht="12.75" customHeight="1">
      <c r="A71" s="2" t="s">
        <v>415</v>
      </c>
      <c r="B71" s="35"/>
      <c r="C71" s="178">
        <v>78522</v>
      </c>
      <c r="D71" s="80">
        <f t="shared" si="30"/>
        <v>0</v>
      </c>
      <c r="E71" s="178">
        <v>86374.200000000012</v>
      </c>
      <c r="F71" s="80">
        <f t="shared" si="31"/>
        <v>0</v>
      </c>
      <c r="G71" s="178">
        <v>90692.910000000018</v>
      </c>
      <c r="H71" s="80">
        <f t="shared" si="32"/>
        <v>0</v>
      </c>
      <c r="I71" s="178">
        <v>92960.23275000001</v>
      </c>
      <c r="J71" s="80">
        <f t="shared" si="33"/>
        <v>0</v>
      </c>
      <c r="K71" s="178">
        <v>95284.238568750006</v>
      </c>
      <c r="L71" s="80">
        <f t="shared" si="34"/>
        <v>0</v>
      </c>
      <c r="M71" s="178">
        <v>97666.344532968753</v>
      </c>
      <c r="N71" s="80">
        <f t="shared" si="35"/>
        <v>0</v>
      </c>
      <c r="O71" s="178">
        <v>100108.00314629296</v>
      </c>
      <c r="P71" s="80">
        <f t="shared" si="36"/>
        <v>0</v>
      </c>
      <c r="Q71" s="178">
        <v>102610.70322495028</v>
      </c>
      <c r="R71" s="80">
        <f t="shared" si="37"/>
        <v>0</v>
      </c>
      <c r="S71" s="178">
        <v>105175.97080557403</v>
      </c>
      <c r="T71" s="80">
        <f t="shared" si="38"/>
        <v>0</v>
      </c>
      <c r="U71" s="178">
        <v>107805.37007571338</v>
      </c>
      <c r="V71" s="80">
        <f t="shared" si="39"/>
        <v>0</v>
      </c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</row>
    <row r="72" spans="1:435" s="212" customFormat="1" ht="12.75" customHeight="1">
      <c r="A72" s="2" t="s">
        <v>416</v>
      </c>
      <c r="B72" s="35"/>
      <c r="C72" s="178">
        <v>5200</v>
      </c>
      <c r="D72" s="80">
        <f t="shared" si="30"/>
        <v>0</v>
      </c>
      <c r="E72" s="178">
        <v>5720.0000000000009</v>
      </c>
      <c r="F72" s="80">
        <f t="shared" si="31"/>
        <v>0</v>
      </c>
      <c r="G72" s="178">
        <v>6006.0000000000009</v>
      </c>
      <c r="H72" s="80">
        <f t="shared" si="32"/>
        <v>0</v>
      </c>
      <c r="I72" s="178">
        <v>6156.1500000000005</v>
      </c>
      <c r="J72" s="80">
        <f t="shared" si="33"/>
        <v>0</v>
      </c>
      <c r="K72" s="178">
        <v>6310.05375</v>
      </c>
      <c r="L72" s="80">
        <f t="shared" si="34"/>
        <v>0</v>
      </c>
      <c r="M72" s="178">
        <v>6467.8050937499993</v>
      </c>
      <c r="N72" s="80">
        <f t="shared" si="35"/>
        <v>0</v>
      </c>
      <c r="O72" s="178">
        <v>6629.5002210937491</v>
      </c>
      <c r="P72" s="80">
        <f t="shared" si="36"/>
        <v>0</v>
      </c>
      <c r="Q72" s="178">
        <v>6795.2377266210924</v>
      </c>
      <c r="R72" s="80">
        <f t="shared" si="37"/>
        <v>0</v>
      </c>
      <c r="S72" s="178">
        <v>6965.1186697866187</v>
      </c>
      <c r="T72" s="80">
        <f t="shared" si="38"/>
        <v>0</v>
      </c>
      <c r="U72" s="178">
        <v>7139.2466365312839</v>
      </c>
      <c r="V72" s="80">
        <f t="shared" si="39"/>
        <v>0</v>
      </c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</row>
    <row r="73" spans="1:435" s="212" customFormat="1" ht="12.75" customHeight="1">
      <c r="A73" s="2" t="s">
        <v>417</v>
      </c>
      <c r="B73" s="35"/>
      <c r="C73" s="178">
        <v>105000</v>
      </c>
      <c r="D73" s="80">
        <f t="shared" si="30"/>
        <v>0</v>
      </c>
      <c r="E73" s="178">
        <v>108150</v>
      </c>
      <c r="F73" s="80">
        <f t="shared" si="31"/>
        <v>0</v>
      </c>
      <c r="G73" s="178">
        <v>111394.5</v>
      </c>
      <c r="H73" s="80">
        <f t="shared" si="32"/>
        <v>0</v>
      </c>
      <c r="I73" s="178">
        <v>114736.33500000001</v>
      </c>
      <c r="J73" s="80">
        <f t="shared" si="33"/>
        <v>0</v>
      </c>
      <c r="K73" s="178">
        <v>118178.42505000001</v>
      </c>
      <c r="L73" s="80">
        <f t="shared" si="34"/>
        <v>0</v>
      </c>
      <c r="M73" s="178">
        <v>121723.77780150001</v>
      </c>
      <c r="N73" s="80">
        <f t="shared" si="35"/>
        <v>0</v>
      </c>
      <c r="O73" s="178">
        <v>125375.49113554502</v>
      </c>
      <c r="P73" s="80">
        <f t="shared" si="36"/>
        <v>0</v>
      </c>
      <c r="Q73" s="178">
        <v>129136.75586961137</v>
      </c>
      <c r="R73" s="80">
        <f t="shared" si="37"/>
        <v>0</v>
      </c>
      <c r="S73" s="178">
        <v>133010.85854569971</v>
      </c>
      <c r="T73" s="80">
        <f t="shared" si="38"/>
        <v>0</v>
      </c>
      <c r="U73" s="178">
        <v>137001.1843020707</v>
      </c>
      <c r="V73" s="80">
        <f t="shared" si="39"/>
        <v>0</v>
      </c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</row>
    <row r="74" spans="1:435" ht="12.75" customHeight="1">
      <c r="A74" s="2" t="s">
        <v>418</v>
      </c>
      <c r="B74" s="35"/>
      <c r="C74" s="178">
        <v>0</v>
      </c>
      <c r="D74" s="80">
        <f t="shared" si="30"/>
        <v>0</v>
      </c>
      <c r="E74" s="178">
        <v>0</v>
      </c>
      <c r="F74" s="80">
        <f t="shared" si="31"/>
        <v>0</v>
      </c>
      <c r="G74" s="178">
        <v>0</v>
      </c>
      <c r="H74" s="80">
        <f t="shared" si="32"/>
        <v>0</v>
      </c>
      <c r="I74" s="178">
        <v>0</v>
      </c>
      <c r="J74" s="80">
        <f t="shared" si="33"/>
        <v>0</v>
      </c>
      <c r="K74" s="178">
        <v>0</v>
      </c>
      <c r="L74" s="80">
        <f t="shared" si="34"/>
        <v>0</v>
      </c>
      <c r="M74" s="178">
        <v>0</v>
      </c>
      <c r="N74" s="80">
        <f t="shared" si="35"/>
        <v>0</v>
      </c>
      <c r="O74" s="178">
        <v>0</v>
      </c>
      <c r="P74" s="80">
        <f t="shared" si="36"/>
        <v>0</v>
      </c>
      <c r="Q74" s="178">
        <v>0</v>
      </c>
      <c r="R74" s="80">
        <f t="shared" si="37"/>
        <v>0</v>
      </c>
      <c r="S74" s="178">
        <v>0</v>
      </c>
      <c r="T74" s="80">
        <f t="shared" si="38"/>
        <v>0</v>
      </c>
      <c r="U74" s="178">
        <v>0</v>
      </c>
      <c r="V74" s="80">
        <f t="shared" si="39"/>
        <v>0</v>
      </c>
    </row>
    <row r="75" spans="1:435" ht="12.75" customHeight="1">
      <c r="A75" s="2" t="s">
        <v>419</v>
      </c>
      <c r="B75" s="35"/>
      <c r="C75" s="178">
        <v>0</v>
      </c>
      <c r="D75" s="80">
        <f t="shared" si="30"/>
        <v>0</v>
      </c>
      <c r="E75" s="178">
        <v>0</v>
      </c>
      <c r="F75" s="80">
        <f t="shared" si="31"/>
        <v>0</v>
      </c>
      <c r="G75" s="178">
        <v>0</v>
      </c>
      <c r="H75" s="80">
        <f t="shared" si="32"/>
        <v>0</v>
      </c>
      <c r="I75" s="178">
        <v>0</v>
      </c>
      <c r="J75" s="80">
        <f t="shared" si="33"/>
        <v>0</v>
      </c>
      <c r="K75" s="178">
        <v>0</v>
      </c>
      <c r="L75" s="80">
        <f t="shared" si="34"/>
        <v>0</v>
      </c>
      <c r="M75" s="178">
        <v>0</v>
      </c>
      <c r="N75" s="80">
        <f t="shared" si="35"/>
        <v>0</v>
      </c>
      <c r="O75" s="178">
        <v>0</v>
      </c>
      <c r="P75" s="80">
        <f t="shared" si="36"/>
        <v>0</v>
      </c>
      <c r="Q75" s="178">
        <v>0</v>
      </c>
      <c r="R75" s="80">
        <f t="shared" si="37"/>
        <v>0</v>
      </c>
      <c r="S75" s="178">
        <v>0</v>
      </c>
      <c r="T75" s="80">
        <f t="shared" si="38"/>
        <v>0</v>
      </c>
      <c r="U75" s="178">
        <v>0</v>
      </c>
      <c r="V75" s="80">
        <f t="shared" si="39"/>
        <v>0</v>
      </c>
    </row>
    <row r="76" spans="1:435" ht="12.75" customHeight="1">
      <c r="A76" s="2" t="s">
        <v>420</v>
      </c>
      <c r="B76" s="35"/>
      <c r="C76" s="178">
        <v>0</v>
      </c>
      <c r="D76" s="80">
        <f t="shared" si="30"/>
        <v>0</v>
      </c>
      <c r="E76" s="178">
        <v>0</v>
      </c>
      <c r="F76" s="80">
        <f t="shared" si="31"/>
        <v>0</v>
      </c>
      <c r="G76" s="178">
        <v>0</v>
      </c>
      <c r="H76" s="80">
        <f t="shared" si="32"/>
        <v>0</v>
      </c>
      <c r="I76" s="178">
        <v>0</v>
      </c>
      <c r="J76" s="80">
        <f t="shared" si="33"/>
        <v>0</v>
      </c>
      <c r="K76" s="178">
        <v>0</v>
      </c>
      <c r="L76" s="80">
        <f t="shared" si="34"/>
        <v>0</v>
      </c>
      <c r="M76" s="178">
        <v>0</v>
      </c>
      <c r="N76" s="80">
        <f t="shared" si="35"/>
        <v>0</v>
      </c>
      <c r="O76" s="178">
        <v>0</v>
      </c>
      <c r="P76" s="80">
        <f t="shared" si="36"/>
        <v>0</v>
      </c>
      <c r="Q76" s="178">
        <v>0</v>
      </c>
      <c r="R76" s="80">
        <f t="shared" si="37"/>
        <v>0</v>
      </c>
      <c r="S76" s="178">
        <v>0</v>
      </c>
      <c r="T76" s="80">
        <f t="shared" si="38"/>
        <v>0</v>
      </c>
      <c r="U76" s="178">
        <v>0</v>
      </c>
      <c r="V76" s="80">
        <f t="shared" si="39"/>
        <v>0</v>
      </c>
    </row>
    <row r="77" spans="1:435" ht="12.75" customHeight="1">
      <c r="A77" s="2" t="s">
        <v>421</v>
      </c>
      <c r="B77" s="35"/>
      <c r="C77" s="178">
        <v>0</v>
      </c>
      <c r="D77" s="80">
        <f t="shared" si="30"/>
        <v>0</v>
      </c>
      <c r="E77" s="178">
        <v>0</v>
      </c>
      <c r="F77" s="80">
        <f t="shared" si="31"/>
        <v>0</v>
      </c>
      <c r="G77" s="178">
        <v>0</v>
      </c>
      <c r="H77" s="80">
        <f t="shared" si="32"/>
        <v>0</v>
      </c>
      <c r="I77" s="178">
        <v>0</v>
      </c>
      <c r="J77" s="80">
        <f t="shared" si="33"/>
        <v>0</v>
      </c>
      <c r="K77" s="178">
        <v>0</v>
      </c>
      <c r="L77" s="80">
        <f t="shared" si="34"/>
        <v>0</v>
      </c>
      <c r="M77" s="178">
        <v>0</v>
      </c>
      <c r="N77" s="80">
        <f t="shared" si="35"/>
        <v>0</v>
      </c>
      <c r="O77" s="178">
        <v>0</v>
      </c>
      <c r="P77" s="80">
        <f t="shared" si="36"/>
        <v>0</v>
      </c>
      <c r="Q77" s="178">
        <v>0</v>
      </c>
      <c r="R77" s="80">
        <f t="shared" si="37"/>
        <v>0</v>
      </c>
      <c r="S77" s="178">
        <v>0</v>
      </c>
      <c r="T77" s="80">
        <f t="shared" si="38"/>
        <v>0</v>
      </c>
      <c r="U77" s="178">
        <v>0</v>
      </c>
      <c r="V77" s="80">
        <f t="shared" si="39"/>
        <v>0</v>
      </c>
    </row>
    <row r="78" spans="1:435" ht="12.75" customHeight="1">
      <c r="A78" s="2" t="s">
        <v>422</v>
      </c>
      <c r="B78" s="35"/>
      <c r="C78" s="178">
        <v>0</v>
      </c>
      <c r="D78" s="80">
        <f t="shared" si="30"/>
        <v>0</v>
      </c>
      <c r="E78" s="178">
        <v>0</v>
      </c>
      <c r="F78" s="80">
        <f t="shared" si="31"/>
        <v>0</v>
      </c>
      <c r="G78" s="178">
        <v>0</v>
      </c>
      <c r="H78" s="80">
        <f t="shared" si="32"/>
        <v>0</v>
      </c>
      <c r="I78" s="178">
        <v>0</v>
      </c>
      <c r="J78" s="80">
        <f t="shared" si="33"/>
        <v>0</v>
      </c>
      <c r="K78" s="178">
        <v>0</v>
      </c>
      <c r="L78" s="80">
        <f t="shared" si="34"/>
        <v>0</v>
      </c>
      <c r="M78" s="178">
        <v>0</v>
      </c>
      <c r="N78" s="80">
        <f t="shared" si="35"/>
        <v>0</v>
      </c>
      <c r="O78" s="178">
        <v>0</v>
      </c>
      <c r="P78" s="80">
        <f t="shared" si="36"/>
        <v>0</v>
      </c>
      <c r="Q78" s="178">
        <v>0</v>
      </c>
      <c r="R78" s="80">
        <f t="shared" si="37"/>
        <v>0</v>
      </c>
      <c r="S78" s="178">
        <v>0</v>
      </c>
      <c r="T78" s="80">
        <f t="shared" si="38"/>
        <v>0</v>
      </c>
      <c r="U78" s="178">
        <v>0</v>
      </c>
      <c r="V78" s="80">
        <f t="shared" si="39"/>
        <v>0</v>
      </c>
    </row>
    <row r="79" spans="1:435" s="212" customFormat="1" ht="12.75" customHeight="1">
      <c r="A79" s="2" t="s">
        <v>423</v>
      </c>
      <c r="B79" s="35"/>
      <c r="C79" s="178">
        <v>1200</v>
      </c>
      <c r="D79" s="80">
        <f t="shared" si="30"/>
        <v>0</v>
      </c>
      <c r="E79" s="178">
        <v>1230</v>
      </c>
      <c r="F79" s="80">
        <f t="shared" si="31"/>
        <v>0</v>
      </c>
      <c r="G79" s="178">
        <v>1260.75</v>
      </c>
      <c r="H79" s="80">
        <f t="shared" si="32"/>
        <v>0</v>
      </c>
      <c r="I79" s="178">
        <v>1292.26875</v>
      </c>
      <c r="J79" s="80">
        <f t="shared" si="33"/>
        <v>0</v>
      </c>
      <c r="K79" s="178">
        <v>1324.5754687499998</v>
      </c>
      <c r="L79" s="80">
        <f t="shared" si="34"/>
        <v>0</v>
      </c>
      <c r="M79" s="178">
        <v>1357.6898554687498</v>
      </c>
      <c r="N79" s="80">
        <f t="shared" si="35"/>
        <v>0</v>
      </c>
      <c r="O79" s="178">
        <v>1391.6321018554684</v>
      </c>
      <c r="P79" s="80">
        <f t="shared" si="36"/>
        <v>0</v>
      </c>
      <c r="Q79" s="178">
        <v>1426.422904401855</v>
      </c>
      <c r="R79" s="80">
        <f t="shared" si="37"/>
        <v>0</v>
      </c>
      <c r="S79" s="178">
        <v>1462.0834770119013</v>
      </c>
      <c r="T79" s="80">
        <f t="shared" si="38"/>
        <v>0</v>
      </c>
      <c r="U79" s="178">
        <v>1498.6355639371986</v>
      </c>
      <c r="V79" s="80">
        <f t="shared" si="39"/>
        <v>0</v>
      </c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</row>
    <row r="80" spans="1:435" s="212" customFormat="1" ht="12.75" customHeight="1">
      <c r="A80" s="2" t="s">
        <v>424</v>
      </c>
      <c r="B80" s="35"/>
      <c r="C80" s="178">
        <v>10000</v>
      </c>
      <c r="D80" s="80">
        <f t="shared" si="30"/>
        <v>0</v>
      </c>
      <c r="E80" s="178">
        <v>10000</v>
      </c>
      <c r="F80" s="80">
        <f t="shared" si="31"/>
        <v>0</v>
      </c>
      <c r="G80" s="178">
        <v>10000</v>
      </c>
      <c r="H80" s="80">
        <f t="shared" si="32"/>
        <v>0</v>
      </c>
      <c r="I80" s="178">
        <v>10000</v>
      </c>
      <c r="J80" s="80">
        <f t="shared" si="33"/>
        <v>0</v>
      </c>
      <c r="K80" s="178">
        <v>10000</v>
      </c>
      <c r="L80" s="80">
        <f t="shared" si="34"/>
        <v>0</v>
      </c>
      <c r="M80" s="178">
        <v>10000</v>
      </c>
      <c r="N80" s="80">
        <f t="shared" si="35"/>
        <v>0</v>
      </c>
      <c r="O80" s="178">
        <v>10000</v>
      </c>
      <c r="P80" s="80">
        <f t="shared" si="36"/>
        <v>0</v>
      </c>
      <c r="Q80" s="178">
        <v>10000</v>
      </c>
      <c r="R80" s="80">
        <f t="shared" si="37"/>
        <v>0</v>
      </c>
      <c r="S80" s="178">
        <v>10000</v>
      </c>
      <c r="T80" s="80">
        <f t="shared" si="38"/>
        <v>0</v>
      </c>
      <c r="U80" s="178">
        <v>10000</v>
      </c>
      <c r="V80" s="80">
        <f t="shared" si="39"/>
        <v>0</v>
      </c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</row>
    <row r="81" spans="1:435" s="212" customFormat="1" ht="12.75" customHeight="1">
      <c r="A81" s="2" t="s">
        <v>425</v>
      </c>
      <c r="B81" s="35"/>
      <c r="C81" s="178">
        <v>33500</v>
      </c>
      <c r="D81" s="80">
        <f t="shared" si="30"/>
        <v>0</v>
      </c>
      <c r="E81" s="178">
        <v>36850</v>
      </c>
      <c r="F81" s="80">
        <f t="shared" si="31"/>
        <v>0</v>
      </c>
      <c r="G81" s="178">
        <v>38692.5</v>
      </c>
      <c r="H81" s="80">
        <f t="shared" si="32"/>
        <v>0</v>
      </c>
      <c r="I81" s="178">
        <v>39659.8125</v>
      </c>
      <c r="J81" s="80">
        <f t="shared" si="33"/>
        <v>0</v>
      </c>
      <c r="K81" s="178">
        <v>40651.307812499996</v>
      </c>
      <c r="L81" s="80">
        <f t="shared" si="34"/>
        <v>0</v>
      </c>
      <c r="M81" s="178">
        <v>41667.590507812492</v>
      </c>
      <c r="N81" s="80">
        <f t="shared" si="35"/>
        <v>0</v>
      </c>
      <c r="O81" s="178">
        <v>42709.280270507799</v>
      </c>
      <c r="P81" s="80">
        <f t="shared" si="36"/>
        <v>0</v>
      </c>
      <c r="Q81" s="178">
        <v>43777.012277270493</v>
      </c>
      <c r="R81" s="80">
        <f t="shared" si="37"/>
        <v>0</v>
      </c>
      <c r="S81" s="178">
        <v>44871.437584202249</v>
      </c>
      <c r="T81" s="80">
        <f t="shared" si="38"/>
        <v>0</v>
      </c>
      <c r="U81" s="178">
        <v>45993.223523807304</v>
      </c>
      <c r="V81" s="80">
        <f t="shared" si="39"/>
        <v>0</v>
      </c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</row>
    <row r="82" spans="1:435" s="212" customFormat="1" ht="12.75" customHeight="1">
      <c r="A82" s="2" t="s">
        <v>426</v>
      </c>
      <c r="B82" s="35"/>
      <c r="C82" s="178">
        <v>0</v>
      </c>
      <c r="D82" s="80">
        <f t="shared" si="30"/>
        <v>0</v>
      </c>
      <c r="E82" s="178">
        <v>0</v>
      </c>
      <c r="F82" s="80">
        <f t="shared" si="31"/>
        <v>0</v>
      </c>
      <c r="G82" s="178">
        <v>0</v>
      </c>
      <c r="H82" s="80">
        <f t="shared" si="32"/>
        <v>0</v>
      </c>
      <c r="I82" s="178">
        <v>0</v>
      </c>
      <c r="J82" s="80">
        <f t="shared" si="33"/>
        <v>0</v>
      </c>
      <c r="K82" s="178">
        <v>0</v>
      </c>
      <c r="L82" s="80">
        <f t="shared" si="34"/>
        <v>0</v>
      </c>
      <c r="M82" s="178">
        <v>0</v>
      </c>
      <c r="N82" s="80">
        <f t="shared" si="35"/>
        <v>0</v>
      </c>
      <c r="O82" s="178">
        <v>0</v>
      </c>
      <c r="P82" s="80">
        <f t="shared" si="36"/>
        <v>0</v>
      </c>
      <c r="Q82" s="178">
        <v>0</v>
      </c>
      <c r="R82" s="80">
        <f t="shared" si="37"/>
        <v>0</v>
      </c>
      <c r="S82" s="178">
        <v>0</v>
      </c>
      <c r="T82" s="80">
        <f t="shared" si="38"/>
        <v>0</v>
      </c>
      <c r="U82" s="178">
        <v>0</v>
      </c>
      <c r="V82" s="80">
        <f t="shared" si="39"/>
        <v>0</v>
      </c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</row>
    <row r="83" spans="1:435" s="212" customFormat="1" ht="12.75" customHeight="1">
      <c r="A83" s="2" t="s">
        <v>427</v>
      </c>
      <c r="B83" s="35"/>
      <c r="C83" s="178">
        <v>2500</v>
      </c>
      <c r="D83" s="80">
        <f t="shared" si="30"/>
        <v>0</v>
      </c>
      <c r="E83" s="178">
        <v>2500</v>
      </c>
      <c r="F83" s="80">
        <f t="shared" si="31"/>
        <v>0</v>
      </c>
      <c r="G83" s="178">
        <v>2500</v>
      </c>
      <c r="H83" s="80">
        <f t="shared" si="32"/>
        <v>0</v>
      </c>
      <c r="I83" s="178">
        <v>2500</v>
      </c>
      <c r="J83" s="80">
        <f t="shared" si="33"/>
        <v>0</v>
      </c>
      <c r="K83" s="178">
        <v>2500</v>
      </c>
      <c r="L83" s="80">
        <f t="shared" si="34"/>
        <v>0</v>
      </c>
      <c r="M83" s="178">
        <v>2500</v>
      </c>
      <c r="N83" s="80">
        <f t="shared" si="35"/>
        <v>0</v>
      </c>
      <c r="O83" s="178">
        <v>2500</v>
      </c>
      <c r="P83" s="80">
        <f t="shared" si="36"/>
        <v>0</v>
      </c>
      <c r="Q83" s="178">
        <v>2500</v>
      </c>
      <c r="R83" s="80">
        <f t="shared" si="37"/>
        <v>0</v>
      </c>
      <c r="S83" s="178">
        <v>2500</v>
      </c>
      <c r="T83" s="80">
        <f t="shared" si="38"/>
        <v>0</v>
      </c>
      <c r="U83" s="178">
        <v>2500</v>
      </c>
      <c r="V83" s="80">
        <f t="shared" si="39"/>
        <v>0</v>
      </c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</row>
    <row r="84" spans="1:435" s="212" customFormat="1" ht="12.75" customHeight="1">
      <c r="A84" s="2" t="s">
        <v>428</v>
      </c>
      <c r="B84" s="35"/>
      <c r="C84" s="178">
        <v>50000</v>
      </c>
      <c r="D84" s="80">
        <f t="shared" ref="D84:T105" si="40">IFERROR(C84/C$28,0)</f>
        <v>0</v>
      </c>
      <c r="E84" s="178">
        <v>50000</v>
      </c>
      <c r="F84" s="80">
        <f t="shared" si="31"/>
        <v>0</v>
      </c>
      <c r="G84" s="178">
        <v>50000</v>
      </c>
      <c r="H84" s="80">
        <f t="shared" si="32"/>
        <v>0</v>
      </c>
      <c r="I84" s="178">
        <v>50000</v>
      </c>
      <c r="J84" s="80">
        <f t="shared" si="33"/>
        <v>0</v>
      </c>
      <c r="K84" s="178">
        <v>50000</v>
      </c>
      <c r="L84" s="80">
        <f t="shared" si="34"/>
        <v>0</v>
      </c>
      <c r="M84" s="178">
        <v>50000</v>
      </c>
      <c r="N84" s="80">
        <f t="shared" si="35"/>
        <v>0</v>
      </c>
      <c r="O84" s="178">
        <v>50000</v>
      </c>
      <c r="P84" s="80">
        <f t="shared" si="36"/>
        <v>0</v>
      </c>
      <c r="Q84" s="178">
        <v>50000</v>
      </c>
      <c r="R84" s="80">
        <f t="shared" si="37"/>
        <v>0</v>
      </c>
      <c r="S84" s="178">
        <v>50000</v>
      </c>
      <c r="T84" s="80">
        <f t="shared" si="38"/>
        <v>0</v>
      </c>
      <c r="U84" s="178">
        <v>50000</v>
      </c>
      <c r="V84" s="80">
        <f t="shared" si="39"/>
        <v>0</v>
      </c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</row>
    <row r="85" spans="1:435" s="212" customFormat="1" ht="12.75" customHeight="1">
      <c r="A85" s="2" t="s">
        <v>429</v>
      </c>
      <c r="B85" s="35"/>
      <c r="C85" s="178">
        <v>5500</v>
      </c>
      <c r="D85" s="80">
        <f t="shared" si="40"/>
        <v>0</v>
      </c>
      <c r="E85" s="178">
        <v>5582.4999999999991</v>
      </c>
      <c r="F85" s="80">
        <f t="shared" si="40"/>
        <v>0</v>
      </c>
      <c r="G85" s="178">
        <v>5666.2374999999984</v>
      </c>
      <c r="H85" s="80">
        <f t="shared" si="40"/>
        <v>0</v>
      </c>
      <c r="I85" s="178">
        <v>5751.2310624999982</v>
      </c>
      <c r="J85" s="80">
        <f t="shared" si="40"/>
        <v>0</v>
      </c>
      <c r="K85" s="178">
        <v>5837.4995284374972</v>
      </c>
      <c r="L85" s="80">
        <f t="shared" si="40"/>
        <v>0</v>
      </c>
      <c r="M85" s="178">
        <v>5925.0620213640595</v>
      </c>
      <c r="N85" s="80">
        <f t="shared" si="40"/>
        <v>0</v>
      </c>
      <c r="O85" s="178">
        <v>6013.9379516845202</v>
      </c>
      <c r="P85" s="80">
        <f t="shared" si="40"/>
        <v>0</v>
      </c>
      <c r="Q85" s="178">
        <v>6104.1470209597874</v>
      </c>
      <c r="R85" s="80">
        <f t="shared" si="40"/>
        <v>0</v>
      </c>
      <c r="S85" s="178">
        <v>6195.7092262741835</v>
      </c>
      <c r="T85" s="80">
        <f t="shared" si="40"/>
        <v>0</v>
      </c>
      <c r="U85" s="178">
        <v>6288.6448646682957</v>
      </c>
      <c r="V85" s="80">
        <f t="shared" si="39"/>
        <v>0</v>
      </c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</row>
    <row r="86" spans="1:435" ht="12.75" customHeight="1">
      <c r="A86" s="2" t="s">
        <v>430</v>
      </c>
      <c r="B86" s="35"/>
      <c r="C86" s="178">
        <v>0</v>
      </c>
      <c r="D86" s="80">
        <f t="shared" si="40"/>
        <v>0</v>
      </c>
      <c r="E86" s="178">
        <v>0</v>
      </c>
      <c r="F86" s="80">
        <f t="shared" si="31"/>
        <v>0</v>
      </c>
      <c r="G86" s="178">
        <v>0</v>
      </c>
      <c r="H86" s="80">
        <f t="shared" si="32"/>
        <v>0</v>
      </c>
      <c r="I86" s="178">
        <v>0</v>
      </c>
      <c r="J86" s="80">
        <f t="shared" si="33"/>
        <v>0</v>
      </c>
      <c r="K86" s="178">
        <v>0</v>
      </c>
      <c r="L86" s="80">
        <f t="shared" si="34"/>
        <v>0</v>
      </c>
      <c r="M86" s="178">
        <v>0</v>
      </c>
      <c r="N86" s="80">
        <f t="shared" si="35"/>
        <v>0</v>
      </c>
      <c r="O86" s="178">
        <v>0</v>
      </c>
      <c r="P86" s="80">
        <f t="shared" si="36"/>
        <v>0</v>
      </c>
      <c r="Q86" s="178">
        <v>0</v>
      </c>
      <c r="R86" s="80">
        <f t="shared" si="37"/>
        <v>0</v>
      </c>
      <c r="S86" s="178">
        <v>0</v>
      </c>
      <c r="T86" s="80">
        <f t="shared" si="38"/>
        <v>0</v>
      </c>
      <c r="U86" s="178">
        <v>0</v>
      </c>
      <c r="V86" s="80">
        <f t="shared" si="39"/>
        <v>0</v>
      </c>
    </row>
    <row r="87" spans="1:435" s="212" customFormat="1" ht="12.75" customHeight="1">
      <c r="A87" s="2" t="s">
        <v>431</v>
      </c>
      <c r="B87" s="35"/>
      <c r="C87" s="178">
        <v>77899</v>
      </c>
      <c r="D87" s="80">
        <f t="shared" si="40"/>
        <v>0</v>
      </c>
      <c r="E87" s="178">
        <v>85688.900000000009</v>
      </c>
      <c r="F87" s="80">
        <f t="shared" si="31"/>
        <v>0</v>
      </c>
      <c r="G87" s="178">
        <v>94257.790000000023</v>
      </c>
      <c r="H87" s="80">
        <f t="shared" si="32"/>
        <v>0</v>
      </c>
      <c r="I87" s="178">
        <v>96614.234750000018</v>
      </c>
      <c r="J87" s="80">
        <f t="shared" si="33"/>
        <v>0</v>
      </c>
      <c r="K87" s="178">
        <v>99029.590618750008</v>
      </c>
      <c r="L87" s="80">
        <f t="shared" si="34"/>
        <v>0</v>
      </c>
      <c r="M87" s="178">
        <v>101505.33038421875</v>
      </c>
      <c r="N87" s="80">
        <f t="shared" si="35"/>
        <v>0</v>
      </c>
      <c r="O87" s="178">
        <v>104042.9636438242</v>
      </c>
      <c r="P87" s="80">
        <f t="shared" si="36"/>
        <v>0</v>
      </c>
      <c r="Q87" s="178">
        <v>106644.0377349198</v>
      </c>
      <c r="R87" s="80">
        <f t="shared" si="37"/>
        <v>0</v>
      </c>
      <c r="S87" s="178">
        <v>109310.13867829279</v>
      </c>
      <c r="T87" s="80">
        <f t="shared" si="38"/>
        <v>0</v>
      </c>
      <c r="U87" s="178">
        <v>112042.89214525009</v>
      </c>
      <c r="V87" s="80">
        <f t="shared" si="39"/>
        <v>0</v>
      </c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</row>
    <row r="88" spans="1:435" ht="12.75" customHeight="1">
      <c r="A88" s="2" t="s">
        <v>432</v>
      </c>
      <c r="B88" s="35"/>
      <c r="C88" s="178">
        <v>0</v>
      </c>
      <c r="D88" s="80">
        <f t="shared" si="40"/>
        <v>0</v>
      </c>
      <c r="E88" s="178">
        <v>0</v>
      </c>
      <c r="F88" s="80">
        <f t="shared" si="31"/>
        <v>0</v>
      </c>
      <c r="G88" s="178">
        <v>0</v>
      </c>
      <c r="H88" s="80">
        <f t="shared" si="32"/>
        <v>0</v>
      </c>
      <c r="I88" s="178">
        <v>0</v>
      </c>
      <c r="J88" s="80">
        <f t="shared" si="33"/>
        <v>0</v>
      </c>
      <c r="K88" s="178">
        <v>0</v>
      </c>
      <c r="L88" s="80">
        <f t="shared" si="34"/>
        <v>0</v>
      </c>
      <c r="M88" s="178">
        <v>0</v>
      </c>
      <c r="N88" s="80">
        <f t="shared" si="35"/>
        <v>0</v>
      </c>
      <c r="O88" s="178">
        <v>0</v>
      </c>
      <c r="P88" s="80">
        <f t="shared" si="36"/>
        <v>0</v>
      </c>
      <c r="Q88" s="178">
        <v>0</v>
      </c>
      <c r="R88" s="80">
        <f t="shared" si="37"/>
        <v>0</v>
      </c>
      <c r="S88" s="178">
        <v>0</v>
      </c>
      <c r="T88" s="80">
        <f t="shared" si="38"/>
        <v>0</v>
      </c>
      <c r="U88" s="178">
        <v>0</v>
      </c>
      <c r="V88" s="80">
        <f t="shared" si="39"/>
        <v>0</v>
      </c>
    </row>
    <row r="89" spans="1:435" s="212" customFormat="1" ht="12.75" customHeight="1">
      <c r="A89" s="2" t="s">
        <v>433</v>
      </c>
      <c r="B89" s="35"/>
      <c r="C89" s="178">
        <v>33024</v>
      </c>
      <c r="D89" s="80">
        <f t="shared" si="40"/>
        <v>0</v>
      </c>
      <c r="E89" s="178">
        <v>34675.200000000004</v>
      </c>
      <c r="F89" s="80">
        <f t="shared" si="31"/>
        <v>0</v>
      </c>
      <c r="G89" s="178">
        <v>35542.080000000002</v>
      </c>
      <c r="H89" s="80">
        <f t="shared" si="32"/>
        <v>0</v>
      </c>
      <c r="I89" s="178">
        <v>36430.631999999998</v>
      </c>
      <c r="J89" s="80">
        <f t="shared" si="33"/>
        <v>0</v>
      </c>
      <c r="K89" s="178">
        <v>37341.397799999992</v>
      </c>
      <c r="L89" s="80">
        <f t="shared" si="34"/>
        <v>0</v>
      </c>
      <c r="M89" s="178">
        <v>38274.932744999991</v>
      </c>
      <c r="N89" s="80">
        <f t="shared" si="35"/>
        <v>0</v>
      </c>
      <c r="O89" s="178">
        <v>39231.806063624987</v>
      </c>
      <c r="P89" s="80">
        <f t="shared" si="36"/>
        <v>0</v>
      </c>
      <c r="Q89" s="178">
        <v>40212.601215215611</v>
      </c>
      <c r="R89" s="80">
        <f t="shared" si="37"/>
        <v>0</v>
      </c>
      <c r="S89" s="178">
        <v>41217.916245595996</v>
      </c>
      <c r="T89" s="80">
        <f t="shared" si="38"/>
        <v>0</v>
      </c>
      <c r="U89" s="178">
        <v>42248.364151735892</v>
      </c>
      <c r="V89" s="80">
        <f t="shared" si="39"/>
        <v>0</v>
      </c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</row>
    <row r="90" spans="1:435" ht="12.75" customHeight="1">
      <c r="A90" s="2" t="s">
        <v>434</v>
      </c>
      <c r="B90" s="35"/>
      <c r="C90" s="178">
        <v>0</v>
      </c>
      <c r="D90" s="80">
        <f t="shared" si="40"/>
        <v>0</v>
      </c>
      <c r="E90" s="178">
        <v>0</v>
      </c>
      <c r="F90" s="80">
        <f t="shared" si="31"/>
        <v>0</v>
      </c>
      <c r="G90" s="178">
        <v>0</v>
      </c>
      <c r="H90" s="80">
        <f t="shared" si="32"/>
        <v>0</v>
      </c>
      <c r="I90" s="178">
        <v>0</v>
      </c>
      <c r="J90" s="80">
        <f t="shared" si="33"/>
        <v>0</v>
      </c>
      <c r="K90" s="178">
        <v>0</v>
      </c>
      <c r="L90" s="80">
        <f t="shared" si="34"/>
        <v>0</v>
      </c>
      <c r="M90" s="178">
        <v>0</v>
      </c>
      <c r="N90" s="80">
        <f t="shared" si="35"/>
        <v>0</v>
      </c>
      <c r="O90" s="178">
        <v>0</v>
      </c>
      <c r="P90" s="80">
        <f t="shared" si="36"/>
        <v>0</v>
      </c>
      <c r="Q90" s="178">
        <v>0</v>
      </c>
      <c r="R90" s="80">
        <f t="shared" si="37"/>
        <v>0</v>
      </c>
      <c r="S90" s="178">
        <v>0</v>
      </c>
      <c r="T90" s="80">
        <f t="shared" si="38"/>
        <v>0</v>
      </c>
      <c r="U90" s="178">
        <v>0</v>
      </c>
      <c r="V90" s="80">
        <f t="shared" si="39"/>
        <v>0</v>
      </c>
    </row>
    <row r="91" spans="1:435" s="212" customFormat="1" ht="12.75" customHeight="1">
      <c r="A91" s="2" t="s">
        <v>435</v>
      </c>
      <c r="B91" s="2"/>
      <c r="C91" s="178">
        <v>44522</v>
      </c>
      <c r="D91" s="80">
        <f t="shared" si="40"/>
        <v>0</v>
      </c>
      <c r="E91" s="178">
        <v>48974.200000000004</v>
      </c>
      <c r="F91" s="80">
        <f t="shared" si="31"/>
        <v>0</v>
      </c>
      <c r="G91" s="178">
        <v>51422.91</v>
      </c>
      <c r="H91" s="80">
        <f t="shared" si="32"/>
        <v>0</v>
      </c>
      <c r="I91" s="178">
        <v>52708.482749999996</v>
      </c>
      <c r="J91" s="80">
        <f t="shared" si="33"/>
        <v>0</v>
      </c>
      <c r="K91" s="178">
        <v>54026.194818749987</v>
      </c>
      <c r="L91" s="80">
        <f t="shared" si="34"/>
        <v>0</v>
      </c>
      <c r="M91" s="178">
        <v>55376.849689218732</v>
      </c>
      <c r="N91" s="80">
        <f t="shared" si="35"/>
        <v>0</v>
      </c>
      <c r="O91" s="178">
        <v>56761.270931449195</v>
      </c>
      <c r="P91" s="80">
        <f t="shared" si="36"/>
        <v>0</v>
      </c>
      <c r="Q91" s="178">
        <v>58180.302704735419</v>
      </c>
      <c r="R91" s="80">
        <f t="shared" si="37"/>
        <v>0</v>
      </c>
      <c r="S91" s="178">
        <v>59634.810272353796</v>
      </c>
      <c r="T91" s="80">
        <f t="shared" si="38"/>
        <v>0</v>
      </c>
      <c r="U91" s="178">
        <v>61125.680529162637</v>
      </c>
      <c r="V91" s="80">
        <f t="shared" si="39"/>
        <v>0</v>
      </c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</row>
    <row r="92" spans="1:435" ht="12.75" customHeight="1">
      <c r="A92" s="2" t="s">
        <v>436</v>
      </c>
      <c r="B92" s="35"/>
      <c r="C92" s="178">
        <v>0</v>
      </c>
      <c r="D92" s="80">
        <f t="shared" si="40"/>
        <v>0</v>
      </c>
      <c r="E92" s="178">
        <v>0</v>
      </c>
      <c r="F92" s="80">
        <f t="shared" si="31"/>
        <v>0</v>
      </c>
      <c r="G92" s="178">
        <v>0</v>
      </c>
      <c r="H92" s="80">
        <f t="shared" si="32"/>
        <v>0</v>
      </c>
      <c r="I92" s="178">
        <v>0</v>
      </c>
      <c r="J92" s="80">
        <f t="shared" si="33"/>
        <v>0</v>
      </c>
      <c r="K92" s="178">
        <v>0</v>
      </c>
      <c r="L92" s="80">
        <f t="shared" si="34"/>
        <v>0</v>
      </c>
      <c r="M92" s="178">
        <v>0</v>
      </c>
      <c r="N92" s="80">
        <f t="shared" si="35"/>
        <v>0</v>
      </c>
      <c r="O92" s="178">
        <v>0</v>
      </c>
      <c r="P92" s="80">
        <f t="shared" si="36"/>
        <v>0</v>
      </c>
      <c r="Q92" s="178">
        <v>0</v>
      </c>
      <c r="R92" s="80">
        <f t="shared" si="37"/>
        <v>0</v>
      </c>
      <c r="S92" s="178">
        <v>0</v>
      </c>
      <c r="T92" s="80">
        <f t="shared" si="38"/>
        <v>0</v>
      </c>
      <c r="U92" s="178">
        <v>0</v>
      </c>
      <c r="V92" s="80">
        <f t="shared" si="39"/>
        <v>0</v>
      </c>
    </row>
    <row r="93" spans="1:435" s="212" customFormat="1" ht="12.75" customHeight="1">
      <c r="A93" s="2" t="s">
        <v>437</v>
      </c>
      <c r="B93" s="35"/>
      <c r="C93" s="178">
        <v>24534</v>
      </c>
      <c r="D93" s="80">
        <f t="shared" si="40"/>
        <v>0</v>
      </c>
      <c r="E93" s="178">
        <v>25024.68</v>
      </c>
      <c r="F93" s="80">
        <f t="shared" si="31"/>
        <v>0</v>
      </c>
      <c r="G93" s="178">
        <v>25525.173600000002</v>
      </c>
      <c r="H93" s="80">
        <f t="shared" si="32"/>
        <v>0</v>
      </c>
      <c r="I93" s="178">
        <v>26035.677072000002</v>
      </c>
      <c r="J93" s="80">
        <f t="shared" si="33"/>
        <v>0</v>
      </c>
      <c r="K93" s="178">
        <v>26556.390613440002</v>
      </c>
      <c r="L93" s="80">
        <f t="shared" si="34"/>
        <v>0</v>
      </c>
      <c r="M93" s="178">
        <v>27087.518425708804</v>
      </c>
      <c r="N93" s="80">
        <f t="shared" si="35"/>
        <v>0</v>
      </c>
      <c r="O93" s="178">
        <v>27629.268794222982</v>
      </c>
      <c r="P93" s="80">
        <f t="shared" si="36"/>
        <v>0</v>
      </c>
      <c r="Q93" s="178">
        <v>28181.854170107443</v>
      </c>
      <c r="R93" s="80">
        <f t="shared" si="37"/>
        <v>0</v>
      </c>
      <c r="S93" s="178">
        <v>28745.491253509594</v>
      </c>
      <c r="T93" s="80">
        <f t="shared" si="38"/>
        <v>0</v>
      </c>
      <c r="U93" s="178">
        <v>29320.401078579787</v>
      </c>
      <c r="V93" s="80">
        <f t="shared" si="39"/>
        <v>0</v>
      </c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</row>
    <row r="94" spans="1:435" s="212" customFormat="1" ht="12.75" customHeight="1">
      <c r="A94" s="2" t="s">
        <v>438</v>
      </c>
      <c r="B94" s="35"/>
      <c r="C94" s="178">
        <v>12000</v>
      </c>
      <c r="D94" s="80">
        <f t="shared" si="40"/>
        <v>0</v>
      </c>
      <c r="E94" s="178">
        <v>12240</v>
      </c>
      <c r="F94" s="80">
        <f t="shared" si="31"/>
        <v>0</v>
      </c>
      <c r="G94" s="178">
        <v>12484.800000000001</v>
      </c>
      <c r="H94" s="80">
        <f t="shared" si="32"/>
        <v>0</v>
      </c>
      <c r="I94" s="178">
        <v>12734.496000000001</v>
      </c>
      <c r="J94" s="80">
        <f t="shared" si="33"/>
        <v>0</v>
      </c>
      <c r="K94" s="178">
        <v>12989.185920000002</v>
      </c>
      <c r="L94" s="80">
        <f t="shared" si="34"/>
        <v>0</v>
      </c>
      <c r="M94" s="178">
        <v>13248.969638400002</v>
      </c>
      <c r="N94" s="80">
        <f t="shared" si="35"/>
        <v>0</v>
      </c>
      <c r="O94" s="178">
        <v>13513.949031168002</v>
      </c>
      <c r="P94" s="80">
        <f t="shared" si="36"/>
        <v>0</v>
      </c>
      <c r="Q94" s="178">
        <v>13784.228011791361</v>
      </c>
      <c r="R94" s="80">
        <f t="shared" si="37"/>
        <v>0</v>
      </c>
      <c r="S94" s="178">
        <v>14059.91257202719</v>
      </c>
      <c r="T94" s="80">
        <f t="shared" si="38"/>
        <v>0</v>
      </c>
      <c r="U94" s="178">
        <v>14341.110823467734</v>
      </c>
      <c r="V94" s="80">
        <f t="shared" si="39"/>
        <v>0</v>
      </c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</row>
    <row r="95" spans="1:435" s="212" customFormat="1" ht="12.75" customHeight="1">
      <c r="A95" s="2" t="s">
        <v>439</v>
      </c>
      <c r="B95" s="35"/>
      <c r="C95" s="178">
        <v>400000</v>
      </c>
      <c r="D95" s="80">
        <f t="shared" si="40"/>
        <v>0</v>
      </c>
      <c r="E95" s="178">
        <v>495000</v>
      </c>
      <c r="F95" s="80">
        <f t="shared" si="31"/>
        <v>0</v>
      </c>
      <c r="G95" s="178">
        <v>504900</v>
      </c>
      <c r="H95" s="80">
        <f t="shared" si="32"/>
        <v>0</v>
      </c>
      <c r="I95" s="178">
        <v>514998</v>
      </c>
      <c r="J95" s="80">
        <f t="shared" si="33"/>
        <v>0</v>
      </c>
      <c r="K95" s="178">
        <v>525297.96</v>
      </c>
      <c r="L95" s="80">
        <f t="shared" si="34"/>
        <v>0</v>
      </c>
      <c r="M95" s="178">
        <v>535803.9192</v>
      </c>
      <c r="N95" s="80">
        <f t="shared" si="35"/>
        <v>0</v>
      </c>
      <c r="O95" s="178">
        <v>546519.997584</v>
      </c>
      <c r="P95" s="80">
        <f t="shared" si="36"/>
        <v>0</v>
      </c>
      <c r="Q95" s="178">
        <v>557450.39753567998</v>
      </c>
      <c r="R95" s="80">
        <f t="shared" si="37"/>
        <v>0</v>
      </c>
      <c r="S95" s="178">
        <v>568599.4054863936</v>
      </c>
      <c r="T95" s="80">
        <f t="shared" si="38"/>
        <v>0</v>
      </c>
      <c r="U95" s="178">
        <v>579971.39359612146</v>
      </c>
      <c r="V95" s="80">
        <f t="shared" si="39"/>
        <v>0</v>
      </c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</row>
    <row r="96" spans="1:435" s="212" customFormat="1" ht="12.75" customHeight="1">
      <c r="A96" s="2" t="s">
        <v>440</v>
      </c>
      <c r="B96" s="35"/>
      <c r="C96" s="178">
        <v>15273</v>
      </c>
      <c r="D96" s="80">
        <f t="shared" si="40"/>
        <v>0</v>
      </c>
      <c r="E96" s="178">
        <v>15731.19</v>
      </c>
      <c r="F96" s="80">
        <f t="shared" si="31"/>
        <v>0</v>
      </c>
      <c r="G96" s="178">
        <v>16203.125700000001</v>
      </c>
      <c r="H96" s="80">
        <f t="shared" si="32"/>
        <v>0</v>
      </c>
      <c r="I96" s="178">
        <v>16689.219471</v>
      </c>
      <c r="J96" s="80">
        <f t="shared" si="33"/>
        <v>0</v>
      </c>
      <c r="K96" s="178">
        <v>17189.896055130001</v>
      </c>
      <c r="L96" s="80">
        <f t="shared" si="34"/>
        <v>0</v>
      </c>
      <c r="M96" s="178">
        <v>17705.592936783902</v>
      </c>
      <c r="N96" s="80">
        <f t="shared" si="35"/>
        <v>0</v>
      </c>
      <c r="O96" s="178">
        <v>18236.760724887419</v>
      </c>
      <c r="P96" s="80">
        <f t="shared" si="36"/>
        <v>0</v>
      </c>
      <c r="Q96" s="178">
        <v>18783.863546634042</v>
      </c>
      <c r="R96" s="80">
        <f t="shared" si="37"/>
        <v>0</v>
      </c>
      <c r="S96" s="178">
        <v>19347.379453033063</v>
      </c>
      <c r="T96" s="80">
        <f t="shared" si="38"/>
        <v>0</v>
      </c>
      <c r="U96" s="178">
        <v>19927.800836624057</v>
      </c>
      <c r="V96" s="80">
        <f t="shared" si="39"/>
        <v>0</v>
      </c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</row>
    <row r="97" spans="1:22" ht="12.75" customHeight="1">
      <c r="A97" s="2" t="s">
        <v>441</v>
      </c>
      <c r="B97" s="35"/>
      <c r="C97" s="178">
        <v>28056.474699999999</v>
      </c>
      <c r="D97" s="80">
        <f t="shared" si="40"/>
        <v>0</v>
      </c>
      <c r="E97" s="178">
        <v>28757.886567499998</v>
      </c>
      <c r="F97" s="80">
        <f t="shared" si="31"/>
        <v>0</v>
      </c>
      <c r="G97" s="178">
        <v>29476.833731687493</v>
      </c>
      <c r="H97" s="80">
        <f t="shared" si="32"/>
        <v>0</v>
      </c>
      <c r="I97" s="178">
        <v>30213.754574979677</v>
      </c>
      <c r="J97" s="80">
        <f t="shared" si="33"/>
        <v>0</v>
      </c>
      <c r="K97" s="178">
        <v>30969.098439354169</v>
      </c>
      <c r="L97" s="80">
        <f t="shared" si="34"/>
        <v>0</v>
      </c>
      <c r="M97" s="178">
        <v>31743.325900338019</v>
      </c>
      <c r="N97" s="80">
        <f t="shared" si="35"/>
        <v>0</v>
      </c>
      <c r="O97" s="178">
        <v>32536.909047846468</v>
      </c>
      <c r="P97" s="80">
        <f t="shared" si="36"/>
        <v>0</v>
      </c>
      <c r="Q97" s="178">
        <v>33350.331774042628</v>
      </c>
      <c r="R97" s="80">
        <f t="shared" si="37"/>
        <v>0</v>
      </c>
      <c r="S97" s="178">
        <v>34184.090068393685</v>
      </c>
      <c r="T97" s="80">
        <f t="shared" si="38"/>
        <v>0</v>
      </c>
      <c r="U97" s="178">
        <v>35038.692320103524</v>
      </c>
      <c r="V97" s="80">
        <f t="shared" si="39"/>
        <v>0</v>
      </c>
    </row>
    <row r="98" spans="1:22" ht="12.75" customHeight="1">
      <c r="A98" s="117" t="s">
        <v>444</v>
      </c>
      <c r="B98" s="35"/>
      <c r="C98" s="178">
        <v>0</v>
      </c>
      <c r="D98" s="80">
        <f t="shared" si="40"/>
        <v>0</v>
      </c>
      <c r="E98" s="178">
        <v>0</v>
      </c>
      <c r="F98" s="80">
        <f t="shared" si="31"/>
        <v>0</v>
      </c>
      <c r="G98" s="178">
        <v>0</v>
      </c>
      <c r="H98" s="80">
        <f t="shared" si="32"/>
        <v>0</v>
      </c>
      <c r="I98" s="178">
        <v>0</v>
      </c>
      <c r="J98" s="80">
        <f t="shared" si="33"/>
        <v>0</v>
      </c>
      <c r="K98" s="178">
        <v>0</v>
      </c>
      <c r="L98" s="80">
        <f t="shared" si="34"/>
        <v>0</v>
      </c>
      <c r="M98" s="178">
        <v>0</v>
      </c>
      <c r="N98" s="80">
        <f t="shared" si="35"/>
        <v>0</v>
      </c>
      <c r="O98" s="178">
        <v>0</v>
      </c>
      <c r="P98" s="80">
        <f t="shared" si="36"/>
        <v>0</v>
      </c>
      <c r="Q98" s="178">
        <v>0</v>
      </c>
      <c r="R98" s="80">
        <f t="shared" si="37"/>
        <v>0</v>
      </c>
      <c r="S98" s="178">
        <v>0</v>
      </c>
      <c r="T98" s="80">
        <f t="shared" si="38"/>
        <v>0</v>
      </c>
      <c r="U98" s="178">
        <v>0</v>
      </c>
      <c r="V98" s="80">
        <f t="shared" si="39"/>
        <v>0</v>
      </c>
    </row>
    <row r="99" spans="1:22" ht="12.75" customHeight="1">
      <c r="A99" s="117" t="s">
        <v>444</v>
      </c>
      <c r="B99" s="35"/>
      <c r="C99" s="178">
        <v>0</v>
      </c>
      <c r="D99" s="80">
        <f t="shared" si="40"/>
        <v>0</v>
      </c>
      <c r="E99" s="178">
        <v>0</v>
      </c>
      <c r="F99" s="80">
        <f t="shared" si="31"/>
        <v>0</v>
      </c>
      <c r="G99" s="178">
        <v>0</v>
      </c>
      <c r="H99" s="80">
        <f t="shared" si="32"/>
        <v>0</v>
      </c>
      <c r="I99" s="178">
        <v>0</v>
      </c>
      <c r="J99" s="80">
        <f t="shared" si="33"/>
        <v>0</v>
      </c>
      <c r="K99" s="178">
        <v>0</v>
      </c>
      <c r="L99" s="80">
        <f t="shared" si="34"/>
        <v>0</v>
      </c>
      <c r="M99" s="178">
        <v>0</v>
      </c>
      <c r="N99" s="80">
        <f t="shared" si="35"/>
        <v>0</v>
      </c>
      <c r="O99" s="178">
        <v>0</v>
      </c>
      <c r="P99" s="80">
        <f t="shared" si="36"/>
        <v>0</v>
      </c>
      <c r="Q99" s="178">
        <v>0</v>
      </c>
      <c r="R99" s="80">
        <f t="shared" si="37"/>
        <v>0</v>
      </c>
      <c r="S99" s="178">
        <v>0</v>
      </c>
      <c r="T99" s="80">
        <f t="shared" si="38"/>
        <v>0</v>
      </c>
      <c r="U99" s="178">
        <v>0</v>
      </c>
      <c r="V99" s="80">
        <f t="shared" si="39"/>
        <v>0</v>
      </c>
    </row>
    <row r="100" spans="1:22" ht="12.75" customHeight="1">
      <c r="A100" s="117" t="s">
        <v>444</v>
      </c>
      <c r="B100" s="35"/>
      <c r="C100" s="178">
        <v>0</v>
      </c>
      <c r="D100" s="80">
        <f t="shared" si="40"/>
        <v>0</v>
      </c>
      <c r="E100" s="178">
        <v>0</v>
      </c>
      <c r="F100" s="80">
        <f t="shared" si="31"/>
        <v>0</v>
      </c>
      <c r="G100" s="178">
        <v>0</v>
      </c>
      <c r="H100" s="80">
        <f t="shared" si="32"/>
        <v>0</v>
      </c>
      <c r="I100" s="178">
        <v>0</v>
      </c>
      <c r="J100" s="80">
        <f t="shared" si="33"/>
        <v>0</v>
      </c>
      <c r="K100" s="178">
        <v>0</v>
      </c>
      <c r="L100" s="80">
        <f t="shared" si="34"/>
        <v>0</v>
      </c>
      <c r="M100" s="178">
        <v>0</v>
      </c>
      <c r="N100" s="80">
        <f t="shared" si="35"/>
        <v>0</v>
      </c>
      <c r="O100" s="178">
        <v>0</v>
      </c>
      <c r="P100" s="80">
        <f t="shared" si="36"/>
        <v>0</v>
      </c>
      <c r="Q100" s="178">
        <v>0</v>
      </c>
      <c r="R100" s="80">
        <f t="shared" si="37"/>
        <v>0</v>
      </c>
      <c r="S100" s="178">
        <v>0</v>
      </c>
      <c r="T100" s="80">
        <f t="shared" si="38"/>
        <v>0</v>
      </c>
      <c r="U100" s="178">
        <v>0</v>
      </c>
      <c r="V100" s="80">
        <f t="shared" si="39"/>
        <v>0</v>
      </c>
    </row>
    <row r="101" spans="1:22" ht="12.75" customHeight="1">
      <c r="A101" s="2" t="s">
        <v>445</v>
      </c>
      <c r="B101" s="35"/>
      <c r="C101" s="178">
        <v>25000</v>
      </c>
      <c r="D101" s="80">
        <f t="shared" si="40"/>
        <v>0</v>
      </c>
      <c r="E101" s="178">
        <v>148000</v>
      </c>
      <c r="F101" s="80">
        <f t="shared" si="31"/>
        <v>0</v>
      </c>
      <c r="G101" s="178">
        <v>103000</v>
      </c>
      <c r="H101" s="80">
        <f t="shared" si="32"/>
        <v>0</v>
      </c>
      <c r="I101" s="178">
        <v>0</v>
      </c>
      <c r="J101" s="80">
        <f t="shared" si="33"/>
        <v>0</v>
      </c>
      <c r="K101" s="178">
        <v>0</v>
      </c>
      <c r="L101" s="80">
        <f t="shared" si="34"/>
        <v>0</v>
      </c>
      <c r="M101" s="178">
        <v>0</v>
      </c>
      <c r="N101" s="80">
        <f t="shared" si="35"/>
        <v>0</v>
      </c>
      <c r="O101" s="178">
        <v>0</v>
      </c>
      <c r="P101" s="80">
        <f t="shared" si="36"/>
        <v>0</v>
      </c>
      <c r="Q101" s="178">
        <v>0</v>
      </c>
      <c r="R101" s="80">
        <f t="shared" si="37"/>
        <v>0</v>
      </c>
      <c r="S101" s="178">
        <v>0</v>
      </c>
      <c r="T101" s="80">
        <f t="shared" si="38"/>
        <v>0</v>
      </c>
      <c r="U101" s="178">
        <v>0</v>
      </c>
      <c r="V101" s="80">
        <f t="shared" si="39"/>
        <v>0</v>
      </c>
    </row>
    <row r="102" spans="1:22" ht="12.75" customHeight="1">
      <c r="A102" s="117" t="s">
        <v>519</v>
      </c>
      <c r="B102" s="35"/>
      <c r="C102" s="178">
        <v>229391.48219359998</v>
      </c>
      <c r="D102" s="80">
        <f t="shared" si="40"/>
        <v>0</v>
      </c>
      <c r="E102" s="178">
        <v>250958.68479999996</v>
      </c>
      <c r="F102" s="80">
        <f t="shared" si="31"/>
        <v>0</v>
      </c>
      <c r="G102" s="178">
        <v>273474.59688000003</v>
      </c>
      <c r="H102" s="80">
        <f t="shared" si="32"/>
        <v>0</v>
      </c>
      <c r="I102" s="178">
        <v>283810.00524060003</v>
      </c>
      <c r="J102" s="80">
        <f t="shared" si="33"/>
        <v>0</v>
      </c>
      <c r="K102" s="178">
        <v>293610.02203802601</v>
      </c>
      <c r="L102" s="80">
        <f t="shared" si="34"/>
        <v>0</v>
      </c>
      <c r="M102" s="178">
        <v>302479.71204471658</v>
      </c>
      <c r="N102" s="80">
        <f t="shared" si="35"/>
        <v>0</v>
      </c>
      <c r="O102" s="178">
        <v>311812.42612519889</v>
      </c>
      <c r="P102" s="80">
        <f t="shared" si="36"/>
        <v>0</v>
      </c>
      <c r="Q102" s="178">
        <v>321468.26435980317</v>
      </c>
      <c r="R102" s="80">
        <f t="shared" si="37"/>
        <v>0</v>
      </c>
      <c r="S102" s="178">
        <v>331377.30199116649</v>
      </c>
      <c r="T102" s="80">
        <f t="shared" si="38"/>
        <v>0</v>
      </c>
      <c r="U102" s="178">
        <v>341687.51883675111</v>
      </c>
      <c r="V102" s="80">
        <f t="shared" si="39"/>
        <v>0</v>
      </c>
    </row>
    <row r="103" spans="1:22" ht="12.75" customHeight="1">
      <c r="A103" s="117" t="s">
        <v>446</v>
      </c>
      <c r="B103" s="35"/>
      <c r="C103" s="178">
        <v>0</v>
      </c>
      <c r="D103" s="80">
        <f t="shared" si="40"/>
        <v>0</v>
      </c>
      <c r="E103" s="178">
        <v>0</v>
      </c>
      <c r="F103" s="80">
        <f t="shared" si="31"/>
        <v>0</v>
      </c>
      <c r="G103" s="178">
        <v>0</v>
      </c>
      <c r="H103" s="80">
        <f t="shared" si="32"/>
        <v>0</v>
      </c>
      <c r="I103" s="178">
        <v>0</v>
      </c>
      <c r="J103" s="80">
        <f t="shared" si="33"/>
        <v>0</v>
      </c>
      <c r="K103" s="178">
        <v>0</v>
      </c>
      <c r="L103" s="80">
        <f t="shared" si="34"/>
        <v>0</v>
      </c>
      <c r="M103" s="178">
        <v>0</v>
      </c>
      <c r="N103" s="80">
        <f t="shared" si="35"/>
        <v>0</v>
      </c>
      <c r="O103" s="178">
        <v>0</v>
      </c>
      <c r="P103" s="80">
        <f t="shared" si="36"/>
        <v>0</v>
      </c>
      <c r="Q103" s="178">
        <v>0</v>
      </c>
      <c r="R103" s="80">
        <f t="shared" si="37"/>
        <v>0</v>
      </c>
      <c r="S103" s="178">
        <v>0</v>
      </c>
      <c r="T103" s="80">
        <f t="shared" si="38"/>
        <v>0</v>
      </c>
      <c r="U103" s="178">
        <v>0</v>
      </c>
      <c r="V103" s="80">
        <f t="shared" si="39"/>
        <v>0</v>
      </c>
    </row>
    <row r="104" spans="1:22" ht="12.75" customHeight="1">
      <c r="A104" s="117" t="s">
        <v>446</v>
      </c>
      <c r="B104" s="1"/>
      <c r="C104" s="178">
        <v>0</v>
      </c>
      <c r="D104" s="80">
        <f t="shared" si="40"/>
        <v>0</v>
      </c>
      <c r="E104" s="178">
        <v>0</v>
      </c>
      <c r="F104" s="80">
        <f t="shared" si="31"/>
        <v>0</v>
      </c>
      <c r="G104" s="178">
        <v>0</v>
      </c>
      <c r="H104" s="80">
        <f t="shared" si="32"/>
        <v>0</v>
      </c>
      <c r="I104" s="178">
        <v>0</v>
      </c>
      <c r="J104" s="80">
        <f t="shared" si="33"/>
        <v>0</v>
      </c>
      <c r="K104" s="178">
        <v>0</v>
      </c>
      <c r="L104" s="80">
        <f t="shared" si="34"/>
        <v>0</v>
      </c>
      <c r="M104" s="178">
        <v>0</v>
      </c>
      <c r="N104" s="80">
        <f t="shared" si="35"/>
        <v>0</v>
      </c>
      <c r="O104" s="178">
        <v>0</v>
      </c>
      <c r="P104" s="80">
        <f t="shared" si="36"/>
        <v>0</v>
      </c>
      <c r="Q104" s="178">
        <v>0</v>
      </c>
      <c r="R104" s="80">
        <f t="shared" si="37"/>
        <v>0</v>
      </c>
      <c r="S104" s="178">
        <v>0</v>
      </c>
      <c r="T104" s="80">
        <f t="shared" si="38"/>
        <v>0</v>
      </c>
      <c r="U104" s="178">
        <v>0</v>
      </c>
      <c r="V104" s="80">
        <f t="shared" si="39"/>
        <v>0</v>
      </c>
    </row>
    <row r="105" spans="1:22" ht="12.75" customHeight="1">
      <c r="A105" s="1" t="s">
        <v>447</v>
      </c>
      <c r="B105" s="53"/>
      <c r="C105" s="82">
        <f>SUM(C52:C104)</f>
        <v>2414470.3676338233</v>
      </c>
      <c r="D105" s="83">
        <f t="shared" si="40"/>
        <v>0</v>
      </c>
      <c r="E105" s="82">
        <f>SUM(E52:E104)</f>
        <v>4165953.4781947574</v>
      </c>
      <c r="F105" s="83">
        <f t="shared" si="31"/>
        <v>0</v>
      </c>
      <c r="G105" s="82">
        <f>SUM(G52:G104)</f>
        <v>5454481.3617336266</v>
      </c>
      <c r="H105" s="83">
        <f t="shared" si="32"/>
        <v>0</v>
      </c>
      <c r="I105" s="82">
        <f>SUM(I52:I104)</f>
        <v>4907403.8580796234</v>
      </c>
      <c r="J105" s="83">
        <f t="shared" si="33"/>
        <v>0</v>
      </c>
      <c r="K105" s="82">
        <f>SUM(K52:K104)</f>
        <v>5054013.3331340067</v>
      </c>
      <c r="L105" s="83">
        <f t="shared" si="34"/>
        <v>0</v>
      </c>
      <c r="M105" s="82">
        <f>SUM(M52:M104)</f>
        <v>5804965.478781106</v>
      </c>
      <c r="N105" s="83">
        <f t="shared" si="35"/>
        <v>0</v>
      </c>
      <c r="O105" s="82">
        <f>SUM(O52:O104)</f>
        <v>5305190.1496050553</v>
      </c>
      <c r="P105" s="83">
        <f t="shared" si="36"/>
        <v>0</v>
      </c>
      <c r="Q105" s="82">
        <f>SUM(Q52:Q104)</f>
        <v>5356771.8141244184</v>
      </c>
      <c r="R105" s="83">
        <f t="shared" si="37"/>
        <v>0</v>
      </c>
      <c r="S105" s="82">
        <f>SUM(S52:S104)</f>
        <v>6009667.3309108363</v>
      </c>
      <c r="T105" s="83">
        <f t="shared" si="38"/>
        <v>0</v>
      </c>
      <c r="U105" s="82">
        <f>SUM(U52:U104)</f>
        <v>4771267.0172532946</v>
      </c>
      <c r="V105" s="83">
        <f t="shared" si="39"/>
        <v>0</v>
      </c>
    </row>
    <row r="106" spans="1:22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37"/>
    </row>
    <row r="107" spans="1:22" ht="12.75" customHeight="1">
      <c r="A107" s="1" t="s">
        <v>448</v>
      </c>
      <c r="B107" s="53"/>
      <c r="C107" s="82">
        <f>C28-C33-C46-C105</f>
        <v>-3395865.0896338234</v>
      </c>
      <c r="D107" s="83">
        <f>IFERROR(C107/C$28,0)</f>
        <v>0</v>
      </c>
      <c r="E107" s="82">
        <f>E28-E33-E46-E105</f>
        <v>-5169933.0682447571</v>
      </c>
      <c r="F107" s="83">
        <f>IFERROR(E107/E$28,0)</f>
        <v>0</v>
      </c>
      <c r="G107" s="82">
        <f>G28-G33-G46-G105</f>
        <v>-6481626.9415348768</v>
      </c>
      <c r="H107" s="83">
        <f>IFERROR(G107/G$28,0)</f>
        <v>0</v>
      </c>
      <c r="I107" s="82">
        <f>I28-I33-I46-I105</f>
        <v>-5958311.5723759048</v>
      </c>
      <c r="J107" s="83">
        <f>IFERROR(I107/I$28,0)</f>
        <v>0</v>
      </c>
      <c r="K107" s="82">
        <f>K28-K33-K46-K105</f>
        <v>-6129294.7401376944</v>
      </c>
      <c r="L107" s="83">
        <f>IFERROR(K107/K$28,0)</f>
        <v>0</v>
      </c>
      <c r="M107" s="82">
        <f>M28-M33-M46-M105</f>
        <v>-6905247.9508053865</v>
      </c>
      <c r="N107" s="83">
        <f>IFERROR(M107/M$28,0)</f>
        <v>0</v>
      </c>
      <c r="O107" s="82">
        <f>O28-O33-O46-O105</f>
        <v>-6431117.2841708073</v>
      </c>
      <c r="P107" s="83">
        <f>IFERROR(O107/O$28,0)</f>
        <v>0</v>
      </c>
      <c r="Q107" s="82">
        <f>Q28-Q33-Q46-Q105</f>
        <v>-6509003.8558174055</v>
      </c>
      <c r="R107" s="83">
        <f>IFERROR(Q107/Q$28,0)</f>
        <v>0</v>
      </c>
      <c r="S107" s="82">
        <f>S28-S33-S46-S105</f>
        <v>-7188881.6042721309</v>
      </c>
      <c r="T107" s="83">
        <f>IFERROR(S107/S$28,0)</f>
        <v>0</v>
      </c>
      <c r="U107" s="82">
        <f>U28-U33-U46-U105</f>
        <v>-5978158.3709933851</v>
      </c>
      <c r="V107" s="83">
        <f>IFERROR(U107/U$28,0)</f>
        <v>0</v>
      </c>
    </row>
    <row r="108" spans="1:22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2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2" ht="12.75" customHeight="1">
      <c r="A110" s="40" t="s">
        <v>449</v>
      </c>
      <c r="B110" s="40"/>
      <c r="C110" s="86" t="str">
        <f>C50</f>
        <v>FY 2018-19</v>
      </c>
      <c r="D110" s="86" t="s">
        <v>366</v>
      </c>
      <c r="E110" s="86" t="str">
        <f>E50</f>
        <v>FY 2019-20</v>
      </c>
      <c r="F110" s="86" t="s">
        <v>366</v>
      </c>
      <c r="G110" s="86" t="str">
        <f>G50</f>
        <v>FY 2020-21</v>
      </c>
      <c r="H110" s="86" t="s">
        <v>366</v>
      </c>
      <c r="I110" s="86" t="str">
        <f>I50</f>
        <v>FY 2021-22</v>
      </c>
      <c r="J110" s="86" t="s">
        <v>366</v>
      </c>
      <c r="K110" s="86" t="str">
        <f>K50</f>
        <v>FY 2022-23</v>
      </c>
      <c r="L110" s="86" t="s">
        <v>366</v>
      </c>
      <c r="M110" s="86" t="str">
        <f>M50</f>
        <v>FY 2023-24</v>
      </c>
      <c r="N110" s="86" t="s">
        <v>366</v>
      </c>
      <c r="O110" s="86" t="str">
        <f>O50</f>
        <v>FY 2024-25</v>
      </c>
      <c r="P110" s="86" t="s">
        <v>366</v>
      </c>
      <c r="Q110" s="86" t="str">
        <f>Q50</f>
        <v>FY 2025-26</v>
      </c>
      <c r="R110" s="86" t="s">
        <v>366</v>
      </c>
      <c r="S110" s="86" t="str">
        <f>S50</f>
        <v>FY 2026-27</v>
      </c>
      <c r="T110" s="86" t="s">
        <v>366</v>
      </c>
      <c r="U110" s="86" t="str">
        <f>U50</f>
        <v>FY 2027-28</v>
      </c>
      <c r="V110" s="86" t="s">
        <v>366</v>
      </c>
    </row>
    <row r="111" spans="1:22" ht="12.75" customHeight="1">
      <c r="A111" s="2" t="s">
        <v>403</v>
      </c>
      <c r="B111" s="35"/>
      <c r="C111" s="79">
        <f>C59</f>
        <v>0</v>
      </c>
      <c r="D111" s="80">
        <f t="shared" ref="D111:D116" si="41">IFERROR(C111/C$28,0)</f>
        <v>0</v>
      </c>
      <c r="E111" s="79">
        <f>E59</f>
        <v>0</v>
      </c>
      <c r="F111" s="80">
        <f t="shared" ref="F111:F116" si="42">IFERROR(E111/E$28,0)</f>
        <v>0</v>
      </c>
      <c r="G111" s="79">
        <f>G59</f>
        <v>0</v>
      </c>
      <c r="H111" s="80">
        <f t="shared" ref="H111:H116" si="43">IFERROR(G111/G$28,0)</f>
        <v>0</v>
      </c>
      <c r="I111" s="79">
        <f>I59</f>
        <v>0</v>
      </c>
      <c r="J111" s="80">
        <f t="shared" ref="J111:J116" si="44">IFERROR(I111/I$28,0)</f>
        <v>0</v>
      </c>
      <c r="K111" s="79">
        <f>K59</f>
        <v>0</v>
      </c>
      <c r="L111" s="80">
        <f t="shared" ref="L111:L116" si="45">IFERROR(K111/K$28,0)</f>
        <v>0</v>
      </c>
      <c r="M111" s="79">
        <f>M59</f>
        <v>0</v>
      </c>
      <c r="N111" s="80">
        <f t="shared" ref="N111:N116" si="46">IFERROR(M111/M$28,0)</f>
        <v>0</v>
      </c>
      <c r="O111" s="79">
        <f>O59</f>
        <v>0</v>
      </c>
      <c r="P111" s="80">
        <f t="shared" ref="P111:P116" si="47">IFERROR(O111/O$28,0)</f>
        <v>0</v>
      </c>
      <c r="Q111" s="79">
        <f>Q59</f>
        <v>0</v>
      </c>
      <c r="R111" s="80">
        <f t="shared" ref="R111:R116" si="48">IFERROR(Q111/Q$28,0)</f>
        <v>0</v>
      </c>
      <c r="S111" s="79">
        <f>S59</f>
        <v>0</v>
      </c>
      <c r="T111" s="80">
        <f t="shared" ref="T111:T116" si="49">IFERROR(S111/S$28,0)</f>
        <v>0</v>
      </c>
      <c r="U111" s="79">
        <f>U59</f>
        <v>0</v>
      </c>
      <c r="V111" s="80">
        <f t="shared" ref="V111:V116" si="50">IFERROR(U111/U$28,0)</f>
        <v>0</v>
      </c>
    </row>
    <row r="112" spans="1:22" ht="12.75" customHeight="1">
      <c r="A112" s="2" t="s">
        <v>450</v>
      </c>
      <c r="B112" s="35"/>
      <c r="C112" s="79">
        <f>C62</f>
        <v>762608.2728988931</v>
      </c>
      <c r="D112" s="80">
        <f t="shared" si="41"/>
        <v>0</v>
      </c>
      <c r="E112" s="79">
        <f>E62</f>
        <v>865459.56820365239</v>
      </c>
      <c r="F112" s="80">
        <f t="shared" si="42"/>
        <v>0</v>
      </c>
      <c r="G112" s="79">
        <f>G62</f>
        <v>1423343.9343738651</v>
      </c>
      <c r="H112" s="80">
        <f t="shared" si="43"/>
        <v>0</v>
      </c>
      <c r="I112" s="79">
        <f>I62</f>
        <v>932841.42727386509</v>
      </c>
      <c r="J112" s="80">
        <f t="shared" si="44"/>
        <v>0</v>
      </c>
      <c r="K112" s="79">
        <f>K62</f>
        <v>948514.01737465803</v>
      </c>
      <c r="L112" s="80">
        <f t="shared" si="45"/>
        <v>0</v>
      </c>
      <c r="M112" s="79">
        <f>M62</f>
        <v>1518016.3541439925</v>
      </c>
      <c r="N112" s="80">
        <f t="shared" si="46"/>
        <v>0</v>
      </c>
      <c r="O112" s="79">
        <f>O62</f>
        <v>977848.15756813064</v>
      </c>
      <c r="P112" s="80">
        <f t="shared" si="47"/>
        <v>0</v>
      </c>
      <c r="Q112" s="79">
        <f>Q62</f>
        <v>987974.91509499319</v>
      </c>
      <c r="R112" s="80">
        <f t="shared" si="48"/>
        <v>0</v>
      </c>
      <c r="S112" s="79">
        <f>S62</f>
        <v>1598405.4753476614</v>
      </c>
      <c r="T112" s="80">
        <f t="shared" si="49"/>
        <v>0</v>
      </c>
      <c r="U112" s="79">
        <f>U62</f>
        <v>963826.55907306424</v>
      </c>
      <c r="V112" s="80">
        <f t="shared" si="50"/>
        <v>0</v>
      </c>
    </row>
    <row r="113" spans="1:22" ht="12.75" customHeight="1">
      <c r="A113" s="117" t="s">
        <v>446</v>
      </c>
      <c r="B113" s="41"/>
      <c r="C113" s="111">
        <v>0</v>
      </c>
      <c r="D113" s="80">
        <f t="shared" si="41"/>
        <v>0</v>
      </c>
      <c r="E113" s="111">
        <v>0</v>
      </c>
      <c r="F113" s="80">
        <f t="shared" si="42"/>
        <v>0</v>
      </c>
      <c r="G113" s="111">
        <v>0</v>
      </c>
      <c r="H113" s="80">
        <f t="shared" si="43"/>
        <v>0</v>
      </c>
      <c r="I113" s="111">
        <v>0</v>
      </c>
      <c r="J113" s="80">
        <f t="shared" si="44"/>
        <v>0</v>
      </c>
      <c r="K113" s="111">
        <v>0</v>
      </c>
      <c r="L113" s="80">
        <f t="shared" si="45"/>
        <v>0</v>
      </c>
      <c r="M113" s="111">
        <v>0</v>
      </c>
      <c r="N113" s="80">
        <f t="shared" si="46"/>
        <v>0</v>
      </c>
      <c r="O113" s="111">
        <v>0</v>
      </c>
      <c r="P113" s="80">
        <f t="shared" si="47"/>
        <v>0</v>
      </c>
      <c r="Q113" s="111">
        <v>0</v>
      </c>
      <c r="R113" s="80">
        <f t="shared" si="48"/>
        <v>0</v>
      </c>
      <c r="S113" s="111">
        <v>0</v>
      </c>
      <c r="T113" s="80">
        <f t="shared" si="49"/>
        <v>0</v>
      </c>
      <c r="U113" s="111">
        <v>0</v>
      </c>
      <c r="V113" s="80">
        <f t="shared" si="50"/>
        <v>0</v>
      </c>
    </row>
    <row r="114" spans="1:22" ht="12.75" customHeight="1">
      <c r="A114" s="117" t="s">
        <v>446</v>
      </c>
      <c r="B114" s="41"/>
      <c r="C114" s="111">
        <v>0</v>
      </c>
      <c r="D114" s="80">
        <f t="shared" si="41"/>
        <v>0</v>
      </c>
      <c r="E114" s="111">
        <v>0</v>
      </c>
      <c r="F114" s="80">
        <f t="shared" si="42"/>
        <v>0</v>
      </c>
      <c r="G114" s="111">
        <v>0</v>
      </c>
      <c r="H114" s="80">
        <f t="shared" si="43"/>
        <v>0</v>
      </c>
      <c r="I114" s="111">
        <v>0</v>
      </c>
      <c r="J114" s="80">
        <f t="shared" si="44"/>
        <v>0</v>
      </c>
      <c r="K114" s="111">
        <v>0</v>
      </c>
      <c r="L114" s="80">
        <f t="shared" si="45"/>
        <v>0</v>
      </c>
      <c r="M114" s="111">
        <v>0</v>
      </c>
      <c r="N114" s="80">
        <f t="shared" si="46"/>
        <v>0</v>
      </c>
      <c r="O114" s="111">
        <v>0</v>
      </c>
      <c r="P114" s="80">
        <f t="shared" si="47"/>
        <v>0</v>
      </c>
      <c r="Q114" s="111">
        <v>0</v>
      </c>
      <c r="R114" s="80">
        <f t="shared" si="48"/>
        <v>0</v>
      </c>
      <c r="S114" s="111">
        <v>0</v>
      </c>
      <c r="T114" s="80">
        <f t="shared" si="49"/>
        <v>0</v>
      </c>
      <c r="U114" s="111">
        <v>0</v>
      </c>
      <c r="V114" s="80">
        <f t="shared" si="50"/>
        <v>0</v>
      </c>
    </row>
    <row r="115" spans="1:22" ht="12.75" customHeight="1">
      <c r="A115" s="117" t="s">
        <v>446</v>
      </c>
      <c r="B115" s="41"/>
      <c r="C115" s="112">
        <v>0</v>
      </c>
      <c r="D115" s="80">
        <f t="shared" si="41"/>
        <v>0</v>
      </c>
      <c r="E115" s="112">
        <v>0</v>
      </c>
      <c r="F115" s="80">
        <f t="shared" si="42"/>
        <v>0</v>
      </c>
      <c r="G115" s="112">
        <v>0</v>
      </c>
      <c r="H115" s="80">
        <f t="shared" si="43"/>
        <v>0</v>
      </c>
      <c r="I115" s="112">
        <v>0</v>
      </c>
      <c r="J115" s="80">
        <f t="shared" si="44"/>
        <v>0</v>
      </c>
      <c r="K115" s="112">
        <v>0</v>
      </c>
      <c r="L115" s="80">
        <f t="shared" si="45"/>
        <v>0</v>
      </c>
      <c r="M115" s="112">
        <v>0</v>
      </c>
      <c r="N115" s="80">
        <f t="shared" si="46"/>
        <v>0</v>
      </c>
      <c r="O115" s="112">
        <v>0</v>
      </c>
      <c r="P115" s="80">
        <f t="shared" si="47"/>
        <v>0</v>
      </c>
      <c r="Q115" s="112">
        <v>0</v>
      </c>
      <c r="R115" s="80">
        <f t="shared" si="48"/>
        <v>0</v>
      </c>
      <c r="S115" s="112">
        <v>0</v>
      </c>
      <c r="T115" s="80">
        <f t="shared" si="49"/>
        <v>0</v>
      </c>
      <c r="U115" s="112">
        <v>0</v>
      </c>
      <c r="V115" s="80">
        <f t="shared" si="50"/>
        <v>0</v>
      </c>
    </row>
    <row r="116" spans="1:22" ht="12.75" customHeight="1">
      <c r="A116" s="40" t="s">
        <v>451</v>
      </c>
      <c r="B116" s="42"/>
      <c r="C116" s="85">
        <f>SUM(C111:C115)</f>
        <v>762608.2728988931</v>
      </c>
      <c r="D116" s="83">
        <f t="shared" si="41"/>
        <v>0</v>
      </c>
      <c r="E116" s="85">
        <f>SUM(E111:E115)</f>
        <v>865459.56820365239</v>
      </c>
      <c r="F116" s="83">
        <f t="shared" si="42"/>
        <v>0</v>
      </c>
      <c r="G116" s="85">
        <f>SUM(G111:G115)</f>
        <v>1423343.9343738651</v>
      </c>
      <c r="H116" s="83">
        <f t="shared" si="43"/>
        <v>0</v>
      </c>
      <c r="I116" s="85">
        <f>SUM(I111:I115)</f>
        <v>932841.42727386509</v>
      </c>
      <c r="J116" s="83">
        <f t="shared" si="44"/>
        <v>0</v>
      </c>
      <c r="K116" s="85">
        <f>SUM(K111:K115)</f>
        <v>948514.01737465803</v>
      </c>
      <c r="L116" s="83">
        <f t="shared" si="45"/>
        <v>0</v>
      </c>
      <c r="M116" s="85">
        <f>SUM(M111:M115)</f>
        <v>1518016.3541439925</v>
      </c>
      <c r="N116" s="83">
        <f t="shared" si="46"/>
        <v>0</v>
      </c>
      <c r="O116" s="85">
        <f>SUM(O111:O115)</f>
        <v>977848.15756813064</v>
      </c>
      <c r="P116" s="83">
        <f t="shared" si="47"/>
        <v>0</v>
      </c>
      <c r="Q116" s="85">
        <f>SUM(Q111:Q115)</f>
        <v>987974.91509499319</v>
      </c>
      <c r="R116" s="83">
        <f t="shared" si="48"/>
        <v>0</v>
      </c>
      <c r="S116" s="85">
        <f>SUM(S111:S115)</f>
        <v>1598405.4753476614</v>
      </c>
      <c r="T116" s="83">
        <f t="shared" si="49"/>
        <v>0</v>
      </c>
      <c r="U116" s="85">
        <f>SUM(U111:U115)</f>
        <v>963826.55907306424</v>
      </c>
      <c r="V116" s="83">
        <f t="shared" si="50"/>
        <v>0</v>
      </c>
    </row>
    <row r="118" spans="1:22" ht="12.75" customHeight="1">
      <c r="A118" s="43" t="s">
        <v>452</v>
      </c>
      <c r="B118" s="43"/>
    </row>
    <row r="119" spans="1:22" ht="12.75" customHeight="1">
      <c r="A119" s="47" t="s">
        <v>453</v>
      </c>
      <c r="B119" s="47"/>
    </row>
    <row r="120" spans="1:22" ht="12.75" customHeight="1">
      <c r="A120" s="2" t="s">
        <v>520</v>
      </c>
    </row>
    <row r="121" spans="1:22" ht="12.75" customHeight="1">
      <c r="A121" s="2" t="s">
        <v>521</v>
      </c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3" tint="-0.249977111117893"/>
  </sheetPr>
  <dimension ref="A1:V119"/>
  <sheetViews>
    <sheetView topLeftCell="A76" zoomScale="70" zoomScaleNormal="70" workbookViewId="0" xr3:uid="{19D6837B-414E-59DE-8400-B0C0387C2173}">
      <selection activeCell="I89" sqref="I89"/>
    </sheetView>
  </sheetViews>
  <sheetFormatPr defaultColWidth="9.140625" defaultRowHeight="12.75" customHeight="1"/>
  <cols>
    <col min="1" max="1" width="9.5703125" style="2" customWidth="1"/>
    <col min="2" max="2" width="31.7109375" style="2" customWidth="1"/>
    <col min="3" max="3" width="15" style="2" customWidth="1"/>
    <col min="4" max="4" width="8.7109375" style="2" customWidth="1"/>
    <col min="5" max="5" width="15.42578125" style="2" customWidth="1"/>
    <col min="6" max="6" width="8.7109375" style="2" customWidth="1"/>
    <col min="7" max="7" width="15.42578125" style="2" customWidth="1"/>
    <col min="8" max="8" width="8.7109375" style="2" customWidth="1"/>
    <col min="9" max="9" width="15.28515625" style="2" customWidth="1"/>
    <col min="10" max="10" width="8.7109375" style="2" customWidth="1"/>
    <col min="11" max="11" width="15.7109375" style="2" customWidth="1"/>
    <col min="12" max="12" width="8.7109375" style="2" customWidth="1"/>
    <col min="13" max="13" width="15.42578125" style="2" customWidth="1"/>
    <col min="14" max="14" width="8.7109375" style="2" customWidth="1"/>
    <col min="15" max="15" width="14.85546875" style="2" customWidth="1"/>
    <col min="16" max="16" width="8.7109375" style="2" customWidth="1"/>
    <col min="17" max="17" width="14.85546875" style="2" customWidth="1"/>
    <col min="18" max="18" width="8.7109375" style="2" customWidth="1"/>
    <col min="19" max="19" width="14.85546875" style="2" customWidth="1"/>
    <col min="20" max="20" width="8.7109375" style="2" customWidth="1"/>
    <col min="21" max="21" width="15" style="2" customWidth="1"/>
    <col min="22" max="22" width="8.7109375" style="2" customWidth="1"/>
    <col min="23" max="16384" width="9.140625" style="2"/>
  </cols>
  <sheetData>
    <row r="1" spans="1:22" ht="12.75" customHeight="1">
      <c r="A1" s="1" t="s">
        <v>513</v>
      </c>
      <c r="B1" s="1"/>
    </row>
    <row r="2" spans="1:22" ht="12.75" customHeight="1">
      <c r="A2" s="1" t="s">
        <v>1</v>
      </c>
      <c r="B2" s="1"/>
      <c r="D2" s="118" t="s">
        <v>355</v>
      </c>
      <c r="G2" s="33" t="s">
        <v>522</v>
      </c>
      <c r="H2" s="34"/>
      <c r="I2" s="34"/>
      <c r="V2" s="32"/>
    </row>
    <row r="3" spans="1:22" ht="12.75" customHeight="1">
      <c r="A3" s="1" t="s">
        <v>357</v>
      </c>
      <c r="D3" s="118" t="s">
        <v>358</v>
      </c>
      <c r="G3" s="158"/>
      <c r="H3" s="159"/>
      <c r="I3" s="159"/>
      <c r="V3" s="32"/>
    </row>
    <row r="4" spans="1:22" ht="12.75" customHeight="1">
      <c r="A4" s="1" t="s">
        <v>359</v>
      </c>
      <c r="B4" s="109" t="s">
        <v>221</v>
      </c>
      <c r="D4" s="118" t="s">
        <v>360</v>
      </c>
      <c r="G4" s="158"/>
      <c r="H4" s="159"/>
      <c r="I4" s="159"/>
      <c r="V4" s="32"/>
    </row>
    <row r="5" spans="1:22" ht="12.75" customHeight="1">
      <c r="A5" s="19"/>
      <c r="B5" s="19"/>
      <c r="C5" s="1"/>
      <c r="D5" s="1"/>
      <c r="E5" s="1"/>
      <c r="F5" s="1"/>
      <c r="G5" s="32"/>
      <c r="H5" s="32"/>
      <c r="I5" s="1"/>
      <c r="J5" s="1"/>
      <c r="K5" s="1"/>
      <c r="L5" s="1"/>
      <c r="M5" s="1"/>
      <c r="N5" s="1"/>
      <c r="O5" s="1"/>
      <c r="P5" s="1"/>
      <c r="Q5" s="32"/>
      <c r="R5" s="32"/>
      <c r="S5" s="1"/>
      <c r="T5" s="1"/>
      <c r="U5" s="1"/>
      <c r="V5" s="1"/>
    </row>
    <row r="6" spans="1:22" ht="12.75" customHeight="1">
      <c r="B6" s="35"/>
      <c r="C6" s="86" t="s">
        <v>105</v>
      </c>
      <c r="D6" s="32"/>
      <c r="E6" s="86" t="s">
        <v>124</v>
      </c>
      <c r="F6" s="32"/>
      <c r="G6" s="86" t="s">
        <v>125</v>
      </c>
      <c r="H6" s="32"/>
      <c r="I6" s="86" t="s">
        <v>126</v>
      </c>
      <c r="J6" s="32"/>
      <c r="K6" s="86" t="s">
        <v>127</v>
      </c>
      <c r="L6" s="32"/>
      <c r="M6" s="86" t="s">
        <v>128</v>
      </c>
      <c r="N6" s="32"/>
      <c r="O6" s="86" t="s">
        <v>129</v>
      </c>
      <c r="P6" s="32"/>
      <c r="Q6" s="86" t="s">
        <v>130</v>
      </c>
      <c r="R6" s="32"/>
      <c r="S6" s="86" t="s">
        <v>131</v>
      </c>
      <c r="T6" s="32"/>
      <c r="U6" s="86" t="s">
        <v>132</v>
      </c>
      <c r="V6" s="32"/>
    </row>
    <row r="7" spans="1:22" ht="12.75" customHeight="1">
      <c r="A7" s="89" t="s">
        <v>361</v>
      </c>
      <c r="B7" s="89"/>
      <c r="C7" s="90"/>
      <c r="D7" s="90"/>
      <c r="E7" s="90"/>
      <c r="F7" s="90"/>
      <c r="G7" s="90"/>
      <c r="H7" s="90"/>
      <c r="I7" s="90"/>
      <c r="J7" s="90"/>
      <c r="K7" s="90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</row>
    <row r="8" spans="1:22" ht="12.75" customHeight="1">
      <c r="A8" s="90" t="s">
        <v>362</v>
      </c>
      <c r="B8" s="90"/>
      <c r="C8" s="91"/>
      <c r="D8" s="90"/>
      <c r="E8" s="91"/>
      <c r="F8" s="90"/>
      <c r="G8" s="91"/>
      <c r="H8" s="90"/>
      <c r="I8" s="91"/>
      <c r="J8" s="90"/>
      <c r="K8" s="91"/>
      <c r="L8" s="90"/>
      <c r="M8" s="91"/>
      <c r="N8" s="90"/>
      <c r="O8" s="91"/>
      <c r="P8" s="90"/>
      <c r="Q8" s="91"/>
      <c r="R8" s="90"/>
      <c r="S8" s="91"/>
      <c r="T8" s="90"/>
      <c r="U8" s="91"/>
      <c r="V8" s="90"/>
    </row>
    <row r="9" spans="1:22" ht="12.75" customHeight="1">
      <c r="A9" s="90"/>
      <c r="B9" s="90"/>
      <c r="C9" s="90"/>
      <c r="D9" s="90"/>
      <c r="E9" s="90"/>
      <c r="F9" s="90"/>
      <c r="G9" s="90"/>
      <c r="H9" s="90"/>
      <c r="I9" s="90"/>
      <c r="J9" s="90"/>
      <c r="K9" s="90"/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</row>
    <row r="10" spans="1:22" ht="12.75" customHeight="1">
      <c r="A10" s="90" t="s">
        <v>462</v>
      </c>
      <c r="B10" s="90"/>
      <c r="C10" s="91"/>
      <c r="D10" s="90"/>
      <c r="E10" s="91"/>
      <c r="F10" s="90"/>
      <c r="G10" s="91"/>
      <c r="H10" s="90"/>
      <c r="I10" s="91"/>
      <c r="J10" s="90"/>
      <c r="K10" s="91"/>
      <c r="L10" s="90"/>
      <c r="M10" s="91"/>
      <c r="N10" s="90"/>
      <c r="O10" s="91"/>
      <c r="P10" s="90"/>
      <c r="Q10" s="91"/>
      <c r="R10" s="90"/>
      <c r="S10" s="91"/>
      <c r="T10" s="90"/>
      <c r="U10" s="91"/>
      <c r="V10" s="90"/>
    </row>
    <row r="11" spans="1:22" ht="12.75" customHeight="1">
      <c r="A11" s="90"/>
      <c r="B11" s="90"/>
      <c r="C11" s="90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1:22" ht="12.75" customHeight="1">
      <c r="A12" s="90" t="s">
        <v>463</v>
      </c>
      <c r="B12" s="90"/>
      <c r="C12" s="92"/>
      <c r="D12" s="90"/>
      <c r="E12" s="92"/>
      <c r="F12" s="90"/>
      <c r="G12" s="92"/>
      <c r="H12" s="90"/>
      <c r="I12" s="92"/>
      <c r="J12" s="90"/>
      <c r="K12" s="92"/>
      <c r="L12" s="90"/>
      <c r="M12" s="92"/>
      <c r="N12" s="90"/>
      <c r="O12" s="92"/>
      <c r="P12" s="90"/>
      <c r="Q12" s="92"/>
      <c r="R12" s="90"/>
      <c r="S12" s="92"/>
      <c r="T12" s="90"/>
      <c r="U12" s="92"/>
      <c r="V12" s="90"/>
    </row>
    <row r="13" spans="1:22" ht="12.75" customHeight="1">
      <c r="A13" s="90"/>
      <c r="B13" s="90"/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1:22" ht="12.75" customHeight="1">
      <c r="A14" s="90" t="s">
        <v>464</v>
      </c>
      <c r="B14" s="90"/>
      <c r="C14" s="124">
        <f>C12*C10*C8</f>
        <v>0</v>
      </c>
      <c r="D14" s="90"/>
      <c r="E14" s="124">
        <f>E12*E10*E8</f>
        <v>0</v>
      </c>
      <c r="F14" s="90"/>
      <c r="G14" s="124">
        <f>G12*G10*G8</f>
        <v>0</v>
      </c>
      <c r="H14" s="90"/>
      <c r="I14" s="124">
        <f>I12*I10*I8</f>
        <v>0</v>
      </c>
      <c r="J14" s="90"/>
      <c r="K14" s="124">
        <f>K12*K10*K8</f>
        <v>0</v>
      </c>
      <c r="L14" s="90"/>
      <c r="M14" s="124">
        <f>M12*M10*M8</f>
        <v>0</v>
      </c>
      <c r="N14" s="90"/>
      <c r="O14" s="124">
        <f>O12*O10*O8</f>
        <v>0</v>
      </c>
      <c r="P14" s="90"/>
      <c r="Q14" s="124">
        <f>Q12*Q10*Q8</f>
        <v>0</v>
      </c>
      <c r="R14" s="90"/>
      <c r="S14" s="124">
        <f>S12*S10*S8</f>
        <v>0</v>
      </c>
      <c r="T14" s="90"/>
      <c r="U14" s="124">
        <f>U12*U10*U8</f>
        <v>0</v>
      </c>
      <c r="V14" s="90"/>
    </row>
    <row r="16" spans="1:22" ht="12.75" customHeight="1">
      <c r="B16" s="35"/>
      <c r="C16" s="86" t="str">
        <f>C6</f>
        <v>FY 2018-19</v>
      </c>
      <c r="D16" s="86" t="s">
        <v>366</v>
      </c>
      <c r="E16" s="86" t="str">
        <f>E6</f>
        <v>FY 2019-20</v>
      </c>
      <c r="F16" s="86" t="s">
        <v>366</v>
      </c>
      <c r="G16" s="86" t="str">
        <f>G6</f>
        <v>FY 2020-21</v>
      </c>
      <c r="H16" s="86" t="s">
        <v>366</v>
      </c>
      <c r="I16" s="86" t="str">
        <f>I6</f>
        <v>FY 2021-22</v>
      </c>
      <c r="J16" s="86" t="s">
        <v>366</v>
      </c>
      <c r="K16" s="86" t="str">
        <f>K6</f>
        <v>FY 2022-23</v>
      </c>
      <c r="L16" s="86" t="s">
        <v>366</v>
      </c>
      <c r="M16" s="86" t="str">
        <f>M6</f>
        <v>FY 2023-24</v>
      </c>
      <c r="N16" s="86" t="s">
        <v>366</v>
      </c>
      <c r="O16" s="86" t="str">
        <f>O6</f>
        <v>FY 2024-25</v>
      </c>
      <c r="P16" s="86" t="s">
        <v>366</v>
      </c>
      <c r="Q16" s="86" t="str">
        <f>Q6</f>
        <v>FY 2025-26</v>
      </c>
      <c r="R16" s="86" t="s">
        <v>366</v>
      </c>
      <c r="S16" s="86" t="str">
        <f>S6</f>
        <v>FY 2026-27</v>
      </c>
      <c r="T16" s="86" t="s">
        <v>366</v>
      </c>
      <c r="U16" s="86" t="str">
        <f>U6</f>
        <v>FY 2027-28</v>
      </c>
      <c r="V16" s="86" t="s">
        <v>366</v>
      </c>
    </row>
    <row r="17" spans="1:22" ht="12.75" customHeight="1">
      <c r="A17" s="1" t="s">
        <v>367</v>
      </c>
      <c r="B17" s="53"/>
      <c r="C17" s="78"/>
      <c r="D17" s="78"/>
      <c r="E17" s="78"/>
      <c r="F17" s="78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</row>
    <row r="18" spans="1:22" ht="12.75" customHeight="1">
      <c r="A18" s="2" t="s">
        <v>368</v>
      </c>
      <c r="B18" s="35"/>
      <c r="C18" s="78"/>
      <c r="D18" s="78"/>
      <c r="E18" s="78"/>
      <c r="F18" s="78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</row>
    <row r="19" spans="1:22" ht="12.75" customHeight="1">
      <c r="A19" s="2" t="s">
        <v>369</v>
      </c>
      <c r="B19" s="35"/>
      <c r="C19" s="79">
        <f>'Fresh Food Co.'!C19+'Retail Roll Up'!C19+'Catering Roll Up'!C19+'G&amp;A'!C19</f>
        <v>13953516.656115999</v>
      </c>
      <c r="D19" s="80">
        <f>IFERROR(C19/C$28,0)</f>
        <v>0.60828399218152407</v>
      </c>
      <c r="E19" s="79">
        <f>'Fresh Food Co.'!E19+'Retail Roll Up'!E19+'Catering Roll Up'!E19+'G&amp;A'!E19</f>
        <v>15490790</v>
      </c>
      <c r="F19" s="80">
        <f>IFERROR(E19/E$28,0)</f>
        <v>0.61726455142786918</v>
      </c>
      <c r="G19" s="79">
        <f>'Fresh Food Co.'!G19+'Retail Roll Up'!G19+'Catering Roll Up'!G19+'G&amp;A'!G19</f>
        <v>16701936.289999999</v>
      </c>
      <c r="H19" s="80">
        <f>IFERROR(G19/G$28,0)</f>
        <v>0.6107308130461846</v>
      </c>
      <c r="I19" s="79">
        <f>'Fresh Food Co.'!I19+'Retail Roll Up'!I19+'Catering Roll Up'!I19+'G&amp;A'!I19</f>
        <v>17377659.148099996</v>
      </c>
      <c r="J19" s="80">
        <f>IFERROR(I19/I$28,0)</f>
        <v>0.61229903200093605</v>
      </c>
      <c r="K19" s="79">
        <f>'Fresh Food Co.'!K19+'Retail Roll Up'!K19+'Catering Roll Up'!K19+'G&amp;A'!K19</f>
        <v>17922306.574445002</v>
      </c>
      <c r="L19" s="80">
        <f>IFERROR(K19/K$28,0)</f>
        <v>0.61041194881705529</v>
      </c>
      <c r="M19" s="79">
        <f>'Fresh Food Co.'!M19+'Retail Roll Up'!M19+'Catering Roll Up'!M19+'G&amp;A'!M19</f>
        <v>18494851.050150536</v>
      </c>
      <c r="N19" s="80">
        <f>IFERROR(M19/M$28,0)</f>
        <v>0.6114410426116903</v>
      </c>
      <c r="O19" s="79">
        <f>'Fresh Food Co.'!O19+'Retail Roll Up'!O19+'Catering Roll Up'!O19+'G&amp;A'!O19</f>
        <v>19104797.060668651</v>
      </c>
      <c r="P19" s="80">
        <f>IFERROR(O19/O$28,0)</f>
        <v>0.61270159429110427</v>
      </c>
      <c r="Q19" s="79">
        <f>'Fresh Food Co.'!Q19+'Retail Roll Up'!Q19+'Catering Roll Up'!Q19+'G&amp;A'!Q19</f>
        <v>19754256.705212068</v>
      </c>
      <c r="R19" s="80">
        <f>IFERROR(Q19/Q$28,0)</f>
        <v>0.61450099108701217</v>
      </c>
      <c r="S19" s="79">
        <f>'Fresh Food Co.'!S19+'Retail Roll Up'!S19+'Catering Roll Up'!S19+'G&amp;A'!S19</f>
        <v>20421339.689450949</v>
      </c>
      <c r="T19" s="80">
        <f>IFERROR(S19/S$28,0)</f>
        <v>0.61625644142625435</v>
      </c>
      <c r="U19" s="79">
        <f>'Fresh Food Co.'!U19+'Retail Roll Up'!U19+'Catering Roll Up'!U19+'G&amp;A'!U19</f>
        <v>21120808.782739714</v>
      </c>
      <c r="V19" s="80">
        <f>IFERROR(U19/U$28,0)</f>
        <v>0.61813228808134058</v>
      </c>
    </row>
    <row r="20" spans="1:22" ht="12.75" customHeight="1">
      <c r="A20" s="2" t="s">
        <v>370</v>
      </c>
      <c r="B20" s="35"/>
      <c r="C20" s="79">
        <f>'Fresh Food Co.'!C20+'Retail Roll Up'!C20+'Catering Roll Up'!C20+'G&amp;A'!C20</f>
        <v>1999097.5632439996</v>
      </c>
      <c r="D20" s="80">
        <f>IFERROR(C20/C$28,0)</f>
        <v>8.7147855017424641E-2</v>
      </c>
      <c r="E20" s="79">
        <f>'Fresh Food Co.'!E20+'Retail Roll Up'!E20+'Catering Roll Up'!E20+'G&amp;A'!E20</f>
        <v>3222513</v>
      </c>
      <c r="F20" s="80">
        <f>IFERROR(E20/E$28,0)</f>
        <v>0.12840810839314698</v>
      </c>
      <c r="G20" s="79">
        <f>'Fresh Food Co.'!G20+'Retail Roll Up'!G20+'Catering Roll Up'!G20+'G&amp;A'!G20</f>
        <v>3906252.61</v>
      </c>
      <c r="H20" s="80">
        <f>IFERROR(G20/G$28,0)</f>
        <v>0.14283785969758844</v>
      </c>
      <c r="I20" s="79">
        <f>'Fresh Food Co.'!I20+'Retail Roll Up'!I20+'Catering Roll Up'!I20+'G&amp;A'!I20</f>
        <v>3997195.7462000004</v>
      </c>
      <c r="J20" s="80">
        <f>IFERROR(I20/I$28,0)</f>
        <v>0.14084055080480257</v>
      </c>
      <c r="K20" s="79">
        <f>'Fresh Food Co.'!K20+'Retail Roll Up'!K20+'Catering Roll Up'!K20+'G&amp;A'!K20</f>
        <v>4084180.3211240009</v>
      </c>
      <c r="L20" s="80">
        <f>IFERROR(K20/K$28,0)</f>
        <v>0.13910221091141947</v>
      </c>
      <c r="M20" s="79">
        <f>'Fresh Food Co.'!M20+'Retail Roll Up'!M20+'Catering Roll Up'!M20+'G&amp;A'!M20</f>
        <v>4171708.463546481</v>
      </c>
      <c r="N20" s="80">
        <f>IFERROR(M20/M$28,0)</f>
        <v>0.13791696756606814</v>
      </c>
      <c r="O20" s="79">
        <f>'Fresh Food Co.'!O20+'Retail Roll Up'!O20+'Catering Roll Up'!O20+'G&amp;A'!O20</f>
        <v>4262444.691057411</v>
      </c>
      <c r="P20" s="80">
        <f>IFERROR(O20/O$28,0)</f>
        <v>0.13669900022989959</v>
      </c>
      <c r="Q20" s="79">
        <f>'Fresh Food Co.'!Q20+'Retail Roll Up'!Q20+'Catering Roll Up'!Q20+'G&amp;A'!Q20</f>
        <v>4355660.1227457589</v>
      </c>
      <c r="R20" s="80">
        <f>IFERROR(Q20/Q$28,0)</f>
        <v>0.13549269416749296</v>
      </c>
      <c r="S20" s="79">
        <f>'Fresh Food Co.'!S20+'Retail Roll Up'!S20+'Catering Roll Up'!S20+'G&amp;A'!S20</f>
        <v>4450584.4921638891</v>
      </c>
      <c r="T20" s="80">
        <f>IFERROR(S20/S$28,0)</f>
        <v>0.13430565296480471</v>
      </c>
      <c r="U20" s="79">
        <f>'Fresh Food Co.'!U20+'Retail Roll Up'!U20+'Catering Roll Up'!U20+'G&amp;A'!U20</f>
        <v>4547604.3605792802</v>
      </c>
      <c r="V20" s="80">
        <f>IFERROR(U20/U$28,0)</f>
        <v>0.13309249269804321</v>
      </c>
    </row>
    <row r="21" spans="1:22" ht="12.75" customHeight="1">
      <c r="A21" s="2" t="s">
        <v>371</v>
      </c>
      <c r="B21" s="35"/>
      <c r="C21" s="79">
        <f>'Fresh Food Co.'!C21+'Retail Roll Up'!C21+'Catering Roll Up'!C21+'G&amp;A'!C21</f>
        <v>195185.16063999999</v>
      </c>
      <c r="D21" s="80">
        <f>IFERROR(C21/C$28,0)</f>
        <v>8.5088233779870345E-3</v>
      </c>
      <c r="E21" s="79">
        <f>'Fresh Food Co.'!E21+'Retail Roll Up'!E21+'Catering Roll Up'!E21+'G&amp;A'!E21</f>
        <v>155372</v>
      </c>
      <c r="F21" s="80">
        <f>IFERROR(E21/E$28,0)</f>
        <v>6.1911385981251376E-3</v>
      </c>
      <c r="G21" s="79">
        <f>'Fresh Food Co.'!G21+'Retail Roll Up'!G21+'Catering Roll Up'!G21+'G&amp;A'!G21</f>
        <v>163808.6</v>
      </c>
      <c r="H21" s="80">
        <f>IFERROR(G21/G$28,0)</f>
        <v>5.9899018727461121E-3</v>
      </c>
      <c r="I21" s="79">
        <f>'Fresh Food Co.'!I21+'Retail Roll Up'!I21+'Catering Roll Up'!I21+'G&amp;A'!I21</f>
        <v>180639.67519999997</v>
      </c>
      <c r="J21" s="80">
        <f>IFERROR(I21/I$28,0)</f>
        <v>6.3648099737309343E-3</v>
      </c>
      <c r="K21" s="79">
        <f>'Fresh Food Co.'!K21+'Retail Roll Up'!K21+'Catering Roll Up'!K21+'G&amp;A'!K21</f>
        <v>197174.50821599999</v>
      </c>
      <c r="L21" s="80">
        <f>IFERROR(K21/K$28,0)</f>
        <v>6.7155237701819158E-3</v>
      </c>
      <c r="M21" s="79">
        <f>'Fresh Food Co.'!M21+'Retail Roll Up'!M21+'Catering Roll Up'!M21+'G&amp;A'!M21</f>
        <v>213223.56027756</v>
      </c>
      <c r="N21" s="80">
        <f>IFERROR(M21/M$28,0)</f>
        <v>7.0491855085487E-3</v>
      </c>
      <c r="O21" s="79">
        <f>'Fresh Food Co.'!O21+'Retail Roll Up'!O21+'Catering Roll Up'!O21+'G&amp;A'!O21</f>
        <v>227402.16708588682</v>
      </c>
      <c r="P21" s="80">
        <f>IFERROR(O21/O$28,0)</f>
        <v>7.2929154848556405E-3</v>
      </c>
      <c r="Q21" s="79">
        <f>'Fresh Food Co.'!Q21+'Retail Roll Up'!Q21+'Catering Roll Up'!Q21+'G&amp;A'!Q21</f>
        <v>233963.93209846344</v>
      </c>
      <c r="R21" s="80">
        <f>IFERROR(Q21/Q$28,0)</f>
        <v>7.2779791362732917E-3</v>
      </c>
      <c r="S21" s="79">
        <f>'Fresh Food Co.'!S21+'Retail Roll Up'!S21+'Catering Roll Up'!S21+'G&amp;A'!S21</f>
        <v>251331.81567503777</v>
      </c>
      <c r="T21" s="80">
        <f>IFERROR(S21/S$28,0)</f>
        <v>7.5844607993620977E-3</v>
      </c>
      <c r="U21" s="79">
        <f>'Fresh Food Co.'!U21+'Retail Roll Up'!U21+'Catering Roll Up'!U21+'G&amp;A'!U21</f>
        <v>264683.83160017291</v>
      </c>
      <c r="V21" s="80">
        <f>IFERROR(U21/U$28,0)</f>
        <v>7.7463710849394983E-3</v>
      </c>
    </row>
    <row r="22" spans="1:22" ht="12.75" customHeight="1">
      <c r="A22" s="2" t="s">
        <v>372</v>
      </c>
      <c r="B22" s="35"/>
      <c r="C22" s="79"/>
      <c r="D22" s="80"/>
      <c r="E22" s="79"/>
      <c r="F22" s="80"/>
      <c r="G22" s="79"/>
      <c r="H22" s="80"/>
      <c r="I22" s="79"/>
      <c r="J22" s="80"/>
      <c r="K22" s="79"/>
      <c r="L22" s="80"/>
      <c r="M22" s="79"/>
      <c r="N22" s="80"/>
      <c r="O22" s="79"/>
      <c r="P22" s="80"/>
      <c r="Q22" s="79"/>
      <c r="R22" s="80"/>
      <c r="S22" s="79"/>
      <c r="T22" s="80"/>
      <c r="U22" s="79"/>
      <c r="V22" s="80"/>
    </row>
    <row r="23" spans="1:22" ht="12.75" customHeight="1">
      <c r="A23" s="2" t="s">
        <v>373</v>
      </c>
      <c r="B23" s="35"/>
      <c r="C23" s="79">
        <f>'Fresh Food Co.'!C23+'Retail Roll Up'!C23+'Catering Roll Up'!C23+'G&amp;A'!C23</f>
        <v>4445490.8393599996</v>
      </c>
      <c r="D23" s="80">
        <f t="shared" ref="D23:D28" si="0">IFERROR(C23/C$28,0)</f>
        <v>0.19379493941314394</v>
      </c>
      <c r="E23" s="79">
        <f>'Fresh Food Co.'!E23+'Retail Roll Up'!E23+'Catering Roll Up'!E23+'G&amp;A'!E23</f>
        <v>3368045</v>
      </c>
      <c r="F23" s="80">
        <f t="shared" ref="F23:F28" si="1">IFERROR(E23/E$28,0)</f>
        <v>0.13420715057875537</v>
      </c>
      <c r="G23" s="79">
        <f>'Fresh Food Co.'!G23+'Retail Roll Up'!G23+'Catering Roll Up'!G23+'G&amp;A'!G23</f>
        <v>3429910.48</v>
      </c>
      <c r="H23" s="80">
        <f t="shared" ref="H23:H28" si="2">IFERROR(G23/G$28,0)</f>
        <v>0.1254197106104534</v>
      </c>
      <c r="I23" s="79">
        <f>'Fresh Food Co.'!I23+'Retail Roll Up'!I23+'Catering Roll Up'!I23+'G&amp;A'!I23</f>
        <v>3484953.7864000006</v>
      </c>
      <c r="J23" s="80">
        <f t="shared" ref="J23:J28" si="3">IFERROR(I23/I$28,0)</f>
        <v>0.12279178753566598</v>
      </c>
      <c r="K23" s="79">
        <f>'Fresh Food Co.'!K23+'Retail Roll Up'!K23+'Catering Roll Up'!K23+'G&amp;A'!K23</f>
        <v>3541730.8226159997</v>
      </c>
      <c r="L23" s="80">
        <f t="shared" ref="L23:L28" si="4">IFERROR(K23/K$28,0)</f>
        <v>0.12062704120356298</v>
      </c>
      <c r="M23" s="79">
        <f>'Fresh Food Co.'!M23+'Retail Roll Up'!M23+'Catering Roll Up'!M23+'G&amp;A'!M23</f>
        <v>3626274.8771710806</v>
      </c>
      <c r="N23" s="80">
        <f t="shared" ref="N23:N28" si="5">IFERROR(M23/M$28,0)</f>
        <v>0.11988489583840242</v>
      </c>
      <c r="O23" s="79">
        <f>'Fresh Food Co.'!O23+'Retail Roll Up'!O23+'Catering Roll Up'!O23+'G&amp;A'!O23</f>
        <v>3714701.2391117266</v>
      </c>
      <c r="P23" s="80">
        <f t="shared" ref="P23:P28" si="6">IFERROR(O23/O$28,0)</f>
        <v>0.11913255944521597</v>
      </c>
      <c r="Q23" s="79">
        <f>'Fresh Food Co.'!Q23+'Retail Roll Up'!Q23+'Catering Roll Up'!Q23+'G&amp;A'!Q23</f>
        <v>3812796.5422231019</v>
      </c>
      <c r="R23" s="80">
        <f t="shared" ref="R23:R28" si="7">IFERROR(Q23/Q$28,0)</f>
        <v>0.11860569035690664</v>
      </c>
      <c r="S23" s="79">
        <f>'Fresh Food Co.'!S23+'Retail Roll Up'!S23+'Catering Roll Up'!S23+'G&amp;A'!S23</f>
        <v>3902178.8681329596</v>
      </c>
      <c r="T23" s="80">
        <f t="shared" ref="T23:T28" si="8">IFERROR(S23/S$28,0)</f>
        <v>0.11775637150419493</v>
      </c>
      <c r="U23" s="79">
        <f>'Fresh Food Co.'!U23+'Retail Roll Up'!U23+'Catering Roll Up'!U23+'G&amp;A'!U23</f>
        <v>3997712.0658839843</v>
      </c>
      <c r="V23" s="80">
        <f t="shared" ref="V23:V28" si="9">IFERROR(U23/U$28,0)</f>
        <v>0.11699906626656682</v>
      </c>
    </row>
    <row r="24" spans="1:22" ht="12.75" customHeight="1">
      <c r="A24" s="2" t="s">
        <v>374</v>
      </c>
      <c r="B24" s="35"/>
      <c r="C24" s="79">
        <f>'Fresh Food Co.'!C24+'Retail Roll Up'!C24+'Catering Roll Up'!C24+'G&amp;A'!C24</f>
        <v>631288</v>
      </c>
      <c r="D24" s="80">
        <f t="shared" si="0"/>
        <v>2.7520115130831694E-2</v>
      </c>
      <c r="E24" s="79">
        <f>'Fresh Food Co.'!E24+'Retail Roll Up'!E24+'Catering Roll Up'!E24+'G&amp;A'!E24</f>
        <v>843702.08000000007</v>
      </c>
      <c r="F24" s="80">
        <f t="shared" si="1"/>
        <v>3.3619162479767671E-2</v>
      </c>
      <c r="G24" s="79">
        <f>'Fresh Food Co.'!G24+'Retail Roll Up'!G24+'Catering Roll Up'!G24+'G&amp;A'!G24</f>
        <v>1139105.4000000001</v>
      </c>
      <c r="H24" s="80">
        <f t="shared" si="2"/>
        <v>4.1653060759418062E-2</v>
      </c>
      <c r="I24" s="79">
        <f>'Fresh Food Co.'!I24+'Retail Roll Up'!I24+'Catering Roll Up'!I24+'G&amp;A'!I24</f>
        <v>1268497.2960000001</v>
      </c>
      <c r="J24" s="80">
        <f t="shared" si="3"/>
        <v>4.4695298706070322E-2</v>
      </c>
      <c r="K24" s="79">
        <f>'Fresh Food Co.'!K24+'Retail Roll Up'!K24+'Catering Roll Up'!K24+'G&amp;A'!K24</f>
        <v>1486651.3809984</v>
      </c>
      <c r="L24" s="80">
        <f t="shared" si="4"/>
        <v>5.0633536644258723E-2</v>
      </c>
      <c r="M24" s="79">
        <f>'Fresh Food Co.'!M24+'Retail Roll Up'!M24+'Catering Roll Up'!M24+'G&amp;A'!M24</f>
        <v>1567838.9793907353</v>
      </c>
      <c r="N24" s="80">
        <f t="shared" si="5"/>
        <v>5.1832864055324029E-2</v>
      </c>
      <c r="O24" s="79">
        <f>'Fresh Food Co.'!O24+'Retail Roll Up'!O24+'Catering Roll Up'!O24+'G&amp;A'!O24</f>
        <v>1652729.0944101212</v>
      </c>
      <c r="P24" s="80">
        <f t="shared" si="6"/>
        <v>5.3003952246166025E-2</v>
      </c>
      <c r="Q24" s="79">
        <f>'Fresh Food Co.'!Q24+'Retail Roll Up'!Q24+'Catering Roll Up'!Q24+'G&amp;A'!Q24</f>
        <v>1724406.4275158271</v>
      </c>
      <c r="R24" s="80">
        <f t="shared" si="7"/>
        <v>5.3641575816198959E-2</v>
      </c>
      <c r="S24" s="79">
        <f>'Fresh Food Co.'!S24+'Retail Roll Up'!S24+'Catering Roll Up'!S24+'G&amp;A'!S24</f>
        <v>1798466.0652258703</v>
      </c>
      <c r="T24" s="80">
        <f t="shared" si="8"/>
        <v>5.4272457842444867E-2</v>
      </c>
      <c r="U24" s="79">
        <f>'Fresh Food Co.'!U24+'Retail Roll Up'!U24+'Catering Roll Up'!U24+'G&amp;A'!U24</f>
        <v>1874982.1296307477</v>
      </c>
      <c r="V24" s="80">
        <f t="shared" si="9"/>
        <v>5.4874176733583364E-2</v>
      </c>
    </row>
    <row r="25" spans="1:22" ht="12.75" customHeight="1">
      <c r="A25" s="2" t="s">
        <v>375</v>
      </c>
      <c r="B25" s="35"/>
      <c r="C25" s="79">
        <f>'Fresh Food Co.'!C25+'Retail Roll Up'!C25+'Catering Roll Up'!C25+'G&amp;A'!C25</f>
        <v>1161770</v>
      </c>
      <c r="D25" s="80">
        <f t="shared" si="0"/>
        <v>5.0645734047766372E-2</v>
      </c>
      <c r="E25" s="79">
        <f>'Fresh Food Co.'!E25+'Retail Roll Up'!E25+'Catering Roll Up'!E25+'G&amp;A'!E25</f>
        <v>1208005.3999999999</v>
      </c>
      <c r="F25" s="80">
        <f t="shared" si="1"/>
        <v>4.8135628418785853E-2</v>
      </c>
      <c r="G25" s="79">
        <f>'Fresh Food Co.'!G25+'Retail Roll Up'!G25+'Catering Roll Up'!G25+'G&amp;A'!G25</f>
        <v>1256165.5080000001</v>
      </c>
      <c r="H25" s="80">
        <f t="shared" si="2"/>
        <v>4.5933535411744386E-2</v>
      </c>
      <c r="I25" s="79">
        <f>'Fresh Food Co.'!I25+'Retail Roll Up'!I25+'Catering Roll Up'!I25+'G&amp;A'!I25</f>
        <v>1307288.81816</v>
      </c>
      <c r="J25" s="80">
        <f t="shared" si="3"/>
        <v>4.6062111765642143E-2</v>
      </c>
      <c r="K25" s="79">
        <f>'Fresh Food Co.'!K25+'Retail Roll Up'!K25+'Catering Roll Up'!K25+'G&amp;A'!K25</f>
        <v>1346434.5945232001</v>
      </c>
      <c r="L25" s="80">
        <f t="shared" si="4"/>
        <v>4.5857923553740979E-2</v>
      </c>
      <c r="M25" s="79">
        <f>'Fresh Food Co.'!M25+'Retail Roll Up'!M25+'Catering Roll Up'!M25+'G&amp;A'!M25</f>
        <v>1373363.286413664</v>
      </c>
      <c r="N25" s="80">
        <f t="shared" si="5"/>
        <v>4.540348432395476E-2</v>
      </c>
      <c r="O25" s="79">
        <f>'Fresh Food Co.'!O25+'Retail Roll Up'!O25+'Catering Roll Up'!O25+'G&amp;A'!O25</f>
        <v>1399830.5521419374</v>
      </c>
      <c r="P25" s="80">
        <f t="shared" si="6"/>
        <v>4.4893353659352812E-2</v>
      </c>
      <c r="Q25" s="79">
        <f>'Fresh Food Co.'!Q25+'Retail Roll Up'!Q25+'Catering Roll Up'!Q25+'G&amp;A'!Q25</f>
        <v>1427327.1631847762</v>
      </c>
      <c r="R25" s="80">
        <f t="shared" si="7"/>
        <v>4.4400251017849807E-2</v>
      </c>
      <c r="S25" s="79">
        <f>'Fresh Food Co.'!S25+'Retail Roll Up'!S25+'Catering Roll Up'!S25+'G&amp;A'!S25</f>
        <v>1455873.7064484716</v>
      </c>
      <c r="T25" s="80">
        <f t="shared" si="8"/>
        <v>4.3934020154684006E-2</v>
      </c>
      <c r="U25" s="79">
        <f>'Fresh Food Co.'!U25+'Retail Roll Up'!U25+'Catering Roll Up'!U25+'G&amp;A'!U25</f>
        <v>1484991.1805774411</v>
      </c>
      <c r="V25" s="80">
        <f t="shared" si="9"/>
        <v>4.3460504077906602E-2</v>
      </c>
    </row>
    <row r="26" spans="1:22" ht="12.75" customHeight="1">
      <c r="A26" s="2" t="s">
        <v>376</v>
      </c>
      <c r="B26" s="35"/>
      <c r="C26" s="79">
        <f>'Fresh Food Co.'!C26+'Retail Roll Up'!C26+'Catering Roll Up'!C26+'G&amp;A'!C26</f>
        <v>249000</v>
      </c>
      <c r="D26" s="80">
        <f t="shared" si="0"/>
        <v>1.0854805837552895E-2</v>
      </c>
      <c r="E26" s="79">
        <f>'Fresh Food Co.'!E26+'Retail Roll Up'!E26+'Catering Roll Up'!E26+'G&amp;A'!E26</f>
        <v>254065</v>
      </c>
      <c r="F26" s="80">
        <f t="shared" si="1"/>
        <v>1.0123777951835999E-2</v>
      </c>
      <c r="G26" s="79">
        <f>'Fresh Food Co.'!G26+'Retail Roll Up'!G26+'Catering Roll Up'!G26+'G&amp;A'!G26</f>
        <v>260181</v>
      </c>
      <c r="H26" s="80">
        <f t="shared" si="2"/>
        <v>9.5139001197309305E-3</v>
      </c>
      <c r="I26" s="79">
        <f>'Fresh Food Co.'!I26+'Retail Roll Up'!I26+'Catering Roll Up'!I26+'G&amp;A'!I26</f>
        <v>264864.25800000003</v>
      </c>
      <c r="J26" s="80">
        <f t="shared" si="3"/>
        <v>9.3324496356448489E-3</v>
      </c>
      <c r="K26" s="79">
        <f>'Fresh Food Co.'!K26+'Retail Roll Up'!K26+'Catering Roll Up'!K26+'G&amp;A'!K26</f>
        <v>270161.54316000006</v>
      </c>
      <c r="L26" s="80">
        <f t="shared" si="4"/>
        <v>9.2013733483869604E-3</v>
      </c>
      <c r="M26" s="79">
        <f>'Fresh Food Co.'!M26+'Retail Roll Up'!M26+'Catering Roll Up'!M26+'G&amp;A'!M26</f>
        <v>275564.77402320009</v>
      </c>
      <c r="N26" s="80">
        <f t="shared" si="5"/>
        <v>9.110190305340625E-3</v>
      </c>
      <c r="O26" s="79">
        <f>'Fresh Food Co.'!O26+'Retail Roll Up'!O26+'Catering Roll Up'!O26+'G&amp;A'!O26</f>
        <v>281076.0695036641</v>
      </c>
      <c r="P26" s="80">
        <f t="shared" si="6"/>
        <v>9.0142677441214774E-3</v>
      </c>
      <c r="Q26" s="79">
        <f>'Fresh Food Co.'!Q26+'Retail Roll Up'!Q26+'Catering Roll Up'!Q26+'G&amp;A'!Q26</f>
        <v>286697.59089373739</v>
      </c>
      <c r="R26" s="80">
        <f t="shared" si="7"/>
        <v>8.9183792827789467E-3</v>
      </c>
      <c r="S26" s="79">
        <f>'Fresh Food Co.'!S26+'Retail Roll Up'!S26+'Catering Roll Up'!S26+'G&amp;A'!S26</f>
        <v>292431.54271161213</v>
      </c>
      <c r="T26" s="80">
        <f t="shared" si="8"/>
        <v>8.8247306304463629E-3</v>
      </c>
      <c r="U26" s="79">
        <f>'Fresh Food Co.'!U26+'Retail Roll Up'!U26+'Catering Roll Up'!U26+'G&amp;A'!U26</f>
        <v>298280.17356584436</v>
      </c>
      <c r="V26" s="80">
        <f t="shared" si="9"/>
        <v>8.7296186463385102E-3</v>
      </c>
    </row>
    <row r="27" spans="1:22" ht="12.75" customHeight="1">
      <c r="A27" s="2" t="s">
        <v>474</v>
      </c>
      <c r="B27" s="35"/>
      <c r="C27" s="79">
        <f>'Fresh Food Co.'!C27+'Retail Roll Up'!C27+'Catering Roll Up'!C27+'G&amp;A'!C27</f>
        <v>303800</v>
      </c>
      <c r="D27" s="80">
        <f t="shared" si="0"/>
        <v>1.3243734993769355E-2</v>
      </c>
      <c r="E27" s="79">
        <f>'Fresh Food Co.'!E27+'Retail Roll Up'!E27+'Catering Roll Up'!E27+'G&amp;A'!E27</f>
        <v>553376</v>
      </c>
      <c r="F27" s="80">
        <f t="shared" si="1"/>
        <v>2.2050482151713926E-2</v>
      </c>
      <c r="G27" s="79">
        <f>'Fresh Food Co.'!G27+'Retail Roll Up'!G27+'Catering Roll Up'!G27+'G&amp;A'!G27</f>
        <v>490099.8</v>
      </c>
      <c r="H27" s="80">
        <f t="shared" si="2"/>
        <v>1.7921218482133995E-2</v>
      </c>
      <c r="I27" s="79">
        <f>'Fresh Food Co.'!I27+'Retail Roll Up'!I27+'Catering Roll Up'!I27+'G&amp;A'!I27</f>
        <v>499901.79599999997</v>
      </c>
      <c r="J27" s="80">
        <f t="shared" si="3"/>
        <v>1.7613959577507075E-2</v>
      </c>
      <c r="K27" s="79">
        <f>'Fresh Food Co.'!K27+'Retail Roll Up'!K27+'Catering Roll Up'!K27+'G&amp;A'!K27</f>
        <v>512362.45872</v>
      </c>
      <c r="L27" s="80">
        <f t="shared" si="4"/>
        <v>1.7450441751393722E-2</v>
      </c>
      <c r="M27" s="79">
        <f>'Fresh Food Co.'!M27+'Retail Roll Up'!M27+'Catering Roll Up'!M27+'G&amp;A'!M27</f>
        <v>525146.21349840006</v>
      </c>
      <c r="N27" s="80">
        <f t="shared" si="5"/>
        <v>1.7361369790670985E-2</v>
      </c>
      <c r="O27" s="79">
        <f>'Fresh Food Co.'!O27+'Retail Roll Up'!O27+'Catering Roll Up'!O27+'G&amp;A'!O27</f>
        <v>538261.73854048806</v>
      </c>
      <c r="P27" s="80">
        <f t="shared" si="6"/>
        <v>1.726235689928423E-2</v>
      </c>
      <c r="Q27" s="79">
        <f>'Fresh Food Co.'!Q27+'Retail Roll Up'!Q27+'Catering Roll Up'!Q27+'G&amp;A'!Q27</f>
        <v>551717.95210658142</v>
      </c>
      <c r="R27" s="80">
        <f t="shared" si="7"/>
        <v>1.7162439135487147E-2</v>
      </c>
      <c r="S27" s="79">
        <f>'Fresh Food Co.'!S27+'Retail Roll Up'!S27+'Catering Roll Up'!S27+'G&amp;A'!S27</f>
        <v>565524.01930785528</v>
      </c>
      <c r="T27" s="80">
        <f t="shared" si="8"/>
        <v>1.7065864677808573E-2</v>
      </c>
      <c r="U27" s="79">
        <f>'Fresh Food Co.'!U27+'Retail Roll Up'!U27+'Catering Roll Up'!U27+'G&amp;A'!U27</f>
        <v>579689.35909792874</v>
      </c>
      <c r="V27" s="80">
        <f t="shared" si="9"/>
        <v>1.6965482411281412E-2</v>
      </c>
    </row>
    <row r="28" spans="1:22" ht="12.75" customHeight="1">
      <c r="A28" s="1" t="s">
        <v>378</v>
      </c>
      <c r="B28" s="53"/>
      <c r="C28" s="82">
        <f>SUM(C19:C27)</f>
        <v>22939148.219359998</v>
      </c>
      <c r="D28" s="83">
        <f t="shared" si="0"/>
        <v>1</v>
      </c>
      <c r="E28" s="82">
        <f>SUM(E19:E27)</f>
        <v>25095868.479999997</v>
      </c>
      <c r="F28" s="83">
        <f t="shared" si="1"/>
        <v>1</v>
      </c>
      <c r="G28" s="82">
        <f>SUM(G19:G27)</f>
        <v>27347459.688000001</v>
      </c>
      <c r="H28" s="83">
        <f t="shared" si="2"/>
        <v>1</v>
      </c>
      <c r="I28" s="82">
        <f>SUM(I19:I27)</f>
        <v>28381000.52406</v>
      </c>
      <c r="J28" s="83">
        <f t="shared" si="3"/>
        <v>1</v>
      </c>
      <c r="K28" s="82">
        <f>SUM(K19:K27)</f>
        <v>29361002.203802601</v>
      </c>
      <c r="L28" s="83">
        <f t="shared" si="4"/>
        <v>1</v>
      </c>
      <c r="M28" s="82">
        <f>SUM(M19:M27)</f>
        <v>30247971.204471659</v>
      </c>
      <c r="N28" s="83">
        <f t="shared" si="5"/>
        <v>1</v>
      </c>
      <c r="O28" s="82">
        <f>SUM(O19:O27)</f>
        <v>31181242.612519886</v>
      </c>
      <c r="P28" s="83">
        <f t="shared" si="6"/>
        <v>1</v>
      </c>
      <c r="Q28" s="82">
        <f>SUM(Q19:Q27)</f>
        <v>32146826.435980316</v>
      </c>
      <c r="R28" s="83">
        <f t="shared" si="7"/>
        <v>1</v>
      </c>
      <c r="S28" s="82">
        <f>SUM(S19:S27)</f>
        <v>33137730.199116647</v>
      </c>
      <c r="T28" s="83">
        <f t="shared" si="8"/>
        <v>1</v>
      </c>
      <c r="U28" s="82">
        <f>SUM(U19:U27)</f>
        <v>34168751.883675113</v>
      </c>
      <c r="V28" s="83">
        <f t="shared" si="9"/>
        <v>1</v>
      </c>
    </row>
    <row r="29" spans="1:22" ht="12.75" customHeight="1">
      <c r="A29" s="1"/>
      <c r="B29" s="53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</row>
    <row r="30" spans="1:22" ht="12.75" customHeight="1">
      <c r="A30" s="1" t="s">
        <v>379</v>
      </c>
      <c r="B30" s="53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</row>
    <row r="31" spans="1:22" ht="12.75" customHeight="1">
      <c r="A31" s="2" t="s">
        <v>380</v>
      </c>
      <c r="B31" s="35"/>
      <c r="C31" s="79">
        <f>'Fresh Food Co.'!C31+'Retail Roll Up'!C31+'Catering Roll Up'!C31+'G&amp;A'!C31</f>
        <v>6611519.7514196802</v>
      </c>
      <c r="D31" s="80">
        <f>IFERROR(C31/C$28,0)</f>
        <v>0.28821993250123135</v>
      </c>
      <c r="E31" s="79">
        <f>'Fresh Food Co.'!E31+'Retail Roll Up'!E31+'Catering Roll Up'!E31+'G&amp;A'!E31</f>
        <v>7704347.9894000003</v>
      </c>
      <c r="F31" s="80">
        <f>IFERROR(E31/E$28,0)</f>
        <v>0.30699666742117071</v>
      </c>
      <c r="G31" s="79">
        <f>'Fresh Food Co.'!G31+'Retail Roll Up'!G31+'Catering Roll Up'!G31+'G&amp;A'!G31</f>
        <v>8627156.5151200015</v>
      </c>
      <c r="H31" s="80">
        <f>IFERROR(G31/G$28,0)</f>
        <v>0.31546463962448318</v>
      </c>
      <c r="I31" s="79">
        <f>'Fresh Food Co.'!I31+'Retail Roll Up'!I31+'Catering Roll Up'!I31+'G&amp;A'!I31</f>
        <v>8816109.9182984009</v>
      </c>
      <c r="J31" s="80">
        <f>IFERROR(I31/I$28,0)</f>
        <v>0.31063421850912343</v>
      </c>
      <c r="K31" s="79">
        <f>'Fresh Food Co.'!K31+'Retail Roll Up'!K31+'Catering Roll Up'!K31+'G&amp;A'!K31</f>
        <v>9134521.414723713</v>
      </c>
      <c r="L31" s="80">
        <f>IFERROR(K31/K$28,0)</f>
        <v>0.31111068182613616</v>
      </c>
      <c r="M31" s="79">
        <f>'Fresh Food Co.'!M31+'Retail Roll Up'!M31+'Catering Roll Up'!M31+'G&amp;A'!M31</f>
        <v>9385697.7404300254</v>
      </c>
      <c r="N31" s="80">
        <f>IFERROR(M31/M$28,0)</f>
        <v>0.3102918102170934</v>
      </c>
      <c r="O31" s="79">
        <f>'Fresh Food Co.'!O31+'Retail Roll Up'!O31+'Catering Roll Up'!O31+'G&amp;A'!O31</f>
        <v>9747004.2870100252</v>
      </c>
      <c r="P31" s="80">
        <f>IFERROR(O31/O$28,0)</f>
        <v>0.3125919132900884</v>
      </c>
      <c r="Q31" s="79">
        <f>'Fresh Food Co.'!Q31+'Retail Roll Up'!Q31+'Catering Roll Up'!Q31+'G&amp;A'!Q31</f>
        <v>10026192.885444788</v>
      </c>
      <c r="R31" s="80">
        <f>IFERROR(Q31/Q$28,0)</f>
        <v>0.31188748616948941</v>
      </c>
      <c r="S31" s="79">
        <f>'Fresh Food Co.'!S31+'Retail Roll Up'!S31+'Catering Roll Up'!S31+'G&amp;A'!S31</f>
        <v>10308584.85991527</v>
      </c>
      <c r="T31" s="80">
        <f>IFERROR(S31/S$28,0)</f>
        <v>0.31108301015107143</v>
      </c>
      <c r="U31" s="79">
        <f>'Fresh Food Co.'!U31+'Retail Roll Up'!U31+'Catering Roll Up'!U31+'G&amp;A'!U31</f>
        <v>10347212.560081346</v>
      </c>
      <c r="V31" s="80">
        <f>IFERROR(U31/U$28,0)</f>
        <v>0.30282676391890562</v>
      </c>
    </row>
    <row r="32" spans="1:22" ht="12.75" customHeight="1">
      <c r="A32" s="8" t="s">
        <v>381</v>
      </c>
      <c r="B32" s="8"/>
      <c r="C32" s="79">
        <f>'Fresh Food Co.'!C32+'Retail Roll Up'!C32+'Catering Roll Up'!C32+'G&amp;A'!C32</f>
        <v>100000</v>
      </c>
      <c r="D32" s="80">
        <f>IFERROR(C32/C$28,0)</f>
        <v>4.3593597741176287E-3</v>
      </c>
      <c r="E32" s="79">
        <f>'Fresh Food Co.'!E32+'Retail Roll Up'!E32+'Catering Roll Up'!E32+'G&amp;A'!E32</f>
        <v>100000</v>
      </c>
      <c r="F32" s="80">
        <f>IFERROR(E32/E$28,0)</f>
        <v>3.9847196393977919E-3</v>
      </c>
      <c r="G32" s="79">
        <f>'Fresh Food Co.'!G32+'Retail Roll Up'!G32+'Catering Roll Up'!G32+'G&amp;A'!G32</f>
        <v>100000</v>
      </c>
      <c r="H32" s="80">
        <f>IFERROR(G32/G$28,0)</f>
        <v>3.6566467650331618E-3</v>
      </c>
      <c r="I32" s="79">
        <f>'Fresh Food Co.'!I32+'Retail Roll Up'!I32+'Catering Roll Up'!I32+'G&amp;A'!I32</f>
        <v>100000</v>
      </c>
      <c r="J32" s="80">
        <f>IFERROR(I32/I$28,0)</f>
        <v>3.5234839559382331E-3</v>
      </c>
      <c r="K32" s="79">
        <f>'Fresh Food Co.'!K32+'Retail Roll Up'!K32+'Catering Roll Up'!K32+'G&amp;A'!K32</f>
        <v>100000</v>
      </c>
      <c r="L32" s="80">
        <f>IFERROR(K32/K$28,0)</f>
        <v>3.405878290729763E-3</v>
      </c>
      <c r="M32" s="79">
        <f>'Fresh Food Co.'!M32+'Retail Roll Up'!M32+'Catering Roll Up'!M32+'G&amp;A'!M32</f>
        <v>100000</v>
      </c>
      <c r="N32" s="80">
        <f>IFERROR(M32/M$28,0)</f>
        <v>3.3060068499806252E-3</v>
      </c>
      <c r="O32" s="79">
        <f>'Fresh Food Co.'!O32+'Retail Roll Up'!O32+'Catering Roll Up'!O32+'G&amp;A'!O32</f>
        <v>100000</v>
      </c>
      <c r="P32" s="80">
        <f>IFERROR(O32/O$28,0)</f>
        <v>3.2070562819663901E-3</v>
      </c>
      <c r="Q32" s="79">
        <f>'Fresh Food Co.'!Q32+'Retail Roll Up'!Q32+'Catering Roll Up'!Q32+'G&amp;A'!Q32</f>
        <v>100000</v>
      </c>
      <c r="R32" s="80">
        <f>IFERROR(Q32/Q$28,0)</f>
        <v>3.1107269701769087E-3</v>
      </c>
      <c r="S32" s="79">
        <f>'Fresh Food Co.'!S32+'Retail Roll Up'!S32+'Catering Roll Up'!S32+'G&amp;A'!S32</f>
        <v>100000</v>
      </c>
      <c r="T32" s="80">
        <f>IFERROR(S32/S$28,0)</f>
        <v>3.0177081954353559E-3</v>
      </c>
      <c r="U32" s="79">
        <f>'Fresh Food Co.'!U32+'Retail Roll Up'!U32+'Catering Roll Up'!U32+'G&amp;A'!U32</f>
        <v>100000</v>
      </c>
      <c r="V32" s="80">
        <f>IFERROR(U32/U$28,0)</f>
        <v>2.9266506526326249E-3</v>
      </c>
    </row>
    <row r="33" spans="1:22" ht="12.75" customHeight="1">
      <c r="A33" s="1" t="s">
        <v>382</v>
      </c>
      <c r="B33" s="53"/>
      <c r="C33" s="82">
        <f>SUM(C31:C32)</f>
        <v>6711519.7514196802</v>
      </c>
      <c r="D33" s="83">
        <f>IFERROR(C33/C$28,0)</f>
        <v>0.29257929227534901</v>
      </c>
      <c r="E33" s="82">
        <f>SUM(E31:E32)</f>
        <v>7804347.9894000003</v>
      </c>
      <c r="F33" s="83">
        <f>IFERROR(E33/E$28,0)</f>
        <v>0.31098138706056849</v>
      </c>
      <c r="G33" s="82">
        <f>SUM(G31:G32)</f>
        <v>8727156.5151200015</v>
      </c>
      <c r="H33" s="83">
        <f>IFERROR(G33/G$28,0)</f>
        <v>0.31912128638951637</v>
      </c>
      <c r="I33" s="82">
        <f>SUM(I31:I32)</f>
        <v>8916109.9182984009</v>
      </c>
      <c r="J33" s="83">
        <f>IFERROR(I33/I$28,0)</f>
        <v>0.31415770246506169</v>
      </c>
      <c r="K33" s="82">
        <f>SUM(K31:K32)</f>
        <v>9234521.414723713</v>
      </c>
      <c r="L33" s="83">
        <f>IFERROR(K33/K$28,0)</f>
        <v>0.31451656011686591</v>
      </c>
      <c r="M33" s="82">
        <f>SUM(M31:M32)</f>
        <v>9485697.7404300254</v>
      </c>
      <c r="N33" s="83">
        <f>IFERROR(M33/M$28,0)</f>
        <v>0.31359781706707401</v>
      </c>
      <c r="O33" s="82">
        <f>SUM(O31:O32)</f>
        <v>9847004.2870100252</v>
      </c>
      <c r="P33" s="83">
        <f>IFERROR(O33/O$28,0)</f>
        <v>0.31579896957205478</v>
      </c>
      <c r="Q33" s="82">
        <f>SUM(Q31:Q32)</f>
        <v>10126192.885444788</v>
      </c>
      <c r="R33" s="83">
        <f>IFERROR(Q33/Q$28,0)</f>
        <v>0.31499821313966636</v>
      </c>
      <c r="S33" s="82">
        <f>SUM(S31:S32)</f>
        <v>10408584.85991527</v>
      </c>
      <c r="T33" s="83">
        <f>IFERROR(S33/S$28,0)</f>
        <v>0.31410071834650677</v>
      </c>
      <c r="U33" s="82">
        <f>SUM(U31:U32)</f>
        <v>10447212.560081346</v>
      </c>
      <c r="V33" s="83">
        <f>IFERROR(U33/U$28,0)</f>
        <v>0.30575341457153826</v>
      </c>
    </row>
    <row r="34" spans="1:22" ht="12.75" customHeight="1">
      <c r="B34" s="35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</row>
    <row r="35" spans="1:22" ht="12.75" customHeight="1">
      <c r="A35" s="1" t="s">
        <v>383</v>
      </c>
      <c r="B35" s="53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</row>
    <row r="36" spans="1:22" ht="12.75" customHeight="1">
      <c r="A36" s="2" t="s">
        <v>384</v>
      </c>
      <c r="B36" s="35"/>
      <c r="C36" s="79">
        <f>'Fresh Food Co.'!C36+'Retail Roll Up'!C36+'Catering Roll Up'!C36+'G&amp;A'!C36</f>
        <v>1146677</v>
      </c>
      <c r="D36" s="80">
        <f t="shared" ref="D36:D46" si="10">IFERROR(C36/C$28,0)</f>
        <v>4.9987775877058799E-2</v>
      </c>
      <c r="E36" s="79">
        <f>'Fresh Food Co.'!E36+'Retail Roll Up'!E36+'Catering Roll Up'!E36+'G&amp;A'!E36</f>
        <v>1327199.2799999998</v>
      </c>
      <c r="F36" s="80">
        <f t="shared" ref="F36:F46" si="11">IFERROR(E36/E$28,0)</f>
        <v>5.2885170364106081E-2</v>
      </c>
      <c r="G36" s="79">
        <f>'Fresh Food Co.'!G36+'Retail Roll Up'!G36+'Catering Roll Up'!G36+'G&amp;A'!G36</f>
        <v>1458658.2015</v>
      </c>
      <c r="H36" s="80">
        <f t="shared" ref="H36:H46" si="12">IFERROR(G36/G$28,0)</f>
        <v>5.3337977938040647E-2</v>
      </c>
      <c r="I36" s="79">
        <f>'Fresh Food Co.'!I36+'Retail Roll Up'!I36+'Catering Roll Up'!I36+'G&amp;A'!I36</f>
        <v>1493624.1748274998</v>
      </c>
      <c r="J36" s="80">
        <f t="shared" ref="J36:J46" si="13">IFERROR(I36/I$28,0)</f>
        <v>5.262760816206178E-2</v>
      </c>
      <c r="K36" s="79">
        <f>'Fresh Food Co.'!K36+'Retail Roll Up'!K36+'Catering Roll Up'!K36+'G&amp;A'!K36</f>
        <v>1528627.8035193621</v>
      </c>
      <c r="L36" s="80">
        <f t="shared" ref="L36:L46" si="14">IFERROR(K36/K$28,0)</f>
        <v>5.2063202506125165E-2</v>
      </c>
      <c r="M36" s="79">
        <f>'Fresh Food Co.'!M36+'Retail Roll Up'!M36+'Catering Roll Up'!M36+'G&amp;A'!M36</f>
        <v>1565282.3974362621</v>
      </c>
      <c r="N36" s="80">
        <f t="shared" ref="N36:N46" si="15">IFERROR(M36/M$28,0)</f>
        <v>5.1748343280783773E-2</v>
      </c>
      <c r="O36" s="79">
        <f>'Fresh Food Co.'!O36+'Retail Roll Up'!O36+'Catering Roll Up'!O36+'G&amp;A'!O36</f>
        <v>1602283.6888651629</v>
      </c>
      <c r="P36" s="80">
        <f t="shared" ref="P36:P46" si="16">IFERROR(O36/O$28,0)</f>
        <v>5.138613969867302E-2</v>
      </c>
      <c r="Q36" s="79">
        <f>'Fresh Food Co.'!Q36+'Retail Roll Up'!Q36+'Catering Roll Up'!Q36+'G&amp;A'!Q36</f>
        <v>1638326.9849593258</v>
      </c>
      <c r="R36" s="80">
        <f t="shared" ref="R36:R46" si="17">IFERROR(Q36/Q$28,0)</f>
        <v>5.0963879380815931E-2</v>
      </c>
      <c r="S36" s="79">
        <f>'Fresh Food Co.'!S36+'Retail Roll Up'!S36+'Catering Roll Up'!S36+'G&amp;A'!S36</f>
        <v>1626736.7300810632</v>
      </c>
      <c r="T36" s="80">
        <f t="shared" ref="T36:T46" si="18">IFERROR(S36/S$28,0)</f>
        <v>4.9090167621813376E-2</v>
      </c>
      <c r="U36" s="79">
        <f>'Fresh Food Co.'!U36+'Retail Roll Up'!U36+'Catering Roll Up'!U36+'G&amp;A'!U36</f>
        <v>1665715.3622204945</v>
      </c>
      <c r="V36" s="80">
        <f t="shared" ref="V36:V46" si="19">IFERROR(U36/U$28,0)</f>
        <v>4.8749669519427996E-2</v>
      </c>
    </row>
    <row r="37" spans="1:22" ht="12.75" customHeight="1">
      <c r="A37" s="2" t="s">
        <v>385</v>
      </c>
      <c r="B37" s="35"/>
      <c r="C37" s="79">
        <f>'Fresh Food Co.'!C37+'Retail Roll Up'!C37+'Catering Roll Up'!C37+'G&amp;A'!C37</f>
        <v>3426784</v>
      </c>
      <c r="D37" s="80">
        <f t="shared" si="10"/>
        <v>0.14938584324189905</v>
      </c>
      <c r="E37" s="79">
        <f>'Fresh Food Co.'!E37+'Retail Roll Up'!E37+'Catering Roll Up'!E37+'G&amp;A'!E37</f>
        <v>3650476.7140519479</v>
      </c>
      <c r="F37" s="80">
        <f t="shared" si="11"/>
        <v>0.14546126255647115</v>
      </c>
      <c r="G37" s="79">
        <f>'Fresh Food Co.'!G37+'Retail Roll Up'!G37+'Catering Roll Up'!G37+'G&amp;A'!G37</f>
        <v>3963985.2875390179</v>
      </c>
      <c r="H37" s="80">
        <f t="shared" si="12"/>
        <v>0.14494893978318596</v>
      </c>
      <c r="I37" s="79">
        <f>'Fresh Food Co.'!I37+'Retail Roll Up'!I37+'Catering Roll Up'!I37+'G&amp;A'!I37</f>
        <v>4081393.6136965347</v>
      </c>
      <c r="J37" s="80">
        <f t="shared" si="13"/>
        <v>0.14380724915728507</v>
      </c>
      <c r="K37" s="79">
        <f>'Fresh Food Co.'!K37+'Retail Roll Up'!K37+'Catering Roll Up'!K37+'G&amp;A'!K37</f>
        <v>4174344.9056845717</v>
      </c>
      <c r="L37" s="80">
        <f t="shared" si="14"/>
        <v>0.14217310692289462</v>
      </c>
      <c r="M37" s="79">
        <f>'Fresh Food Co.'!M37+'Retail Roll Up'!M37+'Catering Roll Up'!M37+'G&amp;A'!M37</f>
        <v>4274934.9835526375</v>
      </c>
      <c r="N37" s="80">
        <f t="shared" si="15"/>
        <v>0.14132964338846829</v>
      </c>
      <c r="O37" s="79">
        <f>'Fresh Food Co.'!O37+'Retail Roll Up'!O37+'Catering Roll Up'!O37+'G&amp;A'!O37</f>
        <v>4377464.5934154978</v>
      </c>
      <c r="P37" s="80">
        <f t="shared" si="16"/>
        <v>0.14038775323398622</v>
      </c>
      <c r="Q37" s="79">
        <f>'Fresh Food Co.'!Q37+'Retail Roll Up'!Q37+'Catering Roll Up'!Q37+'G&amp;A'!Q37</f>
        <v>4473989.3939494239</v>
      </c>
      <c r="R37" s="80">
        <f t="shared" si="17"/>
        <v>0.13917359472043916</v>
      </c>
      <c r="S37" s="79">
        <f>'Fresh Food Co.'!S37+'Retail Roll Up'!S37+'Catering Roll Up'!S37+'G&amp;A'!S37</f>
        <v>4569517.6140282908</v>
      </c>
      <c r="T37" s="80">
        <f t="shared" si="18"/>
        <v>0.13789470753039387</v>
      </c>
      <c r="U37" s="79">
        <f>'Fresh Food Co.'!U37+'Retail Roll Up'!U37+'Catering Roll Up'!U37+'G&amp;A'!U37</f>
        <v>4679293.500096268</v>
      </c>
      <c r="V37" s="80">
        <f t="shared" si="19"/>
        <v>0.13694657375916341</v>
      </c>
    </row>
    <row r="38" spans="1:22" ht="12.75" customHeight="1">
      <c r="A38" s="2" t="s">
        <v>386</v>
      </c>
      <c r="B38" s="35"/>
      <c r="C38" s="79">
        <f>'Fresh Food Co.'!C38+'Retail Roll Up'!C38+'Catering Roll Up'!C38+'G&amp;A'!C38</f>
        <v>532579</v>
      </c>
      <c r="D38" s="80">
        <f t="shared" si="10"/>
        <v>2.3217034691397926E-2</v>
      </c>
      <c r="E38" s="79">
        <f>'Fresh Food Co.'!E38+'Retail Roll Up'!E38+'Catering Roll Up'!E38+'G&amp;A'!E38</f>
        <v>689279.86632142856</v>
      </c>
      <c r="F38" s="80">
        <f t="shared" si="11"/>
        <v>2.7465870203724811E-2</v>
      </c>
      <c r="G38" s="79">
        <f>'Fresh Food Co.'!G38+'Retail Roll Up'!G38+'Catering Roll Up'!G38+'G&amp;A'!G38</f>
        <v>831687.61857135</v>
      </c>
      <c r="H38" s="80">
        <f t="shared" si="12"/>
        <v>3.0411878399670609E-2</v>
      </c>
      <c r="I38" s="79">
        <f>'Fresh Food Co.'!I38+'Retail Roll Up'!I38+'Catering Roll Up'!I38+'G&amp;A'!I38</f>
        <v>856268.24978750816</v>
      </c>
      <c r="J38" s="80">
        <f t="shared" si="13"/>
        <v>3.0170474401055965E-2</v>
      </c>
      <c r="K38" s="79">
        <f>'Fresh Food Co.'!K38+'Retail Roll Up'!K38+'Catering Roll Up'!K38+'G&amp;A'!K38</f>
        <v>875635.1955342663</v>
      </c>
      <c r="L38" s="80">
        <f t="shared" si="14"/>
        <v>2.9823069030690687E-2</v>
      </c>
      <c r="M38" s="79">
        <f>'Fresh Food Co.'!M38+'Retail Roll Up'!M38+'Catering Roll Up'!M38+'G&amp;A'!M38</f>
        <v>897095.97709740559</v>
      </c>
      <c r="N38" s="80">
        <f t="shared" si="15"/>
        <v>2.9658054453740847E-2</v>
      </c>
      <c r="O38" s="79">
        <f>'Fresh Food Co.'!O38+'Retail Roll Up'!O38+'Catering Roll Up'!O38+'G&amp;A'!O38</f>
        <v>918927.04177484068</v>
      </c>
      <c r="P38" s="80">
        <f t="shared" si="16"/>
        <v>2.9470507419927943E-2</v>
      </c>
      <c r="Q38" s="79">
        <f>'Fresh Food Co.'!Q38+'Retail Roll Up'!Q38+'Catering Roll Up'!Q38+'G&amp;A'!Q38</f>
        <v>938309.02436380414</v>
      </c>
      <c r="R38" s="80">
        <f t="shared" si="17"/>
        <v>2.9188231884488675E-2</v>
      </c>
      <c r="S38" s="79">
        <f>'Fresh Food Co.'!S38+'Retail Roll Up'!S38+'Catering Roll Up'!S38+'G&amp;A'!S38</f>
        <v>957689.70929049328</v>
      </c>
      <c r="T38" s="80">
        <f t="shared" si="18"/>
        <v>2.8900280844100252E-2</v>
      </c>
      <c r="U38" s="79">
        <f>'Fresh Food Co.'!U38+'Retail Roll Up'!U38+'Catering Roll Up'!U38+'G&amp;A'!U38</f>
        <v>980670.33588111866</v>
      </c>
      <c r="V38" s="80">
        <f t="shared" si="19"/>
        <v>2.8700794785239313E-2</v>
      </c>
    </row>
    <row r="39" spans="1:22" ht="12.75" customHeight="1">
      <c r="A39" s="2" t="s">
        <v>387</v>
      </c>
      <c r="B39" s="35"/>
      <c r="C39" s="79">
        <f>'Fresh Food Co.'!C39+'Retail Roll Up'!C39+'Catering Roll Up'!C39+'G&amp;A'!C39</f>
        <v>1125663</v>
      </c>
      <c r="D39" s="80">
        <f t="shared" si="10"/>
        <v>4.9071700014125724E-2</v>
      </c>
      <c r="E39" s="79">
        <f>'Fresh Food Co.'!E39+'Retail Roll Up'!E39+'Catering Roll Up'!E39+'G&amp;A'!E39</f>
        <v>1209850.9702857144</v>
      </c>
      <c r="F39" s="80">
        <f t="shared" si="11"/>
        <v>4.8209169220419602E-2</v>
      </c>
      <c r="G39" s="79">
        <f>'Fresh Food Co.'!G39+'Retail Roll Up'!G39+'Catering Roll Up'!G39+'G&amp;A'!G39</f>
        <v>1311517.7371760001</v>
      </c>
      <c r="H39" s="80">
        <f t="shared" si="12"/>
        <v>4.7957570909282335E-2</v>
      </c>
      <c r="I39" s="79">
        <f>'Fresh Food Co.'!I39+'Retail Roll Up'!I39+'Catering Roll Up'!I39+'G&amp;A'!I39</f>
        <v>1353156.3315016318</v>
      </c>
      <c r="J39" s="80">
        <f t="shared" si="13"/>
        <v>4.7678246239222372E-2</v>
      </c>
      <c r="K39" s="79">
        <f>'Fresh Food Co.'!K39+'Retail Roll Up'!K39+'Catering Roll Up'!K39+'G&amp;A'!K39</f>
        <v>1384782.8496497327</v>
      </c>
      <c r="L39" s="80">
        <f t="shared" si="14"/>
        <v>4.7164018449969217E-2</v>
      </c>
      <c r="M39" s="79">
        <f>'Fresh Food Co.'!M39+'Retail Roll Up'!M39+'Catering Roll Up'!M39+'G&amp;A'!M39</f>
        <v>1418099.8676304526</v>
      </c>
      <c r="N39" s="80">
        <f t="shared" si="15"/>
        <v>4.6882478763428936E-2</v>
      </c>
      <c r="O39" s="79">
        <f>'Fresh Food Co.'!O39+'Retail Roll Up'!O39+'Catering Roll Up'!O39+'G&amp;A'!O39</f>
        <v>1453151.6624680716</v>
      </c>
      <c r="P39" s="80">
        <f t="shared" si="16"/>
        <v>4.6603391677681322E-2</v>
      </c>
      <c r="Q39" s="79">
        <f>'Fresh Food Co.'!Q39+'Retail Roll Up'!Q39+'Catering Roll Up'!Q39+'G&amp;A'!Q39</f>
        <v>1485881.5601297247</v>
      </c>
      <c r="R39" s="80">
        <f t="shared" si="17"/>
        <v>4.6221718435840768E-2</v>
      </c>
      <c r="S39" s="79">
        <f>'Fresh Food Co.'!S39+'Retail Roll Up'!S39+'Catering Roll Up'!S39+'G&amp;A'!S39</f>
        <v>1517526.8688203974</v>
      </c>
      <c r="T39" s="80">
        <f t="shared" si="18"/>
        <v>4.5794532688326679E-2</v>
      </c>
      <c r="U39" s="79">
        <f>'Fresh Food Co.'!U39+'Retail Roll Up'!U39+'Catering Roll Up'!U39+'G&amp;A'!U39</f>
        <v>1555310.205753708</v>
      </c>
      <c r="V39" s="80">
        <f t="shared" si="19"/>
        <v>4.5518496287152717E-2</v>
      </c>
    </row>
    <row r="40" spans="1:22" ht="12.75" customHeight="1">
      <c r="A40" s="2" t="s">
        <v>388</v>
      </c>
      <c r="B40" s="35"/>
      <c r="C40" s="79">
        <f>'Fresh Food Co.'!C40+'Retail Roll Up'!C40+'Catering Roll Up'!C40+'G&amp;A'!C40</f>
        <v>142187.948</v>
      </c>
      <c r="D40" s="80">
        <f t="shared" si="10"/>
        <v>6.1984842087552915E-3</v>
      </c>
      <c r="E40" s="79">
        <f>'Fresh Food Co.'!E40+'Retail Roll Up'!E40+'Catering Roll Up'!E40+'G&amp;A'!E40</f>
        <v>166086.95443428573</v>
      </c>
      <c r="F40" s="80">
        <f t="shared" si="11"/>
        <v>6.6180994918206455E-3</v>
      </c>
      <c r="G40" s="79">
        <f>'Fresh Food Co.'!G40+'Retail Roll Up'!G40+'Catering Roll Up'!G40+'G&amp;A'!G40</f>
        <v>182649.57288599998</v>
      </c>
      <c r="H40" s="80">
        <f t="shared" si="12"/>
        <v>6.6788496982828054E-3</v>
      </c>
      <c r="I40" s="79">
        <f>'Fresh Food Co.'!I40+'Retail Roll Up'!I40+'Catering Roll Up'!I40+'G&amp;A'!I40</f>
        <v>185209.39767860997</v>
      </c>
      <c r="J40" s="80">
        <f t="shared" si="13"/>
        <v>6.5258234120956606E-3</v>
      </c>
      <c r="K40" s="79">
        <f>'Fresh Food Co.'!K40+'Retail Roll Up'!K40+'Catering Roll Up'!K40+'G&amp;A'!K40</f>
        <v>189549.84763640093</v>
      </c>
      <c r="L40" s="80">
        <f t="shared" si="14"/>
        <v>6.4558371107595212E-3</v>
      </c>
      <c r="M40" s="79">
        <f>'Fresh Food Co.'!M40+'Retail Roll Up'!M40+'Catering Roll Up'!M40+'G&amp;A'!M40</f>
        <v>194095.01728209649</v>
      </c>
      <c r="N40" s="80">
        <f t="shared" si="15"/>
        <v>6.4167945668171878E-3</v>
      </c>
      <c r="O40" s="79">
        <f>'Fresh Food Co.'!O40+'Retail Roll Up'!O40+'Catering Roll Up'!O40+'G&amp;A'!O40</f>
        <v>198683.1774192802</v>
      </c>
      <c r="P40" s="80">
        <f t="shared" si="16"/>
        <v>6.3718813226354542E-3</v>
      </c>
      <c r="Q40" s="79">
        <f>'Fresh Food Co.'!Q40+'Retail Roll Up'!Q40+'Catering Roll Up'!Q40+'G&amp;A'!Q40</f>
        <v>203152.54613495641</v>
      </c>
      <c r="R40" s="80">
        <f t="shared" si="17"/>
        <v>6.3195210432211765E-3</v>
      </c>
      <c r="S40" s="79">
        <f>'Fresh Food Co.'!S40+'Retail Roll Up'!S40+'Catering Roll Up'!S40+'G&amp;A'!S40</f>
        <v>201715.35453005182</v>
      </c>
      <c r="T40" s="80">
        <f t="shared" si="18"/>
        <v>6.0871807851048572E-3</v>
      </c>
      <c r="U40" s="79">
        <f>'Fresh Food Co.'!U40+'Retail Roll Up'!U40+'Catering Roll Up'!U40+'G&amp;A'!U40</f>
        <v>206548.70491534134</v>
      </c>
      <c r="V40" s="80">
        <f t="shared" si="19"/>
        <v>6.0449590204090719E-3</v>
      </c>
    </row>
    <row r="41" spans="1:22" ht="12.75" customHeight="1">
      <c r="A41" s="2" t="s">
        <v>389</v>
      </c>
      <c r="B41" s="35"/>
      <c r="C41" s="79">
        <f>'Fresh Food Co.'!C41+'Retail Roll Up'!C41+'Catering Roll Up'!C41+'G&amp;A'!C41</f>
        <v>424921.21599999996</v>
      </c>
      <c r="D41" s="80">
        <f t="shared" si="10"/>
        <v>1.8523844561995479E-2</v>
      </c>
      <c r="E41" s="79">
        <f>'Fresh Food Co.'!E41+'Retail Roll Up'!E41+'Catering Roll Up'!E41+'G&amp;A'!E41</f>
        <v>452659.11254244158</v>
      </c>
      <c r="F41" s="80">
        <f t="shared" si="11"/>
        <v>1.8037196557002422E-2</v>
      </c>
      <c r="G41" s="79">
        <f>'Fresh Food Co.'!G41+'Retail Roll Up'!G41+'Catering Roll Up'!G41+'G&amp;A'!G41</f>
        <v>491534.17565483827</v>
      </c>
      <c r="H41" s="80">
        <f t="shared" si="12"/>
        <v>1.7973668533115061E-2</v>
      </c>
      <c r="I41" s="79">
        <f>'Fresh Food Co.'!I41+'Retail Roll Up'!I41+'Catering Roll Up'!I41+'G&amp;A'!I41</f>
        <v>506092.80809837044</v>
      </c>
      <c r="J41" s="80">
        <f t="shared" si="13"/>
        <v>1.7832098895503353E-2</v>
      </c>
      <c r="K41" s="79">
        <f>'Fresh Food Co.'!K41+'Retail Roll Up'!K41+'Catering Roll Up'!K41+'G&amp;A'!K41</f>
        <v>517618.76830488694</v>
      </c>
      <c r="L41" s="80">
        <f t="shared" si="14"/>
        <v>1.7629465258438934E-2</v>
      </c>
      <c r="M41" s="79">
        <f>'Fresh Food Co.'!M41+'Retail Roll Up'!M41+'Catering Roll Up'!M41+'G&amp;A'!M41</f>
        <v>530091.93796052702</v>
      </c>
      <c r="N41" s="80">
        <f t="shared" si="15"/>
        <v>1.752487578017007E-2</v>
      </c>
      <c r="O41" s="79">
        <f>'Fresh Food Co.'!O41+'Retail Roll Up'!O41+'Catering Roll Up'!O41+'G&amp;A'!O41</f>
        <v>542805.60958352184</v>
      </c>
      <c r="P41" s="80">
        <f t="shared" si="16"/>
        <v>1.7408081401014297E-2</v>
      </c>
      <c r="Q41" s="79">
        <f>'Fresh Food Co.'!Q41+'Retail Roll Up'!Q41+'Catering Roll Up'!Q41+'G&amp;A'!Q41</f>
        <v>554774.68484972871</v>
      </c>
      <c r="R41" s="80">
        <f t="shared" si="17"/>
        <v>1.725752574533446E-2</v>
      </c>
      <c r="S41" s="79">
        <f>'Fresh Food Co.'!S41+'Retail Roll Up'!S41+'Catering Roll Up'!S41+'G&amp;A'!S41</f>
        <v>566620.18413950806</v>
      </c>
      <c r="T41" s="80">
        <f t="shared" si="18"/>
        <v>1.7098943733768839E-2</v>
      </c>
      <c r="U41" s="79">
        <f>'Fresh Food Co.'!U41+'Retail Roll Up'!U41+'Catering Roll Up'!U41+'G&amp;A'!U41</f>
        <v>580232.3940119372</v>
      </c>
      <c r="V41" s="80">
        <f t="shared" si="19"/>
        <v>1.6981375146136263E-2</v>
      </c>
    </row>
    <row r="42" spans="1:22" ht="12.75" customHeight="1">
      <c r="A42" s="2" t="s">
        <v>390</v>
      </c>
      <c r="B42" s="35"/>
      <c r="C42" s="79">
        <f>'Fresh Food Co.'!C42+'Retail Roll Up'!C42+'Catering Roll Up'!C42+'G&amp;A'!C42</f>
        <v>0</v>
      </c>
      <c r="D42" s="80">
        <f t="shared" si="10"/>
        <v>0</v>
      </c>
      <c r="E42" s="79">
        <f>'Fresh Food Co.'!E42+'Retail Roll Up'!E42+'Catering Roll Up'!E42+'G&amp;A'!E42</f>
        <v>0</v>
      </c>
      <c r="F42" s="80">
        <f t="shared" si="11"/>
        <v>0</v>
      </c>
      <c r="G42" s="79">
        <f>'Fresh Food Co.'!G42+'Retail Roll Up'!G42+'Catering Roll Up'!G42+'G&amp;A'!G42</f>
        <v>0</v>
      </c>
      <c r="H42" s="80">
        <f t="shared" si="12"/>
        <v>0</v>
      </c>
      <c r="I42" s="79">
        <f>'Fresh Food Co.'!I42+'Retail Roll Up'!I42+'Catering Roll Up'!I42+'G&amp;A'!I42</f>
        <v>0</v>
      </c>
      <c r="J42" s="80">
        <f t="shared" si="13"/>
        <v>0</v>
      </c>
      <c r="K42" s="79">
        <f>'Fresh Food Co.'!K42+'Retail Roll Up'!K42+'Catering Roll Up'!K42+'G&amp;A'!K42</f>
        <v>0</v>
      </c>
      <c r="L42" s="80">
        <f t="shared" si="14"/>
        <v>0</v>
      </c>
      <c r="M42" s="79">
        <f>'Fresh Food Co.'!M42+'Retail Roll Up'!M42+'Catering Roll Up'!M42+'G&amp;A'!M42</f>
        <v>0</v>
      </c>
      <c r="N42" s="80">
        <f t="shared" si="15"/>
        <v>0</v>
      </c>
      <c r="O42" s="79">
        <f>'Fresh Food Co.'!O42+'Retail Roll Up'!O42+'Catering Roll Up'!O42+'G&amp;A'!O42</f>
        <v>0</v>
      </c>
      <c r="P42" s="80">
        <f t="shared" si="16"/>
        <v>0</v>
      </c>
      <c r="Q42" s="79">
        <f>'Fresh Food Co.'!Q42+'Retail Roll Up'!Q42+'Catering Roll Up'!Q42+'G&amp;A'!Q42</f>
        <v>0</v>
      </c>
      <c r="R42" s="80">
        <f t="shared" si="17"/>
        <v>0</v>
      </c>
      <c r="S42" s="79">
        <f>'Fresh Food Co.'!S42+'Retail Roll Up'!S42+'Catering Roll Up'!S42+'G&amp;A'!S42</f>
        <v>0</v>
      </c>
      <c r="T42" s="80">
        <f t="shared" si="18"/>
        <v>0</v>
      </c>
      <c r="U42" s="79">
        <f>'Fresh Food Co.'!U42+'Retail Roll Up'!U42+'Catering Roll Up'!U42+'G&amp;A'!U42</f>
        <v>0</v>
      </c>
      <c r="V42" s="80">
        <f t="shared" si="19"/>
        <v>0</v>
      </c>
    </row>
    <row r="43" spans="1:22" ht="12.75" customHeight="1">
      <c r="A43" s="2" t="s">
        <v>391</v>
      </c>
      <c r="B43" s="35"/>
      <c r="C43" s="79">
        <f>'Fresh Food Co.'!C43+'Retail Roll Up'!C43+'Catering Roll Up'!C43+'G&amp;A'!C43</f>
        <v>0</v>
      </c>
      <c r="D43" s="80">
        <f t="shared" si="10"/>
        <v>0</v>
      </c>
      <c r="E43" s="79">
        <f>'Fresh Food Co.'!E43+'Retail Roll Up'!E43+'Catering Roll Up'!E43+'G&amp;A'!E43</f>
        <v>0</v>
      </c>
      <c r="F43" s="80">
        <f t="shared" si="11"/>
        <v>0</v>
      </c>
      <c r="G43" s="79">
        <f>'Fresh Food Co.'!G43+'Retail Roll Up'!G43+'Catering Roll Up'!G43+'G&amp;A'!G43</f>
        <v>0</v>
      </c>
      <c r="H43" s="80">
        <f t="shared" si="12"/>
        <v>0</v>
      </c>
      <c r="I43" s="79">
        <f>'Fresh Food Co.'!I43+'Retail Roll Up'!I43+'Catering Roll Up'!I43+'G&amp;A'!I43</f>
        <v>0</v>
      </c>
      <c r="J43" s="80">
        <f t="shared" si="13"/>
        <v>0</v>
      </c>
      <c r="K43" s="79">
        <f>'Fresh Food Co.'!K43+'Retail Roll Up'!K43+'Catering Roll Up'!K43+'G&amp;A'!K43</f>
        <v>0</v>
      </c>
      <c r="L43" s="80">
        <f t="shared" si="14"/>
        <v>0</v>
      </c>
      <c r="M43" s="79">
        <f>'Fresh Food Co.'!M43+'Retail Roll Up'!M43+'Catering Roll Up'!M43+'G&amp;A'!M43</f>
        <v>0</v>
      </c>
      <c r="N43" s="80">
        <f t="shared" si="15"/>
        <v>0</v>
      </c>
      <c r="O43" s="79">
        <f>'Fresh Food Co.'!O43+'Retail Roll Up'!O43+'Catering Roll Up'!O43+'G&amp;A'!O43</f>
        <v>0</v>
      </c>
      <c r="P43" s="80">
        <f t="shared" si="16"/>
        <v>0</v>
      </c>
      <c r="Q43" s="79">
        <f>'Fresh Food Co.'!Q43+'Retail Roll Up'!Q43+'Catering Roll Up'!Q43+'G&amp;A'!Q43</f>
        <v>0</v>
      </c>
      <c r="R43" s="80">
        <f t="shared" si="17"/>
        <v>0</v>
      </c>
      <c r="S43" s="79">
        <f>'Fresh Food Co.'!S43+'Retail Roll Up'!S43+'Catering Roll Up'!S43+'G&amp;A'!S43</f>
        <v>0</v>
      </c>
      <c r="T43" s="80">
        <f t="shared" si="18"/>
        <v>0</v>
      </c>
      <c r="U43" s="79">
        <f>'Fresh Food Co.'!U43+'Retail Roll Up'!U43+'Catering Roll Up'!U43+'G&amp;A'!U43</f>
        <v>0</v>
      </c>
      <c r="V43" s="80">
        <f t="shared" si="19"/>
        <v>0</v>
      </c>
    </row>
    <row r="44" spans="1:22" ht="12.75" customHeight="1">
      <c r="A44" s="2" t="s">
        <v>392</v>
      </c>
      <c r="B44" s="35"/>
      <c r="C44" s="79">
        <f>'Fresh Food Co.'!C44+'Retail Roll Up'!C44+'Catering Roll Up'!C44+'G&amp;A'!C44</f>
        <v>0</v>
      </c>
      <c r="D44" s="80">
        <f t="shared" si="10"/>
        <v>0</v>
      </c>
      <c r="E44" s="79">
        <f>'Fresh Food Co.'!E44+'Retail Roll Up'!E44+'Catering Roll Up'!E44+'G&amp;A'!E44</f>
        <v>0</v>
      </c>
      <c r="F44" s="80">
        <f t="shared" si="11"/>
        <v>0</v>
      </c>
      <c r="G44" s="79">
        <f>'Fresh Food Co.'!G44+'Retail Roll Up'!G44+'Catering Roll Up'!G44+'G&amp;A'!G44</f>
        <v>0</v>
      </c>
      <c r="H44" s="80">
        <f t="shared" si="12"/>
        <v>0</v>
      </c>
      <c r="I44" s="79">
        <f>'Fresh Food Co.'!I44+'Retail Roll Up'!I44+'Catering Roll Up'!I44+'G&amp;A'!I44</f>
        <v>0</v>
      </c>
      <c r="J44" s="80">
        <f t="shared" si="13"/>
        <v>0</v>
      </c>
      <c r="K44" s="79">
        <f>'Fresh Food Co.'!K44+'Retail Roll Up'!K44+'Catering Roll Up'!K44+'G&amp;A'!K44</f>
        <v>0</v>
      </c>
      <c r="L44" s="80">
        <f t="shared" si="14"/>
        <v>0</v>
      </c>
      <c r="M44" s="79">
        <f>'Fresh Food Co.'!M44+'Retail Roll Up'!M44+'Catering Roll Up'!M44+'G&amp;A'!M44</f>
        <v>0</v>
      </c>
      <c r="N44" s="80">
        <f t="shared" si="15"/>
        <v>0</v>
      </c>
      <c r="O44" s="79">
        <f>'Fresh Food Co.'!O44+'Retail Roll Up'!O44+'Catering Roll Up'!O44+'G&amp;A'!O44</f>
        <v>0</v>
      </c>
      <c r="P44" s="80">
        <f t="shared" si="16"/>
        <v>0</v>
      </c>
      <c r="Q44" s="79">
        <f>'Fresh Food Co.'!Q44+'Retail Roll Up'!Q44+'Catering Roll Up'!Q44+'G&amp;A'!Q44</f>
        <v>0</v>
      </c>
      <c r="R44" s="80">
        <f t="shared" si="17"/>
        <v>0</v>
      </c>
      <c r="S44" s="79">
        <f>'Fresh Food Co.'!S44+'Retail Roll Up'!S44+'Catering Roll Up'!S44+'G&amp;A'!S44</f>
        <v>0</v>
      </c>
      <c r="T44" s="80">
        <f t="shared" si="18"/>
        <v>0</v>
      </c>
      <c r="U44" s="79">
        <f>'Fresh Food Co.'!U44+'Retail Roll Up'!U44+'Catering Roll Up'!U44+'G&amp;A'!U44</f>
        <v>0</v>
      </c>
      <c r="V44" s="80">
        <f t="shared" si="19"/>
        <v>0</v>
      </c>
    </row>
    <row r="45" spans="1:22" ht="12.75" customHeight="1">
      <c r="A45" s="2" t="s">
        <v>393</v>
      </c>
      <c r="B45" s="35"/>
      <c r="C45" s="79">
        <f>'Fresh Food Co.'!C45+'Retail Roll Up'!C45+'Catering Roll Up'!C45+'G&amp;A'!C45</f>
        <v>585894.15299999993</v>
      </c>
      <c r="D45" s="80">
        <f t="shared" si="10"/>
        <v>2.5541234024789191E-2</v>
      </c>
      <c r="E45" s="79">
        <f>'Fresh Food Co.'!E45+'Retail Roll Up'!E45+'Catering Roll Up'!E45+'G&amp;A'!E45</f>
        <v>647278.83246918523</v>
      </c>
      <c r="F45" s="80">
        <f t="shared" si="11"/>
        <v>2.5792246759064354E-2</v>
      </c>
      <c r="G45" s="79">
        <f>'Fresh Food Co.'!G45+'Retail Roll Up'!G45+'Catering Roll Up'!G45+'G&amp;A'!G45</f>
        <v>714464.06172098406</v>
      </c>
      <c r="H45" s="80">
        <f t="shared" si="12"/>
        <v>2.6125427000244894E-2</v>
      </c>
      <c r="I45" s="79">
        <f>'Fresh Food Co.'!I45+'Retail Roll Up'!I45+'Catering Roll Up'!I45+'G&amp;A'!I45</f>
        <v>731234.80301572278</v>
      </c>
      <c r="J45" s="80">
        <f t="shared" si="13"/>
        <v>2.5764940964495536E-2</v>
      </c>
      <c r="K45" s="79">
        <f>'Fresh Food Co.'!K45+'Retail Roll Up'!K45+'Catering Roll Up'!K45+'G&amp;A'!K45</f>
        <v>747992.29393299087</v>
      </c>
      <c r="L45" s="80">
        <f t="shared" si="14"/>
        <v>2.5475707155395294E-2</v>
      </c>
      <c r="M45" s="79">
        <f>'Fresh Food Co.'!M45+'Retail Roll Up'!M45+'Catering Roll Up'!M45+'G&amp;A'!M45</f>
        <v>765980.39531341346</v>
      </c>
      <c r="N45" s="80">
        <f t="shared" si="15"/>
        <v>2.5323364338570121E-2</v>
      </c>
      <c r="O45" s="79">
        <f>'Fresh Food Co.'!O45+'Retail Roll Up'!O45+'Catering Roll Up'!O45+'G&amp;A'!O45</f>
        <v>784379.72763165494</v>
      </c>
      <c r="P45" s="80">
        <f t="shared" si="16"/>
        <v>2.5155499329481853E-2</v>
      </c>
      <c r="Q45" s="79">
        <f>'Fresh Food Co.'!Q45+'Retail Roll Up'!Q45+'Catering Roll Up'!Q45+'G&amp;A'!Q45</f>
        <v>801671.39780046616</v>
      </c>
      <c r="R45" s="80">
        <f t="shared" si="17"/>
        <v>2.4937808383573314E-2</v>
      </c>
      <c r="S45" s="79">
        <f>'Fresh Food Co.'!S45+'Retail Roll Up'!S45+'Catering Roll Up'!S45+'G&amp;A'!S45</f>
        <v>814238.87567555148</v>
      </c>
      <c r="T45" s="80">
        <f t="shared" si="18"/>
        <v>2.4571353281681817E-2</v>
      </c>
      <c r="U45" s="79">
        <f>'Fresh Food Co.'!U45+'Retail Roll Up'!U45+'Catering Roll Up'!U45+'G&amp;A'!U45</f>
        <v>833861.45479145297</v>
      </c>
      <c r="V45" s="80">
        <f t="shared" si="19"/>
        <v>2.4404211708705957E-2</v>
      </c>
    </row>
    <row r="46" spans="1:22" ht="12.75" customHeight="1">
      <c r="A46" s="1" t="s">
        <v>394</v>
      </c>
      <c r="B46" s="53"/>
      <c r="C46" s="82">
        <f>SUM(C36:C45)</f>
        <v>7384706.3169999998</v>
      </c>
      <c r="D46" s="83">
        <f t="shared" si="10"/>
        <v>0.32192591662002146</v>
      </c>
      <c r="E46" s="82">
        <f>SUM(E36:E45)</f>
        <v>8142831.7301050043</v>
      </c>
      <c r="F46" s="83">
        <f t="shared" si="11"/>
        <v>0.32446901515260912</v>
      </c>
      <c r="G46" s="82">
        <f>SUM(G36:G45)</f>
        <v>8954496.6550481915</v>
      </c>
      <c r="H46" s="83">
        <f t="shared" si="12"/>
        <v>0.32743431226182235</v>
      </c>
      <c r="I46" s="82">
        <f>SUM(I36:I45)</f>
        <v>9206979.378605878</v>
      </c>
      <c r="J46" s="83">
        <f t="shared" si="13"/>
        <v>0.32440644123171974</v>
      </c>
      <c r="K46" s="82">
        <f>SUM(K36:K45)</f>
        <v>9418551.6642622128</v>
      </c>
      <c r="L46" s="83">
        <f t="shared" si="14"/>
        <v>0.32078440643427347</v>
      </c>
      <c r="M46" s="82">
        <f>SUM(M36:M45)</f>
        <v>9645580.576272795</v>
      </c>
      <c r="N46" s="83">
        <f t="shared" si="15"/>
        <v>0.31888355457197926</v>
      </c>
      <c r="O46" s="82">
        <f>SUM(O36:O45)</f>
        <v>9877695.5011580307</v>
      </c>
      <c r="P46" s="83">
        <f t="shared" si="16"/>
        <v>0.31678325408340013</v>
      </c>
      <c r="Q46" s="82">
        <f>SUM(Q36:Q45)</f>
        <v>10096105.592187429</v>
      </c>
      <c r="R46" s="83">
        <f t="shared" si="17"/>
        <v>0.31406227959371347</v>
      </c>
      <c r="S46" s="82">
        <f>SUM(S36:S45)</f>
        <v>10254045.336565357</v>
      </c>
      <c r="T46" s="83">
        <f t="shared" si="18"/>
        <v>0.30943716648518971</v>
      </c>
      <c r="U46" s="82">
        <f>SUM(U36:U45)</f>
        <v>10501631.95767032</v>
      </c>
      <c r="V46" s="83">
        <f t="shared" si="19"/>
        <v>0.30734608022623472</v>
      </c>
    </row>
    <row r="47" spans="1:22" ht="12.75" customHeight="1">
      <c r="A47" s="1"/>
      <c r="B47" s="1"/>
      <c r="C47" s="38"/>
      <c r="D47" s="88"/>
      <c r="E47" s="38"/>
      <c r="F47" s="88"/>
      <c r="G47" s="38"/>
      <c r="H47" s="88"/>
      <c r="I47" s="38"/>
      <c r="J47" s="88"/>
      <c r="K47" s="38"/>
      <c r="L47" s="88"/>
      <c r="M47" s="38"/>
      <c r="N47" s="88"/>
      <c r="O47" s="38"/>
      <c r="P47" s="88"/>
      <c r="Q47" s="38"/>
      <c r="R47" s="88"/>
      <c r="S47" s="38"/>
      <c r="T47" s="88"/>
      <c r="U47" s="38"/>
      <c r="V47" s="88"/>
    </row>
    <row r="48" spans="1:22" ht="12.75" customHeight="1">
      <c r="A48" s="1" t="str">
        <f>A4</f>
        <v xml:space="preserve">VENDOR:  </v>
      </c>
      <c r="B48" s="33" t="str">
        <f>B4</f>
        <v>Aramark</v>
      </c>
    </row>
    <row r="49" spans="1:22" ht="12.75" customHeight="1">
      <c r="A49" s="1"/>
      <c r="B49" s="118"/>
    </row>
    <row r="50" spans="1:22" ht="12.75" customHeight="1">
      <c r="C50" s="86" t="str">
        <f>C6</f>
        <v>FY 2018-19</v>
      </c>
      <c r="D50" s="86" t="s">
        <v>366</v>
      </c>
      <c r="E50" s="86" t="str">
        <f>E6</f>
        <v>FY 2019-20</v>
      </c>
      <c r="F50" s="86" t="s">
        <v>366</v>
      </c>
      <c r="G50" s="86" t="str">
        <f>G6</f>
        <v>FY 2020-21</v>
      </c>
      <c r="H50" s="86" t="s">
        <v>366</v>
      </c>
      <c r="I50" s="86" t="str">
        <f>I6</f>
        <v>FY 2021-22</v>
      </c>
      <c r="J50" s="86" t="s">
        <v>366</v>
      </c>
      <c r="K50" s="86" t="str">
        <f>K6</f>
        <v>FY 2022-23</v>
      </c>
      <c r="L50" s="86" t="s">
        <v>366</v>
      </c>
      <c r="M50" s="86" t="str">
        <f>M6</f>
        <v>FY 2023-24</v>
      </c>
      <c r="N50" s="86" t="s">
        <v>366</v>
      </c>
      <c r="O50" s="86" t="str">
        <f>O6</f>
        <v>FY 2024-25</v>
      </c>
      <c r="P50" s="86" t="s">
        <v>366</v>
      </c>
      <c r="Q50" s="86" t="str">
        <f>Q6</f>
        <v>FY 2025-26</v>
      </c>
      <c r="R50" s="86" t="s">
        <v>366</v>
      </c>
      <c r="S50" s="86" t="str">
        <f>S6</f>
        <v>FY 2026-27</v>
      </c>
      <c r="T50" s="86" t="s">
        <v>366</v>
      </c>
      <c r="U50" s="86" t="str">
        <f>U6</f>
        <v>FY 2027-28</v>
      </c>
      <c r="V50" s="86" t="s">
        <v>366</v>
      </c>
    </row>
    <row r="51" spans="1:22" ht="12.75" customHeight="1">
      <c r="A51" s="1" t="s">
        <v>395</v>
      </c>
      <c r="B51" s="53"/>
      <c r="C51" s="78"/>
      <c r="D51" s="80"/>
      <c r="E51" s="78"/>
      <c r="F51" s="80"/>
      <c r="G51" s="78"/>
      <c r="H51" s="80"/>
      <c r="I51" s="78"/>
      <c r="J51" s="80"/>
      <c r="K51" s="78"/>
      <c r="L51" s="80"/>
      <c r="M51" s="78"/>
      <c r="N51" s="80"/>
      <c r="O51" s="78"/>
      <c r="P51" s="80"/>
      <c r="Q51" s="78"/>
      <c r="R51" s="80"/>
      <c r="S51" s="78"/>
      <c r="T51" s="80"/>
      <c r="U51" s="78"/>
      <c r="V51" s="80"/>
    </row>
    <row r="52" spans="1:22" ht="12.75" customHeight="1">
      <c r="A52" s="2" t="s">
        <v>396</v>
      </c>
      <c r="B52" s="35"/>
      <c r="C52" s="79">
        <v>298689.61284133</v>
      </c>
      <c r="D52" s="80">
        <f t="shared" ref="D52:D85" si="20">IFERROR(C52/C$28,0)</f>
        <v>1.3020954831672623E-2</v>
      </c>
      <c r="E52" s="79">
        <v>1646836.6886236048</v>
      </c>
      <c r="F52" s="80">
        <f t="shared" ref="F52:F85" si="21">IFERROR(E52/E$28,0)</f>
        <v>6.5621824960393038E-2</v>
      </c>
      <c r="G52" s="79">
        <v>2348964.348198073</v>
      </c>
      <c r="H52" s="80">
        <f t="shared" ref="H52:H85" si="22">IFERROR(G52/G$28,0)</f>
        <v>8.5893328850167122E-2</v>
      </c>
      <c r="I52" s="79">
        <v>2356107.2053409303</v>
      </c>
      <c r="J52" s="80">
        <f t="shared" ref="J52:J85" si="23">IFERROR(I52/I$28,0)</f>
        <v>8.3017059364892357E-2</v>
      </c>
      <c r="K52" s="79">
        <v>2447609.6683951169</v>
      </c>
      <c r="L52" s="80">
        <f t="shared" ref="L52:L85" si="24">IFERROR(K52/K$28,0)</f>
        <v>8.3362606337672021E-2</v>
      </c>
      <c r="M52" s="79">
        <v>2589851.0477054617</v>
      </c>
      <c r="N52" s="80">
        <f t="shared" ref="N52:N85" si="25">IFERROR(M52/M$28,0)</f>
        <v>8.5620653041437553E-2</v>
      </c>
      <c r="O52" s="79">
        <v>2589851.0477054617</v>
      </c>
      <c r="P52" s="80">
        <f t="shared" ref="P52:P85" si="26">IFERROR(O52/O$28,0)</f>
        <v>8.3057980719010382E-2</v>
      </c>
      <c r="Q52" s="79">
        <v>2589851.0477054617</v>
      </c>
      <c r="R52" s="80">
        <f t="shared" ref="R52:R85" si="27">IFERROR(Q52/Q$28,0)</f>
        <v>8.0563195028383036E-2</v>
      </c>
      <c r="S52" s="79">
        <v>2589851.0477054617</v>
      </c>
      <c r="T52" s="80">
        <f t="shared" ref="T52:T85" si="28">IFERROR(S52/S$28,0)</f>
        <v>7.8154147316176148E-2</v>
      </c>
      <c r="U52" s="79">
        <v>1942388.2857790967</v>
      </c>
      <c r="V52" s="80">
        <f t="shared" ref="V52:V105" si="29">IFERROR(U52/U$28,0)</f>
        <v>5.6846919442413588E-2</v>
      </c>
    </row>
    <row r="53" spans="1:22" ht="12.75" customHeight="1">
      <c r="A53" s="2" t="s">
        <v>397</v>
      </c>
      <c r="B53" s="35"/>
      <c r="C53" s="79">
        <v>0</v>
      </c>
      <c r="D53" s="80">
        <f t="shared" ref="D53" si="30">IFERROR(C53/C$28,0)</f>
        <v>0</v>
      </c>
      <c r="E53" s="79">
        <v>0</v>
      </c>
      <c r="F53" s="80">
        <f t="shared" ref="F53" si="31">IFERROR(E53/E$28,0)</f>
        <v>0</v>
      </c>
      <c r="G53" s="79">
        <v>0</v>
      </c>
      <c r="H53" s="80">
        <f t="shared" ref="H53" si="32">IFERROR(G53/G$28,0)</f>
        <v>0</v>
      </c>
      <c r="I53" s="79">
        <v>0</v>
      </c>
      <c r="J53" s="80">
        <f t="shared" ref="J53" si="33">IFERROR(I53/I$28,0)</f>
        <v>0</v>
      </c>
      <c r="K53" s="79">
        <v>0</v>
      </c>
      <c r="L53" s="80">
        <f t="shared" ref="L53" si="34">IFERROR(K53/K$28,0)</f>
        <v>0</v>
      </c>
      <c r="M53" s="79">
        <v>0</v>
      </c>
      <c r="N53" s="80">
        <f t="shared" ref="N53" si="35">IFERROR(M53/M$28,0)</f>
        <v>0</v>
      </c>
      <c r="O53" s="79">
        <v>0</v>
      </c>
      <c r="P53" s="80">
        <f t="shared" ref="P53" si="36">IFERROR(O53/O$28,0)</f>
        <v>0</v>
      </c>
      <c r="Q53" s="79">
        <v>0</v>
      </c>
      <c r="R53" s="80">
        <f t="shared" ref="R53" si="37">IFERROR(Q53/Q$28,0)</f>
        <v>0</v>
      </c>
      <c r="S53" s="79">
        <v>0</v>
      </c>
      <c r="T53" s="80">
        <f t="shared" ref="T53" si="38">IFERROR(S53/S$28,0)</f>
        <v>0</v>
      </c>
      <c r="U53" s="79">
        <v>0</v>
      </c>
      <c r="V53" s="80">
        <f t="shared" ref="V53" si="39">IFERROR(U53/U$28,0)</f>
        <v>0</v>
      </c>
    </row>
    <row r="54" spans="1:22" ht="12.75" customHeight="1">
      <c r="A54" s="2" t="s">
        <v>398</v>
      </c>
      <c r="B54" s="35"/>
      <c r="C54" s="134">
        <v>16057.403753551998</v>
      </c>
      <c r="D54" s="80">
        <f t="shared" si="20"/>
        <v>6.9999999999999999E-4</v>
      </c>
      <c r="E54" s="134">
        <v>17567.107935999997</v>
      </c>
      <c r="F54" s="80">
        <f t="shared" si="21"/>
        <v>6.9999999999999999E-4</v>
      </c>
      <c r="G54" s="134">
        <v>19143.221781600001</v>
      </c>
      <c r="H54" s="80">
        <f t="shared" si="22"/>
        <v>6.9999999999999999E-4</v>
      </c>
      <c r="I54" s="134">
        <v>19866.700366842</v>
      </c>
      <c r="J54" s="80">
        <f t="shared" si="23"/>
        <v>6.9999999999999999E-4</v>
      </c>
      <c r="K54" s="134">
        <v>20552.70154266182</v>
      </c>
      <c r="L54" s="80">
        <f t="shared" si="24"/>
        <v>6.9999999999999999E-4</v>
      </c>
      <c r="M54" s="134">
        <v>21173.579843130163</v>
      </c>
      <c r="N54" s="80">
        <f t="shared" si="25"/>
        <v>7.000000000000001E-4</v>
      </c>
      <c r="O54" s="134">
        <v>21826.86982876392</v>
      </c>
      <c r="P54" s="80">
        <f t="shared" si="26"/>
        <v>6.9999999999999999E-4</v>
      </c>
      <c r="Q54" s="134">
        <v>22502.778505186223</v>
      </c>
      <c r="R54" s="80">
        <f t="shared" si="27"/>
        <v>7.000000000000001E-4</v>
      </c>
      <c r="S54" s="134">
        <v>23196.411139381653</v>
      </c>
      <c r="T54" s="80">
        <f t="shared" si="28"/>
        <v>6.9999999999999999E-4</v>
      </c>
      <c r="U54" s="134">
        <v>23918.12631857258</v>
      </c>
      <c r="V54" s="80">
        <f t="shared" si="29"/>
        <v>6.9999999999999999E-4</v>
      </c>
    </row>
    <row r="55" spans="1:22" ht="12.75" customHeight="1">
      <c r="A55" s="2" t="s">
        <v>399</v>
      </c>
      <c r="B55" s="35"/>
      <c r="C55" s="79">
        <v>1008969.2695999999</v>
      </c>
      <c r="D55" s="80">
        <f t="shared" si="20"/>
        <v>4.3984600472150838E-2</v>
      </c>
      <c r="E55" s="79">
        <v>1053642.25</v>
      </c>
      <c r="F55" s="80">
        <f t="shared" si="21"/>
        <v>4.198468966474278E-2</v>
      </c>
      <c r="G55" s="79">
        <v>1142270.79</v>
      </c>
      <c r="H55" s="80">
        <f t="shared" si="22"/>
        <v>4.1768807890453744E-2</v>
      </c>
      <c r="I55" s="79">
        <v>1190609.81855</v>
      </c>
      <c r="J55" s="80">
        <f t="shared" si="23"/>
        <v>4.1950945934434561E-2</v>
      </c>
      <c r="K55" s="79">
        <v>1230594.4247705003</v>
      </c>
      <c r="L55" s="80">
        <f t="shared" si="24"/>
        <v>4.1912548360189275E-2</v>
      </c>
      <c r="M55" s="79">
        <v>1272737.022268218</v>
      </c>
      <c r="N55" s="80">
        <f t="shared" si="25"/>
        <v>4.2076773138426719E-2</v>
      </c>
      <c r="O55" s="79">
        <v>1317811.5652639978</v>
      </c>
      <c r="P55" s="80">
        <f t="shared" si="26"/>
        <v>4.2262958588278658E-2</v>
      </c>
      <c r="Q55" s="79">
        <v>1365200.3815971543</v>
      </c>
      <c r="R55" s="80">
        <f t="shared" si="27"/>
        <v>4.2467656467300753E-2</v>
      </c>
      <c r="S55" s="79">
        <v>1415029.7763515061</v>
      </c>
      <c r="T55" s="80">
        <f t="shared" si="28"/>
        <v>4.2701469528809988E-2</v>
      </c>
      <c r="U55" s="79">
        <v>1427059.593253836</v>
      </c>
      <c r="V55" s="80">
        <f t="shared" si="29"/>
        <v>4.1765048899419871E-2</v>
      </c>
    </row>
    <row r="56" spans="1:22" ht="12.75" customHeight="1">
      <c r="A56" s="2" t="s">
        <v>400</v>
      </c>
      <c r="B56" s="35"/>
      <c r="C56" s="134">
        <v>11698.965591873599</v>
      </c>
      <c r="D56" s="80">
        <f t="shared" si="20"/>
        <v>5.1000000000000004E-4</v>
      </c>
      <c r="E56" s="134">
        <v>12798.892924799999</v>
      </c>
      <c r="F56" s="80">
        <f t="shared" si="21"/>
        <v>5.1000000000000004E-4</v>
      </c>
      <c r="G56" s="134">
        <v>13947.204440880001</v>
      </c>
      <c r="H56" s="80">
        <f t="shared" si="22"/>
        <v>5.1000000000000004E-4</v>
      </c>
      <c r="I56" s="134">
        <v>14474.310267270601</v>
      </c>
      <c r="J56" s="80">
        <f t="shared" si="23"/>
        <v>5.1000000000000004E-4</v>
      </c>
      <c r="K56" s="134">
        <v>14974.111123939327</v>
      </c>
      <c r="L56" s="80">
        <f t="shared" si="24"/>
        <v>5.1000000000000004E-4</v>
      </c>
      <c r="M56" s="134">
        <v>15426.465314280547</v>
      </c>
      <c r="N56" s="80">
        <f t="shared" si="25"/>
        <v>5.1000000000000004E-4</v>
      </c>
      <c r="O56" s="134">
        <v>15902.433732385143</v>
      </c>
      <c r="P56" s="80">
        <f t="shared" si="26"/>
        <v>5.1000000000000004E-4</v>
      </c>
      <c r="Q56" s="134">
        <v>16394.881482349963</v>
      </c>
      <c r="R56" s="80">
        <f t="shared" si="27"/>
        <v>5.1000000000000004E-4</v>
      </c>
      <c r="S56" s="134">
        <v>16900.242401549491</v>
      </c>
      <c r="T56" s="80">
        <f t="shared" si="28"/>
        <v>5.1000000000000004E-4</v>
      </c>
      <c r="U56" s="134">
        <v>17426.063460674308</v>
      </c>
      <c r="V56" s="80">
        <f t="shared" si="29"/>
        <v>5.1000000000000004E-4</v>
      </c>
    </row>
    <row r="57" spans="1:22" ht="12.75" customHeight="1">
      <c r="A57" s="2" t="s">
        <v>401</v>
      </c>
      <c r="B57" s="35"/>
      <c r="C57" s="79">
        <v>13078</v>
      </c>
      <c r="D57" s="80">
        <f t="shared" ref="D57:D58" si="40">IFERROR(C57/C$28,0)</f>
        <v>5.7011707125910341E-4</v>
      </c>
      <c r="E57" s="79">
        <v>13404.949999999999</v>
      </c>
      <c r="F57" s="80">
        <f t="shared" ref="F57:F58" si="41">IFERROR(E57/E$28,0)</f>
        <v>5.3414967530145423E-4</v>
      </c>
      <c r="G57" s="79">
        <v>13740.073749999998</v>
      </c>
      <c r="H57" s="80">
        <f t="shared" ref="H57:H58" si="42">IFERROR(G57/G$28,0)</f>
        <v>5.0242596229254559E-4</v>
      </c>
      <c r="I57" s="79">
        <v>14083.575593749996</v>
      </c>
      <c r="J57" s="80">
        <f t="shared" ref="J57:J58" si="43">IFERROR(I57/I$28,0)</f>
        <v>4.9623252646821385E-4</v>
      </c>
      <c r="K57" s="79">
        <v>14435.664983593744</v>
      </c>
      <c r="L57" s="80">
        <f t="shared" ref="L57:L58" si="44">IFERROR(K57/K$28,0)</f>
        <v>4.9166117979869753E-4</v>
      </c>
      <c r="M57" s="79">
        <v>14796.556608183586</v>
      </c>
      <c r="N57" s="80">
        <f t="shared" ref="N57:N58" si="45">IFERROR(M57/M$28,0)</f>
        <v>4.8917517502781018E-4</v>
      </c>
      <c r="O57" s="79">
        <v>15166.470523388174</v>
      </c>
      <c r="P57" s="80">
        <f t="shared" ref="P57:P58" si="46">IFERROR(O57/O$28,0)</f>
        <v>4.8639724567290131E-4</v>
      </c>
      <c r="Q57" s="79">
        <v>15545.632286472877</v>
      </c>
      <c r="R57" s="80">
        <f t="shared" ref="R57:R58" si="47">IFERROR(Q57/Q$28,0)</f>
        <v>4.83582176219841E-4</v>
      </c>
      <c r="S57" s="79">
        <v>15934.273093634698</v>
      </c>
      <c r="T57" s="80">
        <f t="shared" ref="T57:T58" si="48">IFERROR(S57/S$28,0)</f>
        <v>4.8084986502966513E-4</v>
      </c>
      <c r="U57" s="79">
        <v>16332.629920975563</v>
      </c>
      <c r="V57" s="80">
        <f t="shared" ref="V57:V58" si="49">IFERROR(U57/U$28,0)</f>
        <v>4.7799902017430266E-4</v>
      </c>
    </row>
    <row r="58" spans="1:22" ht="12.75" customHeight="1">
      <c r="A58" s="2" t="s">
        <v>402</v>
      </c>
      <c r="B58" s="35"/>
      <c r="C58" s="79">
        <v>12252</v>
      </c>
      <c r="D58" s="80">
        <f t="shared" si="40"/>
        <v>5.3410875952489181E-4</v>
      </c>
      <c r="E58" s="79">
        <v>13989</v>
      </c>
      <c r="F58" s="80">
        <f t="shared" si="41"/>
        <v>5.5742243035535716E-4</v>
      </c>
      <c r="G58" s="79">
        <v>14338.724999999999</v>
      </c>
      <c r="H58" s="80">
        <f t="shared" si="42"/>
        <v>5.2431652385950117E-4</v>
      </c>
      <c r="I58" s="79">
        <v>14697.193124999998</v>
      </c>
      <c r="J58" s="80">
        <f t="shared" si="43"/>
        <v>5.1785324173263193E-4</v>
      </c>
      <c r="K58" s="79">
        <v>15064.622953124997</v>
      </c>
      <c r="L58" s="80">
        <f t="shared" si="44"/>
        <v>5.1308272274077716E-4</v>
      </c>
      <c r="M58" s="79">
        <v>15441.238526953121</v>
      </c>
      <c r="N58" s="80">
        <f t="shared" si="45"/>
        <v>5.1048840342291749E-4</v>
      </c>
      <c r="O58" s="79">
        <v>15827.269490126948</v>
      </c>
      <c r="P58" s="80">
        <f t="shared" si="46"/>
        <v>5.0758944044686618E-4</v>
      </c>
      <c r="Q58" s="79">
        <v>16222.951227380121</v>
      </c>
      <c r="R58" s="80">
        <f t="shared" si="47"/>
        <v>5.0465171918875928E-4</v>
      </c>
      <c r="S58" s="79">
        <v>16628.525008064622</v>
      </c>
      <c r="T58" s="80">
        <f t="shared" si="48"/>
        <v>5.0180036194838375E-4</v>
      </c>
      <c r="U58" s="79">
        <v>17044.238133266237</v>
      </c>
      <c r="V58" s="80">
        <f t="shared" si="49"/>
        <v>4.9882530656349502E-4</v>
      </c>
    </row>
    <row r="59" spans="1:22" ht="12.75" customHeight="1">
      <c r="A59" s="2" t="s">
        <v>403</v>
      </c>
      <c r="B59" s="35"/>
      <c r="C59" s="79">
        <v>2500000</v>
      </c>
      <c r="D59" s="242">
        <f t="shared" si="20"/>
        <v>0.10898399435294072</v>
      </c>
      <c r="E59" s="79">
        <v>2500000</v>
      </c>
      <c r="F59" s="80">
        <f t="shared" si="21"/>
        <v>9.9617990984944796E-2</v>
      </c>
      <c r="G59" s="79">
        <v>2500000</v>
      </c>
      <c r="H59" s="80">
        <f t="shared" si="22"/>
        <v>9.1416169125829047E-2</v>
      </c>
      <c r="I59" s="79">
        <v>2500000</v>
      </c>
      <c r="J59" s="80">
        <f t="shared" si="23"/>
        <v>8.8087098898455826E-2</v>
      </c>
      <c r="K59" s="79">
        <v>2500000</v>
      </c>
      <c r="L59" s="80">
        <f t="shared" si="24"/>
        <v>8.5146957268244075E-2</v>
      </c>
      <c r="M59" s="79">
        <v>2500000</v>
      </c>
      <c r="N59" s="80">
        <f t="shared" si="25"/>
        <v>8.2650171249515625E-2</v>
      </c>
      <c r="O59" s="79">
        <v>2500000</v>
      </c>
      <c r="P59" s="80">
        <f t="shared" si="26"/>
        <v>8.0176407049159751E-2</v>
      </c>
      <c r="Q59" s="79">
        <v>2500000</v>
      </c>
      <c r="R59" s="80">
        <f t="shared" si="27"/>
        <v>7.7768174254422714E-2</v>
      </c>
      <c r="S59" s="79">
        <v>2500000</v>
      </c>
      <c r="T59" s="80">
        <f t="shared" si="28"/>
        <v>7.5442704885883907E-2</v>
      </c>
      <c r="U59" s="79">
        <v>2500000</v>
      </c>
      <c r="V59" s="80">
        <f t="shared" si="29"/>
        <v>7.3166266315815617E-2</v>
      </c>
    </row>
    <row r="60" spans="1:22" ht="12.75" customHeight="1">
      <c r="A60" s="2" t="s">
        <v>404</v>
      </c>
      <c r="B60" s="35"/>
      <c r="C60" s="79">
        <v>0</v>
      </c>
      <c r="D60" s="80">
        <f t="shared" ref="D60:D62" si="50">IFERROR(C60/C$28,0)</f>
        <v>0</v>
      </c>
      <c r="E60" s="79">
        <v>0</v>
      </c>
      <c r="F60" s="80">
        <f t="shared" ref="F60:F62" si="51">IFERROR(E60/E$28,0)</f>
        <v>0</v>
      </c>
      <c r="G60" s="79">
        <v>0</v>
      </c>
      <c r="H60" s="80">
        <f t="shared" ref="H60:H62" si="52">IFERROR(G60/G$28,0)</f>
        <v>0</v>
      </c>
      <c r="I60" s="79">
        <v>0</v>
      </c>
      <c r="J60" s="80">
        <f t="shared" ref="J60:J62" si="53">IFERROR(I60/I$28,0)</f>
        <v>0</v>
      </c>
      <c r="K60" s="79">
        <v>0</v>
      </c>
      <c r="L60" s="80">
        <f t="shared" ref="L60:L62" si="54">IFERROR(K60/K$28,0)</f>
        <v>0</v>
      </c>
      <c r="M60" s="79">
        <v>0</v>
      </c>
      <c r="N60" s="80">
        <f t="shared" ref="N60:N62" si="55">IFERROR(M60/M$28,0)</f>
        <v>0</v>
      </c>
      <c r="O60" s="79">
        <v>0</v>
      </c>
      <c r="P60" s="80">
        <f t="shared" ref="P60:P62" si="56">IFERROR(O60/O$28,0)</f>
        <v>0</v>
      </c>
      <c r="Q60" s="79">
        <v>0</v>
      </c>
      <c r="R60" s="80">
        <f t="shared" ref="R60:R62" si="57">IFERROR(Q60/Q$28,0)</f>
        <v>0</v>
      </c>
      <c r="S60" s="79">
        <v>0</v>
      </c>
      <c r="T60" s="80">
        <f t="shared" ref="T60:T62" si="58">IFERROR(S60/S$28,0)</f>
        <v>0</v>
      </c>
      <c r="U60" s="79">
        <v>0</v>
      </c>
      <c r="V60" s="80">
        <f t="shared" ref="V60:V62" si="59">IFERROR(U60/U$28,0)</f>
        <v>0</v>
      </c>
    </row>
    <row r="61" spans="1:22" ht="12.75" customHeight="1">
      <c r="A61" s="2" t="s">
        <v>405</v>
      </c>
      <c r="B61" s="35"/>
      <c r="C61" s="79">
        <v>134132.52499999999</v>
      </c>
      <c r="D61" s="80">
        <f t="shared" si="50"/>
        <v>5.8473193388582714E-3</v>
      </c>
      <c r="E61" s="79">
        <v>160959.03</v>
      </c>
      <c r="F61" s="80">
        <f t="shared" si="51"/>
        <v>6.4137660797941838E-3</v>
      </c>
      <c r="G61" s="79">
        <v>177054.93300000002</v>
      </c>
      <c r="H61" s="80">
        <f t="shared" si="52"/>
        <v>6.4742734798761328E-3</v>
      </c>
      <c r="I61" s="79">
        <v>181481.30632500001</v>
      </c>
      <c r="J61" s="80">
        <f t="shared" si="53"/>
        <v>6.394464711388494E-3</v>
      </c>
      <c r="K61" s="79">
        <v>186018.338983125</v>
      </c>
      <c r="L61" s="80">
        <f t="shared" si="54"/>
        <v>6.3355582242023535E-3</v>
      </c>
      <c r="M61" s="79">
        <v>190668.7974577031</v>
      </c>
      <c r="N61" s="80">
        <f t="shared" si="55"/>
        <v>6.3035235047273486E-3</v>
      </c>
      <c r="O61" s="79">
        <v>195435.51739414566</v>
      </c>
      <c r="P61" s="80">
        <f t="shared" si="56"/>
        <v>6.2677270377824654E-3</v>
      </c>
      <c r="Q61" s="79">
        <v>200321.40532899927</v>
      </c>
      <c r="R61" s="80">
        <f t="shared" si="57"/>
        <v>6.2314519826065836E-3</v>
      </c>
      <c r="S61" s="79">
        <v>205329.44046222424</v>
      </c>
      <c r="T61" s="80">
        <f t="shared" si="58"/>
        <v>6.1962433524701014E-3</v>
      </c>
      <c r="U61" s="79">
        <v>210462.67647377984</v>
      </c>
      <c r="V61" s="80">
        <f t="shared" si="59"/>
        <v>6.1595072945679671E-3</v>
      </c>
    </row>
    <row r="62" spans="1:22" ht="12.75" customHeight="1">
      <c r="A62" s="2" t="s">
        <v>406</v>
      </c>
      <c r="B62" s="35"/>
      <c r="C62" s="243">
        <v>387608.2728988931</v>
      </c>
      <c r="D62" s="80">
        <f t="shared" si="50"/>
        <v>1.6897239129906427E-2</v>
      </c>
      <c r="E62" s="243">
        <v>482209.56820365239</v>
      </c>
      <c r="F62" s="80">
        <f t="shared" si="51"/>
        <v>1.9214699367266226E-2</v>
      </c>
      <c r="G62" s="243">
        <v>1031596.4343738651</v>
      </c>
      <c r="H62" s="80">
        <f t="shared" si="52"/>
        <v>3.7721837645729381E-2</v>
      </c>
      <c r="I62" s="243">
        <v>532341.50227386504</v>
      </c>
      <c r="J62" s="80">
        <f t="shared" si="53"/>
        <v>1.8756967423420201E-2</v>
      </c>
      <c r="K62" s="243">
        <v>538999.09462465812</v>
      </c>
      <c r="L62" s="80">
        <f t="shared" si="54"/>
        <v>1.8357653151051204E-2</v>
      </c>
      <c r="M62" s="243">
        <v>1099215.9837114925</v>
      </c>
      <c r="N62" s="80">
        <f t="shared" si="55"/>
        <v>3.6340155717583852E-2</v>
      </c>
      <c r="O62" s="243">
        <v>549483.77602265566</v>
      </c>
      <c r="P62" s="80">
        <f t="shared" si="56"/>
        <v>1.7622253957320706E-2</v>
      </c>
      <c r="Q62" s="243">
        <v>549759.60210315394</v>
      </c>
      <c r="R62" s="80">
        <f t="shared" si="57"/>
        <v>1.7101520213760071E-2</v>
      </c>
      <c r="S62" s="243">
        <v>1150043.702966067</v>
      </c>
      <c r="T62" s="80">
        <f t="shared" si="58"/>
        <v>3.4704963075495247E-2</v>
      </c>
      <c r="U62" s="243">
        <v>505013.93352002196</v>
      </c>
      <c r="V62" s="80">
        <f t="shared" si="59"/>
        <v>1.4779993581249413E-2</v>
      </c>
    </row>
    <row r="63" spans="1:22" ht="12.75" customHeight="1">
      <c r="A63" s="2" t="s">
        <v>407</v>
      </c>
      <c r="B63" s="35"/>
      <c r="C63" s="134">
        <v>279070.33312232001</v>
      </c>
      <c r="D63" s="80">
        <f t="shared" si="20"/>
        <v>1.2165679843630484E-2</v>
      </c>
      <c r="E63" s="134">
        <v>309815.8</v>
      </c>
      <c r="F63" s="80">
        <f t="shared" si="21"/>
        <v>1.2345291028557383E-2</v>
      </c>
      <c r="G63" s="134">
        <v>334038.72580000001</v>
      </c>
      <c r="H63" s="80">
        <f t="shared" si="22"/>
        <v>1.2214616260923693E-2</v>
      </c>
      <c r="I63" s="134">
        <v>347553.1829619999</v>
      </c>
      <c r="J63" s="80">
        <f t="shared" si="23"/>
        <v>1.224598064001872E-2</v>
      </c>
      <c r="K63" s="134">
        <v>358446.13148890005</v>
      </c>
      <c r="L63" s="80">
        <f t="shared" si="24"/>
        <v>1.2208238976341107E-2</v>
      </c>
      <c r="M63" s="134">
        <v>369897.02100301074</v>
      </c>
      <c r="N63" s="80">
        <f t="shared" si="25"/>
        <v>1.2228820852233806E-2</v>
      </c>
      <c r="O63" s="134">
        <v>382095.94121337304</v>
      </c>
      <c r="P63" s="80">
        <f t="shared" si="26"/>
        <v>1.2254031885822086E-2</v>
      </c>
      <c r="Q63" s="134">
        <v>395085.13410424138</v>
      </c>
      <c r="R63" s="80">
        <f t="shared" si="27"/>
        <v>1.2290019821740245E-2</v>
      </c>
      <c r="S63" s="134">
        <v>408426.79378901899</v>
      </c>
      <c r="T63" s="80">
        <f t="shared" si="28"/>
        <v>1.2325128828525088E-2</v>
      </c>
      <c r="U63" s="134">
        <v>422416.17565479426</v>
      </c>
      <c r="V63" s="80">
        <f t="shared" si="29"/>
        <v>1.236264576162681E-2</v>
      </c>
    </row>
    <row r="64" spans="1:22" ht="12.75" customHeight="1">
      <c r="A64" s="2" t="s">
        <v>408</v>
      </c>
      <c r="B64" s="35"/>
      <c r="C64" s="134">
        <v>110107.91145292798</v>
      </c>
      <c r="D64" s="80">
        <f t="shared" si="20"/>
        <v>4.7999999999999996E-3</v>
      </c>
      <c r="E64" s="134">
        <v>120460.16870399997</v>
      </c>
      <c r="F64" s="80">
        <f t="shared" si="21"/>
        <v>4.7999999999999996E-3</v>
      </c>
      <c r="G64" s="134">
        <v>131267.8065024</v>
      </c>
      <c r="H64" s="80">
        <f t="shared" si="22"/>
        <v>4.7999999999999996E-3</v>
      </c>
      <c r="I64" s="134">
        <v>136228.80251548797</v>
      </c>
      <c r="J64" s="80">
        <f t="shared" si="23"/>
        <v>4.7999999999999987E-3</v>
      </c>
      <c r="K64" s="134">
        <v>140932.81057825248</v>
      </c>
      <c r="L64" s="80">
        <f t="shared" si="24"/>
        <v>4.7999999999999996E-3</v>
      </c>
      <c r="M64" s="134">
        <v>145190.26178146395</v>
      </c>
      <c r="N64" s="80">
        <f t="shared" si="25"/>
        <v>4.7999999999999996E-3</v>
      </c>
      <c r="O64" s="134">
        <v>149669.96454009545</v>
      </c>
      <c r="P64" s="80">
        <f t="shared" si="26"/>
        <v>4.7999999999999996E-3</v>
      </c>
      <c r="Q64" s="134">
        <v>154304.76689270549</v>
      </c>
      <c r="R64" s="80">
        <f t="shared" si="27"/>
        <v>4.7999999999999996E-3</v>
      </c>
      <c r="S64" s="134">
        <v>159061.10495575989</v>
      </c>
      <c r="T64" s="80">
        <f t="shared" si="28"/>
        <v>4.7999999999999996E-3</v>
      </c>
      <c r="U64" s="134">
        <v>164010.00904164053</v>
      </c>
      <c r="V64" s="80">
        <f t="shared" si="29"/>
        <v>4.7999999999999996E-3</v>
      </c>
    </row>
    <row r="65" spans="1:22" ht="12.75" customHeight="1">
      <c r="A65" s="2" t="s">
        <v>409</v>
      </c>
      <c r="B65" s="35"/>
      <c r="C65" s="134">
        <v>11469.574109679999</v>
      </c>
      <c r="D65" s="80">
        <f t="shared" si="20"/>
        <v>5.0000000000000001E-4</v>
      </c>
      <c r="E65" s="134">
        <v>12547.934239999999</v>
      </c>
      <c r="F65" s="80">
        <f t="shared" si="21"/>
        <v>5.0000000000000001E-4</v>
      </c>
      <c r="G65" s="134">
        <v>13673.729844000001</v>
      </c>
      <c r="H65" s="80">
        <f t="shared" si="22"/>
        <v>5.0000000000000001E-4</v>
      </c>
      <c r="I65" s="134">
        <v>14190.50026203</v>
      </c>
      <c r="J65" s="80">
        <f t="shared" si="23"/>
        <v>5.0000000000000001E-4</v>
      </c>
      <c r="K65" s="134">
        <v>14680.5011019013</v>
      </c>
      <c r="L65" s="80">
        <f t="shared" si="24"/>
        <v>5.0000000000000001E-4</v>
      </c>
      <c r="M65" s="134">
        <v>15123.985602235829</v>
      </c>
      <c r="N65" s="80">
        <f t="shared" si="25"/>
        <v>5.0000000000000001E-4</v>
      </c>
      <c r="O65" s="134">
        <v>15590.621306259944</v>
      </c>
      <c r="P65" s="80">
        <f t="shared" si="26"/>
        <v>5.0000000000000001E-4</v>
      </c>
      <c r="Q65" s="134">
        <v>16073.413217990159</v>
      </c>
      <c r="R65" s="80">
        <f t="shared" si="27"/>
        <v>5.0000000000000001E-4</v>
      </c>
      <c r="S65" s="134">
        <v>16568.865099558323</v>
      </c>
      <c r="T65" s="80">
        <f t="shared" si="28"/>
        <v>5.0000000000000001E-4</v>
      </c>
      <c r="U65" s="134">
        <v>17084.375941837556</v>
      </c>
      <c r="V65" s="80">
        <f t="shared" si="29"/>
        <v>5.0000000000000001E-4</v>
      </c>
    </row>
    <row r="66" spans="1:22" ht="12.75" customHeight="1">
      <c r="A66" s="2" t="s">
        <v>410</v>
      </c>
      <c r="B66" s="35"/>
      <c r="C66" s="134">
        <v>64229.615014207993</v>
      </c>
      <c r="D66" s="80">
        <f t="shared" si="20"/>
        <v>2.8E-3</v>
      </c>
      <c r="E66" s="134">
        <v>70268.431743999987</v>
      </c>
      <c r="F66" s="80">
        <f t="shared" si="21"/>
        <v>2.8E-3</v>
      </c>
      <c r="G66" s="134">
        <v>76572.887126400004</v>
      </c>
      <c r="H66" s="80">
        <f t="shared" si="22"/>
        <v>2.8E-3</v>
      </c>
      <c r="I66" s="134">
        <v>79466.801467368001</v>
      </c>
      <c r="J66" s="80">
        <f t="shared" si="23"/>
        <v>2.8E-3</v>
      </c>
      <c r="K66" s="134">
        <v>82210.80617064728</v>
      </c>
      <c r="L66" s="80">
        <f t="shared" si="24"/>
        <v>2.8E-3</v>
      </c>
      <c r="M66" s="134">
        <v>84694.319372520651</v>
      </c>
      <c r="N66" s="80">
        <f t="shared" si="25"/>
        <v>2.8000000000000004E-3</v>
      </c>
      <c r="O66" s="134">
        <v>87307.47931505568</v>
      </c>
      <c r="P66" s="80">
        <f t="shared" si="26"/>
        <v>2.8E-3</v>
      </c>
      <c r="Q66" s="134">
        <v>90011.114020744892</v>
      </c>
      <c r="R66" s="80">
        <f t="shared" si="27"/>
        <v>2.8000000000000004E-3</v>
      </c>
      <c r="S66" s="134">
        <v>92785.644557526612</v>
      </c>
      <c r="T66" s="80">
        <f t="shared" si="28"/>
        <v>2.8E-3</v>
      </c>
      <c r="U66" s="134">
        <v>95672.505274290321</v>
      </c>
      <c r="V66" s="80">
        <f t="shared" si="29"/>
        <v>2.8E-3</v>
      </c>
    </row>
    <row r="67" spans="1:22" ht="12.75" customHeight="1">
      <c r="A67" s="2" t="s">
        <v>411</v>
      </c>
      <c r="B67" s="35"/>
      <c r="C67" s="134">
        <v>344087.22329039994</v>
      </c>
      <c r="D67" s="80">
        <f t="shared" si="20"/>
        <v>1.4999999999999999E-2</v>
      </c>
      <c r="E67" s="134">
        <v>376438.02719999995</v>
      </c>
      <c r="F67" s="80">
        <f t="shared" si="21"/>
        <v>1.4999999999999999E-2</v>
      </c>
      <c r="G67" s="134">
        <v>410211.89532000001</v>
      </c>
      <c r="H67" s="80">
        <f t="shared" si="22"/>
        <v>1.4999999999999999E-2</v>
      </c>
      <c r="I67" s="134">
        <v>425715.00786089996</v>
      </c>
      <c r="J67" s="80">
        <f t="shared" si="23"/>
        <v>1.4999999999999999E-2</v>
      </c>
      <c r="K67" s="134">
        <v>440415.03305703896</v>
      </c>
      <c r="L67" s="80">
        <f t="shared" si="24"/>
        <v>1.4999999999999998E-2</v>
      </c>
      <c r="M67" s="134">
        <v>453719.56806707487</v>
      </c>
      <c r="N67" s="80">
        <f t="shared" si="25"/>
        <v>1.4999999999999999E-2</v>
      </c>
      <c r="O67" s="134">
        <v>467718.63918779825</v>
      </c>
      <c r="P67" s="80">
        <f t="shared" si="26"/>
        <v>1.4999999999999999E-2</v>
      </c>
      <c r="Q67" s="134">
        <v>482202.3965397047</v>
      </c>
      <c r="R67" s="80">
        <f t="shared" si="27"/>
        <v>1.4999999999999999E-2</v>
      </c>
      <c r="S67" s="134">
        <v>497065.9529867497</v>
      </c>
      <c r="T67" s="80">
        <f t="shared" si="28"/>
        <v>1.4999999999999999E-2</v>
      </c>
      <c r="U67" s="134">
        <v>512531.27825512667</v>
      </c>
      <c r="V67" s="80">
        <f t="shared" si="29"/>
        <v>1.4999999999999999E-2</v>
      </c>
    </row>
    <row r="68" spans="1:22" ht="12.75" customHeight="1">
      <c r="A68" s="2" t="s">
        <v>412</v>
      </c>
      <c r="B68" s="35"/>
      <c r="C68" s="134">
        <v>38996.551972911991</v>
      </c>
      <c r="D68" s="80">
        <f t="shared" si="20"/>
        <v>1.6999999999999999E-3</v>
      </c>
      <c r="E68" s="134">
        <v>42662.97641599999</v>
      </c>
      <c r="F68" s="80">
        <f t="shared" si="21"/>
        <v>1.6999999999999999E-3</v>
      </c>
      <c r="G68" s="134">
        <v>46490.6814696</v>
      </c>
      <c r="H68" s="80">
        <f t="shared" si="22"/>
        <v>1.6999999999999999E-3</v>
      </c>
      <c r="I68" s="134">
        <v>48247.700890901993</v>
      </c>
      <c r="J68" s="80">
        <f t="shared" si="23"/>
        <v>1.6999999999999997E-3</v>
      </c>
      <c r="K68" s="134">
        <v>49913.703746464416</v>
      </c>
      <c r="L68" s="80">
        <f t="shared" si="24"/>
        <v>1.6999999999999999E-3</v>
      </c>
      <c r="M68" s="134">
        <v>51421.551047601817</v>
      </c>
      <c r="N68" s="80">
        <f t="shared" si="25"/>
        <v>1.6999999999999999E-3</v>
      </c>
      <c r="O68" s="134">
        <v>53008.112441283803</v>
      </c>
      <c r="P68" s="80">
        <f t="shared" si="26"/>
        <v>1.6999999999999999E-3</v>
      </c>
      <c r="Q68" s="134">
        <v>54649.604941166537</v>
      </c>
      <c r="R68" s="80">
        <f t="shared" si="27"/>
        <v>1.6999999999999999E-3</v>
      </c>
      <c r="S68" s="134">
        <v>56334.141338498295</v>
      </c>
      <c r="T68" s="80">
        <f t="shared" si="28"/>
        <v>1.6999999999999999E-3</v>
      </c>
      <c r="U68" s="134">
        <v>58086.878202247688</v>
      </c>
      <c r="V68" s="80">
        <f t="shared" si="29"/>
        <v>1.6999999999999999E-3</v>
      </c>
    </row>
    <row r="69" spans="1:22" ht="12.75" customHeight="1">
      <c r="A69" s="2" t="s">
        <v>413</v>
      </c>
      <c r="B69" s="35"/>
      <c r="C69" s="79">
        <v>12588</v>
      </c>
      <c r="D69" s="80">
        <f t="shared" si="20"/>
        <v>5.4875620836592712E-4</v>
      </c>
      <c r="E69" s="79">
        <v>13846.800000000001</v>
      </c>
      <c r="F69" s="80">
        <f t="shared" si="21"/>
        <v>5.5175615902813347E-4</v>
      </c>
      <c r="G69" s="79">
        <v>14539.140000000001</v>
      </c>
      <c r="H69" s="80">
        <f t="shared" si="22"/>
        <v>5.316449924736425E-4</v>
      </c>
      <c r="I69" s="79">
        <v>14902.6185</v>
      </c>
      <c r="J69" s="80">
        <f t="shared" si="23"/>
        <v>5.2509137186218307E-4</v>
      </c>
      <c r="K69" s="79">
        <v>15275.183962499999</v>
      </c>
      <c r="L69" s="80">
        <f t="shared" si="24"/>
        <v>5.202541744478218E-4</v>
      </c>
      <c r="M69" s="79">
        <v>15657.063561562498</v>
      </c>
      <c r="N69" s="80">
        <f t="shared" si="25"/>
        <v>5.1762359385107654E-4</v>
      </c>
      <c r="O69" s="79">
        <v>16048.490150601559</v>
      </c>
      <c r="P69" s="80">
        <f t="shared" si="26"/>
        <v>5.1468411153562476E-4</v>
      </c>
      <c r="Q69" s="79">
        <v>16449.702404366599</v>
      </c>
      <c r="R69" s="80">
        <f t="shared" si="27"/>
        <v>5.1170532920647121E-4</v>
      </c>
      <c r="S69" s="79">
        <v>16860.944964475762</v>
      </c>
      <c r="T69" s="80">
        <f t="shared" si="28"/>
        <v>5.088141180208301E-4</v>
      </c>
      <c r="U69" s="79">
        <v>17282.468588587653</v>
      </c>
      <c r="V69" s="80">
        <f t="shared" si="29"/>
        <v>5.0579747973892892E-4</v>
      </c>
    </row>
    <row r="70" spans="1:22" ht="12.75" customHeight="1">
      <c r="A70" s="2" t="s">
        <v>414</v>
      </c>
      <c r="B70" s="35"/>
      <c r="C70" s="134">
        <v>2293.914821936</v>
      </c>
      <c r="D70" s="80">
        <f t="shared" si="20"/>
        <v>1E-4</v>
      </c>
      <c r="E70" s="134">
        <v>2509.5868479999999</v>
      </c>
      <c r="F70" s="80">
        <f t="shared" si="21"/>
        <v>1E-4</v>
      </c>
      <c r="G70" s="134">
        <v>2734.7459688000004</v>
      </c>
      <c r="H70" s="80">
        <f t="shared" si="22"/>
        <v>1E-4</v>
      </c>
      <c r="I70" s="134">
        <v>2838.100052406</v>
      </c>
      <c r="J70" s="80">
        <f t="shared" si="23"/>
        <v>1E-4</v>
      </c>
      <c r="K70" s="134">
        <v>2936.10022038026</v>
      </c>
      <c r="L70" s="80">
        <f t="shared" si="24"/>
        <v>1E-4</v>
      </c>
      <c r="M70" s="134">
        <v>3024.797120447166</v>
      </c>
      <c r="N70" s="80">
        <f t="shared" si="25"/>
        <v>1E-4</v>
      </c>
      <c r="O70" s="134">
        <v>3118.1242612519886</v>
      </c>
      <c r="P70" s="80">
        <f t="shared" si="26"/>
        <v>1E-4</v>
      </c>
      <c r="Q70" s="134">
        <v>3214.682643598032</v>
      </c>
      <c r="R70" s="80">
        <f t="shared" si="27"/>
        <v>1E-4</v>
      </c>
      <c r="S70" s="134">
        <v>3313.773019911665</v>
      </c>
      <c r="T70" s="80">
        <f t="shared" si="28"/>
        <v>1E-4</v>
      </c>
      <c r="U70" s="134">
        <v>3416.8751883675113</v>
      </c>
      <c r="V70" s="80">
        <f t="shared" si="29"/>
        <v>1E-4</v>
      </c>
    </row>
    <row r="71" spans="1:22" ht="12.75" customHeight="1">
      <c r="A71" s="2" t="s">
        <v>415</v>
      </c>
      <c r="B71" s="35"/>
      <c r="C71" s="79">
        <v>78522</v>
      </c>
      <c r="D71" s="80">
        <f t="shared" si="20"/>
        <v>3.4230564818326444E-3</v>
      </c>
      <c r="E71" s="79">
        <v>86374.200000000012</v>
      </c>
      <c r="F71" s="80">
        <f t="shared" si="21"/>
        <v>3.4417697107727279E-3</v>
      </c>
      <c r="G71" s="79">
        <v>90692.910000000018</v>
      </c>
      <c r="H71" s="80">
        <f t="shared" si="22"/>
        <v>3.3163193596294376E-3</v>
      </c>
      <c r="I71" s="79">
        <v>92960.23275000001</v>
      </c>
      <c r="J71" s="80">
        <f t="shared" si="23"/>
        <v>3.2754388863490895E-3</v>
      </c>
      <c r="K71" s="79">
        <v>95284.238568750006</v>
      </c>
      <c r="L71" s="80">
        <f t="shared" si="24"/>
        <v>3.2452651959002121E-3</v>
      </c>
      <c r="M71" s="79">
        <v>97666.344532968753</v>
      </c>
      <c r="N71" s="80">
        <f t="shared" si="25"/>
        <v>3.2288560403856245E-3</v>
      </c>
      <c r="O71" s="79">
        <v>100108.00314629296</v>
      </c>
      <c r="P71" s="80">
        <f t="shared" si="26"/>
        <v>3.2105200036543001E-3</v>
      </c>
      <c r="Q71" s="79">
        <v>102610.70322495028</v>
      </c>
      <c r="R71" s="80">
        <f t="shared" si="27"/>
        <v>3.1919388195067152E-3</v>
      </c>
      <c r="S71" s="79">
        <v>105175.97080557403</v>
      </c>
      <c r="T71" s="80">
        <f t="shared" si="28"/>
        <v>3.173903890628505E-3</v>
      </c>
      <c r="U71" s="79">
        <v>107805.37007571338</v>
      </c>
      <c r="V71" s="80">
        <f t="shared" si="29"/>
        <v>3.1550865668938822E-3</v>
      </c>
    </row>
    <row r="72" spans="1:22" ht="12.75" customHeight="1">
      <c r="A72" s="2" t="s">
        <v>416</v>
      </c>
      <c r="B72" s="35"/>
      <c r="C72" s="79">
        <v>5200</v>
      </c>
      <c r="D72" s="80">
        <f t="shared" si="20"/>
        <v>2.2668670825411668E-4</v>
      </c>
      <c r="E72" s="79">
        <v>5720.0000000000009</v>
      </c>
      <c r="F72" s="80">
        <f t="shared" si="21"/>
        <v>2.2792596337355373E-4</v>
      </c>
      <c r="G72" s="79">
        <v>6006.0000000000009</v>
      </c>
      <c r="H72" s="80">
        <f t="shared" si="22"/>
        <v>2.1961820470789173E-4</v>
      </c>
      <c r="I72" s="79">
        <v>6156.1500000000005</v>
      </c>
      <c r="J72" s="80">
        <f t="shared" si="23"/>
        <v>2.1691095755349156E-4</v>
      </c>
      <c r="K72" s="79">
        <v>6310.05375</v>
      </c>
      <c r="L72" s="80">
        <f t="shared" si="24"/>
        <v>2.1491275080462929E-4</v>
      </c>
      <c r="M72" s="79">
        <v>6467.8050937499993</v>
      </c>
      <c r="N72" s="80">
        <f t="shared" si="25"/>
        <v>2.1382607944277077E-4</v>
      </c>
      <c r="O72" s="79">
        <v>6629.5002210937491</v>
      </c>
      <c r="P72" s="80">
        <f t="shared" si="26"/>
        <v>2.126118033035628E-4</v>
      </c>
      <c r="Q72" s="79">
        <v>6795.2377266210924</v>
      </c>
      <c r="R72" s="80">
        <f t="shared" si="27"/>
        <v>2.1138129264963856E-4</v>
      </c>
      <c r="S72" s="79">
        <v>6965.1186697866187</v>
      </c>
      <c r="T72" s="80">
        <f t="shared" si="28"/>
        <v>2.1018695691994886E-4</v>
      </c>
      <c r="U72" s="79">
        <v>7139.2466365312839</v>
      </c>
      <c r="V72" s="80">
        <f t="shared" si="29"/>
        <v>2.0894080828109553E-4</v>
      </c>
    </row>
    <row r="73" spans="1:22" ht="12.75" customHeight="1">
      <c r="A73" s="2" t="s">
        <v>417</v>
      </c>
      <c r="B73" s="35"/>
      <c r="C73" s="79">
        <v>105000</v>
      </c>
      <c r="D73" s="80">
        <f t="shared" si="20"/>
        <v>4.57732776282351E-3</v>
      </c>
      <c r="E73" s="79">
        <v>108150</v>
      </c>
      <c r="F73" s="80">
        <f t="shared" si="21"/>
        <v>4.3094742900087121E-3</v>
      </c>
      <c r="G73" s="79">
        <v>111394.5</v>
      </c>
      <c r="H73" s="80">
        <f t="shared" si="22"/>
        <v>4.0733033806748652E-3</v>
      </c>
      <c r="I73" s="79">
        <v>114736.33500000001</v>
      </c>
      <c r="J73" s="80">
        <f t="shared" si="23"/>
        <v>4.0427163553565437E-3</v>
      </c>
      <c r="K73" s="79">
        <v>118178.42505000001</v>
      </c>
      <c r="L73" s="80">
        <f t="shared" si="24"/>
        <v>4.0250133231042942E-3</v>
      </c>
      <c r="M73" s="79">
        <v>121723.77780150001</v>
      </c>
      <c r="N73" s="80">
        <f t="shared" si="25"/>
        <v>4.0241964321727853E-3</v>
      </c>
      <c r="O73" s="79">
        <v>125375.49113554502</v>
      </c>
      <c r="P73" s="80">
        <f t="shared" si="26"/>
        <v>4.0208625645087115E-3</v>
      </c>
      <c r="Q73" s="79">
        <v>129136.75586961137</v>
      </c>
      <c r="R73" s="80">
        <f t="shared" si="27"/>
        <v>4.0170918932475128E-3</v>
      </c>
      <c r="S73" s="79">
        <v>133010.85854569971</v>
      </c>
      <c r="T73" s="80">
        <f t="shared" si="28"/>
        <v>4.0138795791525086E-3</v>
      </c>
      <c r="U73" s="79">
        <v>137001.1843020707</v>
      </c>
      <c r="V73" s="80">
        <f t="shared" si="29"/>
        <v>4.009546054490977E-3</v>
      </c>
    </row>
    <row r="74" spans="1:22" ht="12.75" customHeight="1">
      <c r="A74" s="2" t="s">
        <v>418</v>
      </c>
      <c r="B74" s="35"/>
      <c r="C74" s="79">
        <v>0</v>
      </c>
      <c r="D74" s="80">
        <f t="shared" si="20"/>
        <v>0</v>
      </c>
      <c r="E74" s="79">
        <v>0</v>
      </c>
      <c r="F74" s="80">
        <f t="shared" si="21"/>
        <v>0</v>
      </c>
      <c r="G74" s="79">
        <v>0</v>
      </c>
      <c r="H74" s="80">
        <f t="shared" si="22"/>
        <v>0</v>
      </c>
      <c r="I74" s="79">
        <v>0</v>
      </c>
      <c r="J74" s="80">
        <f t="shared" si="23"/>
        <v>0</v>
      </c>
      <c r="K74" s="79">
        <v>0</v>
      </c>
      <c r="L74" s="80">
        <f t="shared" si="24"/>
        <v>0</v>
      </c>
      <c r="M74" s="79">
        <v>0</v>
      </c>
      <c r="N74" s="80">
        <f t="shared" si="25"/>
        <v>0</v>
      </c>
      <c r="O74" s="79">
        <v>0</v>
      </c>
      <c r="P74" s="80">
        <f t="shared" si="26"/>
        <v>0</v>
      </c>
      <c r="Q74" s="79">
        <v>0</v>
      </c>
      <c r="R74" s="80">
        <f t="shared" si="27"/>
        <v>0</v>
      </c>
      <c r="S74" s="79">
        <v>0</v>
      </c>
      <c r="T74" s="80">
        <f t="shared" si="28"/>
        <v>0</v>
      </c>
      <c r="U74" s="79">
        <v>0</v>
      </c>
      <c r="V74" s="80">
        <f t="shared" si="29"/>
        <v>0</v>
      </c>
    </row>
    <row r="75" spans="1:22" ht="12.75" customHeight="1">
      <c r="A75" s="2" t="s">
        <v>419</v>
      </c>
      <c r="B75" s="35"/>
      <c r="C75" s="134">
        <v>103226.16698711998</v>
      </c>
      <c r="D75" s="80">
        <f t="shared" si="20"/>
        <v>4.4999999999999997E-3</v>
      </c>
      <c r="E75" s="134">
        <v>112931.40815999998</v>
      </c>
      <c r="F75" s="80">
        <f t="shared" si="21"/>
        <v>4.4999999999999997E-3</v>
      </c>
      <c r="G75" s="134">
        <v>123063.568596</v>
      </c>
      <c r="H75" s="80">
        <f t="shared" si="22"/>
        <v>4.4999999999999997E-3</v>
      </c>
      <c r="I75" s="134">
        <v>127714.50235826999</v>
      </c>
      <c r="J75" s="80">
        <f t="shared" si="23"/>
        <v>4.4999999999999997E-3</v>
      </c>
      <c r="K75" s="134">
        <v>132124.50991711169</v>
      </c>
      <c r="L75" s="80">
        <f t="shared" si="24"/>
        <v>4.4999999999999997E-3</v>
      </c>
      <c r="M75" s="134">
        <v>136115.87042012246</v>
      </c>
      <c r="N75" s="80">
        <f t="shared" si="25"/>
        <v>4.4999999999999997E-3</v>
      </c>
      <c r="O75" s="134">
        <v>140315.59175633948</v>
      </c>
      <c r="P75" s="80">
        <f t="shared" si="26"/>
        <v>4.4999999999999997E-3</v>
      </c>
      <c r="Q75" s="134">
        <v>144660.71896191142</v>
      </c>
      <c r="R75" s="80">
        <f t="shared" si="27"/>
        <v>4.4999999999999997E-3</v>
      </c>
      <c r="S75" s="134">
        <v>149119.7858960249</v>
      </c>
      <c r="T75" s="80">
        <f t="shared" si="28"/>
        <v>4.4999999999999997E-3</v>
      </c>
      <c r="U75" s="134">
        <v>153759.383476538</v>
      </c>
      <c r="V75" s="80">
        <f t="shared" si="29"/>
        <v>4.4999999999999997E-3</v>
      </c>
    </row>
    <row r="76" spans="1:22" ht="12.75" customHeight="1">
      <c r="A76" s="2" t="s">
        <v>420</v>
      </c>
      <c r="B76" s="35"/>
      <c r="C76" s="134">
        <v>9175.6592877439998</v>
      </c>
      <c r="D76" s="80">
        <f t="shared" si="20"/>
        <v>4.0000000000000002E-4</v>
      </c>
      <c r="E76" s="134">
        <v>10038.347392</v>
      </c>
      <c r="F76" s="80">
        <f t="shared" si="21"/>
        <v>4.0000000000000002E-4</v>
      </c>
      <c r="G76" s="134">
        <v>10938.983875200001</v>
      </c>
      <c r="H76" s="80">
        <f t="shared" si="22"/>
        <v>4.0000000000000002E-4</v>
      </c>
      <c r="I76" s="134">
        <v>11352.400209624</v>
      </c>
      <c r="J76" s="80">
        <f t="shared" si="23"/>
        <v>4.0000000000000002E-4</v>
      </c>
      <c r="K76" s="134">
        <v>11744.40088152104</v>
      </c>
      <c r="L76" s="80">
        <f t="shared" si="24"/>
        <v>4.0000000000000002E-4</v>
      </c>
      <c r="M76" s="134">
        <v>12099.188481788664</v>
      </c>
      <c r="N76" s="80">
        <f t="shared" si="25"/>
        <v>4.0000000000000002E-4</v>
      </c>
      <c r="O76" s="134">
        <v>12472.497045007955</v>
      </c>
      <c r="P76" s="80">
        <f t="shared" si="26"/>
        <v>4.0000000000000002E-4</v>
      </c>
      <c r="Q76" s="134">
        <v>12858.730574392128</v>
      </c>
      <c r="R76" s="80">
        <f t="shared" si="27"/>
        <v>4.0000000000000002E-4</v>
      </c>
      <c r="S76" s="134">
        <v>13255.09207964666</v>
      </c>
      <c r="T76" s="80">
        <f t="shared" si="28"/>
        <v>4.0000000000000002E-4</v>
      </c>
      <c r="U76" s="134">
        <v>13667.500753470045</v>
      </c>
      <c r="V76" s="80">
        <f t="shared" si="29"/>
        <v>4.0000000000000002E-4</v>
      </c>
    </row>
    <row r="77" spans="1:22" ht="12.75" customHeight="1">
      <c r="A77" s="2" t="s">
        <v>421</v>
      </c>
      <c r="B77" s="35"/>
      <c r="C77" s="134">
        <v>29820.892685167997</v>
      </c>
      <c r="D77" s="80">
        <f t="shared" si="20"/>
        <v>1.2999999999999999E-3</v>
      </c>
      <c r="E77" s="134">
        <v>32624.629023999994</v>
      </c>
      <c r="F77" s="80">
        <f t="shared" si="21"/>
        <v>1.2999999999999999E-3</v>
      </c>
      <c r="G77" s="134">
        <v>35551.697594400001</v>
      </c>
      <c r="H77" s="80">
        <f t="shared" si="22"/>
        <v>1.2999999999999999E-3</v>
      </c>
      <c r="I77" s="134">
        <v>36895.300681278</v>
      </c>
      <c r="J77" s="80">
        <f t="shared" si="23"/>
        <v>1.2999999999999999E-3</v>
      </c>
      <c r="K77" s="134">
        <v>38169.302864943376</v>
      </c>
      <c r="L77" s="80">
        <f t="shared" si="24"/>
        <v>1.2999999999999999E-3</v>
      </c>
      <c r="M77" s="134">
        <v>39322.362565813157</v>
      </c>
      <c r="N77" s="80">
        <f t="shared" si="25"/>
        <v>1.2999999999999999E-3</v>
      </c>
      <c r="O77" s="134">
        <v>40535.615396275847</v>
      </c>
      <c r="P77" s="80">
        <f t="shared" si="26"/>
        <v>1.2999999999999999E-3</v>
      </c>
      <c r="Q77" s="134">
        <v>41790.874366774406</v>
      </c>
      <c r="R77" s="80">
        <f t="shared" si="27"/>
        <v>1.2999999999999997E-3</v>
      </c>
      <c r="S77" s="134">
        <v>43079.049258851643</v>
      </c>
      <c r="T77" s="80">
        <f t="shared" si="28"/>
        <v>1.2999999999999999E-3</v>
      </c>
      <c r="U77" s="134">
        <v>44419.377448777646</v>
      </c>
      <c r="V77" s="80">
        <f t="shared" si="29"/>
        <v>1.2999999999999999E-3</v>
      </c>
    </row>
    <row r="78" spans="1:22" ht="12.75" customHeight="1">
      <c r="A78" s="2" t="s">
        <v>422</v>
      </c>
      <c r="B78" s="35"/>
      <c r="C78" s="134">
        <v>504661.26082591992</v>
      </c>
      <c r="D78" s="80">
        <f t="shared" si="20"/>
        <v>2.1999999999999999E-2</v>
      </c>
      <c r="E78" s="134">
        <v>552109.10655999987</v>
      </c>
      <c r="F78" s="80">
        <f t="shared" si="21"/>
        <v>2.1999999999999999E-2</v>
      </c>
      <c r="G78" s="134">
        <v>601644.113136</v>
      </c>
      <c r="H78" s="80">
        <f t="shared" si="22"/>
        <v>2.1999999999999999E-2</v>
      </c>
      <c r="I78" s="134">
        <v>624382.01152931992</v>
      </c>
      <c r="J78" s="80">
        <f t="shared" si="23"/>
        <v>2.1999999999999999E-2</v>
      </c>
      <c r="K78" s="134">
        <v>645942.04848365718</v>
      </c>
      <c r="L78" s="80">
        <f t="shared" si="24"/>
        <v>2.1999999999999999E-2</v>
      </c>
      <c r="M78" s="134">
        <v>665455.36649837648</v>
      </c>
      <c r="N78" s="80">
        <f t="shared" si="25"/>
        <v>2.1999999999999999E-2</v>
      </c>
      <c r="O78" s="134">
        <v>685987.33747543744</v>
      </c>
      <c r="P78" s="80">
        <f t="shared" si="26"/>
        <v>2.1999999999999999E-2</v>
      </c>
      <c r="Q78" s="134">
        <v>707230.18159156688</v>
      </c>
      <c r="R78" s="80">
        <f t="shared" si="27"/>
        <v>2.1999999999999999E-2</v>
      </c>
      <c r="S78" s="134">
        <v>729030.06438056624</v>
      </c>
      <c r="T78" s="80">
        <f t="shared" si="28"/>
        <v>2.1999999999999999E-2</v>
      </c>
      <c r="U78" s="134">
        <v>751712.54144085245</v>
      </c>
      <c r="V78" s="80">
        <f t="shared" si="29"/>
        <v>2.1999999999999999E-2</v>
      </c>
    </row>
    <row r="79" spans="1:22" ht="12.75" customHeight="1">
      <c r="A79" s="2" t="s">
        <v>423</v>
      </c>
      <c r="B79" s="35"/>
      <c r="C79" s="79">
        <v>1200</v>
      </c>
      <c r="D79" s="80">
        <f t="shared" si="20"/>
        <v>5.2312317289411545E-5</v>
      </c>
      <c r="E79" s="79">
        <v>1230</v>
      </c>
      <c r="F79" s="80">
        <f t="shared" si="21"/>
        <v>4.9012051564592844E-5</v>
      </c>
      <c r="G79" s="79">
        <v>1260.75</v>
      </c>
      <c r="H79" s="80">
        <f t="shared" si="22"/>
        <v>4.6101174090155585E-5</v>
      </c>
      <c r="I79" s="79">
        <v>1292.26875</v>
      </c>
      <c r="J79" s="80">
        <f t="shared" si="23"/>
        <v>4.5532882073853558E-5</v>
      </c>
      <c r="K79" s="79">
        <v>1324.5754687499998</v>
      </c>
      <c r="L79" s="80">
        <f t="shared" si="24"/>
        <v>4.511342833448824E-5</v>
      </c>
      <c r="M79" s="79">
        <v>1357.6898554687498</v>
      </c>
      <c r="N79" s="80">
        <f t="shared" si="25"/>
        <v>4.4885319623288917E-5</v>
      </c>
      <c r="O79" s="79">
        <v>1391.6321018554684</v>
      </c>
      <c r="P79" s="80">
        <f t="shared" si="26"/>
        <v>4.4630424744416713E-5</v>
      </c>
      <c r="Q79" s="79">
        <v>1426.422904401855</v>
      </c>
      <c r="R79" s="80">
        <f t="shared" si="27"/>
        <v>4.4372121996009284E-5</v>
      </c>
      <c r="S79" s="79">
        <v>1462.0834770119013</v>
      </c>
      <c r="T79" s="80">
        <f t="shared" si="28"/>
        <v>4.4121412909894359E-5</v>
      </c>
      <c r="U79" s="79">
        <v>1498.6355639371986</v>
      </c>
      <c r="V79" s="80">
        <f t="shared" si="29"/>
        <v>4.3859827512552644E-5</v>
      </c>
    </row>
    <row r="80" spans="1:22" ht="12.75" customHeight="1">
      <c r="A80" s="2" t="s">
        <v>424</v>
      </c>
      <c r="B80" s="35"/>
      <c r="C80" s="79">
        <v>10000</v>
      </c>
      <c r="D80" s="80">
        <f t="shared" si="20"/>
        <v>4.3593597741176283E-4</v>
      </c>
      <c r="E80" s="79">
        <v>10000</v>
      </c>
      <c r="F80" s="80">
        <f t="shared" si="21"/>
        <v>3.9847196393977919E-4</v>
      </c>
      <c r="G80" s="79">
        <v>10000</v>
      </c>
      <c r="H80" s="80">
        <f t="shared" si="22"/>
        <v>3.6566467650331618E-4</v>
      </c>
      <c r="I80" s="79">
        <v>10000</v>
      </c>
      <c r="J80" s="80">
        <f t="shared" si="23"/>
        <v>3.5234839559382332E-4</v>
      </c>
      <c r="K80" s="79">
        <v>10000</v>
      </c>
      <c r="L80" s="80">
        <f t="shared" si="24"/>
        <v>3.4058782907297628E-4</v>
      </c>
      <c r="M80" s="79">
        <v>10000</v>
      </c>
      <c r="N80" s="80">
        <f t="shared" si="25"/>
        <v>3.3060068499806252E-4</v>
      </c>
      <c r="O80" s="79">
        <v>10000</v>
      </c>
      <c r="P80" s="80">
        <f t="shared" si="26"/>
        <v>3.2070562819663904E-4</v>
      </c>
      <c r="Q80" s="79">
        <v>10000</v>
      </c>
      <c r="R80" s="80">
        <f t="shared" si="27"/>
        <v>3.1107269701769087E-4</v>
      </c>
      <c r="S80" s="79">
        <v>10000</v>
      </c>
      <c r="T80" s="80">
        <f t="shared" si="28"/>
        <v>3.0177081954353561E-4</v>
      </c>
      <c r="U80" s="79">
        <v>10000</v>
      </c>
      <c r="V80" s="80">
        <f t="shared" si="29"/>
        <v>2.9266506526326246E-4</v>
      </c>
    </row>
    <row r="81" spans="1:22" ht="12.75" customHeight="1">
      <c r="A81" s="2" t="s">
        <v>425</v>
      </c>
      <c r="B81" s="35"/>
      <c r="C81" s="79">
        <v>33500</v>
      </c>
      <c r="D81" s="80">
        <f t="shared" si="20"/>
        <v>1.4603855243294057E-3</v>
      </c>
      <c r="E81" s="79">
        <v>36850</v>
      </c>
      <c r="F81" s="80">
        <f t="shared" si="21"/>
        <v>1.4683691871180864E-3</v>
      </c>
      <c r="G81" s="79">
        <v>38692.5</v>
      </c>
      <c r="H81" s="80">
        <f t="shared" si="22"/>
        <v>1.414848049560456E-3</v>
      </c>
      <c r="I81" s="79">
        <v>39659.8125</v>
      </c>
      <c r="J81" s="80">
        <f t="shared" si="23"/>
        <v>1.3974071303926858E-3</v>
      </c>
      <c r="K81" s="79">
        <v>40651.307812499996</v>
      </c>
      <c r="L81" s="80">
        <f t="shared" si="24"/>
        <v>1.3845340676836694E-3</v>
      </c>
      <c r="M81" s="79">
        <v>41667.590507812492</v>
      </c>
      <c r="N81" s="80">
        <f t="shared" si="25"/>
        <v>1.3775333964101578E-3</v>
      </c>
      <c r="O81" s="79">
        <v>42709.280270507799</v>
      </c>
      <c r="P81" s="80">
        <f t="shared" si="26"/>
        <v>1.3697106558979526E-3</v>
      </c>
      <c r="Q81" s="79">
        <v>43777.012277270493</v>
      </c>
      <c r="R81" s="80">
        <f t="shared" si="27"/>
        <v>1.3617833276467098E-3</v>
      </c>
      <c r="S81" s="79">
        <v>44871.437584202249</v>
      </c>
      <c r="T81" s="80">
        <f t="shared" si="28"/>
        <v>1.3540890493881318E-3</v>
      </c>
      <c r="U81" s="79">
        <v>45993.223523807304</v>
      </c>
      <c r="V81" s="80">
        <f t="shared" si="29"/>
        <v>1.3460609764262884E-3</v>
      </c>
    </row>
    <row r="82" spans="1:22" ht="12.75" customHeight="1">
      <c r="A82" s="2" t="s">
        <v>426</v>
      </c>
      <c r="B82" s="35"/>
      <c r="C82" s="79">
        <v>0</v>
      </c>
      <c r="D82" s="80">
        <f t="shared" si="20"/>
        <v>0</v>
      </c>
      <c r="E82" s="79">
        <v>0</v>
      </c>
      <c r="F82" s="80">
        <f t="shared" si="21"/>
        <v>0</v>
      </c>
      <c r="G82" s="79">
        <v>0</v>
      </c>
      <c r="H82" s="80">
        <f t="shared" si="22"/>
        <v>0</v>
      </c>
      <c r="I82" s="79">
        <v>0</v>
      </c>
      <c r="J82" s="80">
        <f t="shared" si="23"/>
        <v>0</v>
      </c>
      <c r="K82" s="79">
        <v>0</v>
      </c>
      <c r="L82" s="80">
        <f t="shared" si="24"/>
        <v>0</v>
      </c>
      <c r="M82" s="79">
        <v>0</v>
      </c>
      <c r="N82" s="80">
        <f t="shared" si="25"/>
        <v>0</v>
      </c>
      <c r="O82" s="79">
        <v>0</v>
      </c>
      <c r="P82" s="80">
        <f t="shared" si="26"/>
        <v>0</v>
      </c>
      <c r="Q82" s="79">
        <v>0</v>
      </c>
      <c r="R82" s="80">
        <f t="shared" si="27"/>
        <v>0</v>
      </c>
      <c r="S82" s="79">
        <v>0</v>
      </c>
      <c r="T82" s="80">
        <f t="shared" si="28"/>
        <v>0</v>
      </c>
      <c r="U82" s="79">
        <v>0</v>
      </c>
      <c r="V82" s="80">
        <f t="shared" si="29"/>
        <v>0</v>
      </c>
    </row>
    <row r="83" spans="1:22" ht="12.75" customHeight="1">
      <c r="A83" s="2" t="s">
        <v>427</v>
      </c>
      <c r="B83" s="35"/>
      <c r="C83" s="79">
        <v>2500</v>
      </c>
      <c r="D83" s="80">
        <f t="shared" si="20"/>
        <v>1.0898399435294071E-4</v>
      </c>
      <c r="E83" s="79">
        <v>2500</v>
      </c>
      <c r="F83" s="80">
        <f t="shared" si="21"/>
        <v>9.9617990984944798E-5</v>
      </c>
      <c r="G83" s="79">
        <v>2500</v>
      </c>
      <c r="H83" s="80">
        <f t="shared" si="22"/>
        <v>9.1416169125829044E-5</v>
      </c>
      <c r="I83" s="79">
        <v>2500</v>
      </c>
      <c r="J83" s="80">
        <f t="shared" si="23"/>
        <v>8.808709889845583E-5</v>
      </c>
      <c r="K83" s="79">
        <v>2500</v>
      </c>
      <c r="L83" s="80">
        <f t="shared" si="24"/>
        <v>8.5146957268244071E-5</v>
      </c>
      <c r="M83" s="79">
        <v>2500</v>
      </c>
      <c r="N83" s="80">
        <f t="shared" si="25"/>
        <v>8.2650171249515629E-5</v>
      </c>
      <c r="O83" s="79">
        <v>2500</v>
      </c>
      <c r="P83" s="80">
        <f t="shared" si="26"/>
        <v>8.0176407049159759E-5</v>
      </c>
      <c r="Q83" s="79">
        <v>2500</v>
      </c>
      <c r="R83" s="80">
        <f t="shared" si="27"/>
        <v>7.7768174254422718E-5</v>
      </c>
      <c r="S83" s="79">
        <v>2500</v>
      </c>
      <c r="T83" s="80">
        <f t="shared" si="28"/>
        <v>7.5442704885883902E-5</v>
      </c>
      <c r="U83" s="79">
        <v>2500</v>
      </c>
      <c r="V83" s="80">
        <f t="shared" si="29"/>
        <v>7.3166266315815616E-5</v>
      </c>
    </row>
    <row r="84" spans="1:22" ht="12.75" customHeight="1">
      <c r="A84" s="2" t="s">
        <v>428</v>
      </c>
      <c r="B84" s="35"/>
      <c r="C84" s="79">
        <v>50000</v>
      </c>
      <c r="D84" s="80">
        <f t="shared" si="20"/>
        <v>2.1796798870588143E-3</v>
      </c>
      <c r="E84" s="79">
        <v>50000</v>
      </c>
      <c r="F84" s="80">
        <f t="shared" si="21"/>
        <v>1.992359819698896E-3</v>
      </c>
      <c r="G84" s="79">
        <v>50000</v>
      </c>
      <c r="H84" s="80">
        <f t="shared" si="22"/>
        <v>1.8283233825165809E-3</v>
      </c>
      <c r="I84" s="79">
        <v>50000</v>
      </c>
      <c r="J84" s="80">
        <f t="shared" si="23"/>
        <v>1.7617419779691165E-3</v>
      </c>
      <c r="K84" s="79">
        <v>50000</v>
      </c>
      <c r="L84" s="80">
        <f t="shared" si="24"/>
        <v>1.7029391453648815E-3</v>
      </c>
      <c r="M84" s="79">
        <v>50000</v>
      </c>
      <c r="N84" s="80">
        <f t="shared" si="25"/>
        <v>1.6530034249903126E-3</v>
      </c>
      <c r="O84" s="79">
        <v>50000</v>
      </c>
      <c r="P84" s="80">
        <f t="shared" si="26"/>
        <v>1.6035281409831951E-3</v>
      </c>
      <c r="Q84" s="79">
        <v>50000</v>
      </c>
      <c r="R84" s="80">
        <f t="shared" si="27"/>
        <v>1.5553634850884544E-3</v>
      </c>
      <c r="S84" s="79">
        <v>50000</v>
      </c>
      <c r="T84" s="80">
        <f t="shared" si="28"/>
        <v>1.5088540977176779E-3</v>
      </c>
      <c r="U84" s="79">
        <v>50000</v>
      </c>
      <c r="V84" s="80">
        <f t="shared" si="29"/>
        <v>1.4633253263163124E-3</v>
      </c>
    </row>
    <row r="85" spans="1:22" ht="12.75" customHeight="1">
      <c r="A85" s="2" t="s">
        <v>429</v>
      </c>
      <c r="B85" s="35"/>
      <c r="C85" s="79">
        <v>5500</v>
      </c>
      <c r="D85" s="80">
        <f t="shared" si="20"/>
        <v>2.3976478757646957E-4</v>
      </c>
      <c r="E85" s="79">
        <v>5582.4999999999991</v>
      </c>
      <c r="F85" s="80">
        <f t="shared" si="21"/>
        <v>2.2244697386938171E-4</v>
      </c>
      <c r="G85" s="79">
        <v>5666.2374999999984</v>
      </c>
      <c r="H85" s="80">
        <f t="shared" si="22"/>
        <v>2.0719429024284583E-4</v>
      </c>
      <c r="I85" s="79">
        <v>5751.2310624999982</v>
      </c>
      <c r="J85" s="80">
        <f t="shared" si="23"/>
        <v>2.0264370375612341E-4</v>
      </c>
      <c r="K85" s="79">
        <v>5837.4995284374972</v>
      </c>
      <c r="L85" s="80">
        <f t="shared" si="24"/>
        <v>1.9881812916050498E-4</v>
      </c>
      <c r="M85" s="79">
        <v>5925.0620213640595</v>
      </c>
      <c r="N85" s="80">
        <f t="shared" si="25"/>
        <v>1.9588295629189629E-4</v>
      </c>
      <c r="O85" s="79">
        <v>6013.9379516845202</v>
      </c>
      <c r="P85" s="80">
        <f t="shared" si="26"/>
        <v>1.9287037487305926E-4</v>
      </c>
      <c r="Q85" s="79">
        <v>6104.1470209597874</v>
      </c>
      <c r="R85" s="80">
        <f t="shared" si="27"/>
        <v>1.8988334768024642E-4</v>
      </c>
      <c r="S85" s="79">
        <v>6195.7092262741835</v>
      </c>
      <c r="T85" s="80">
        <f t="shared" si="28"/>
        <v>1.8696842508662053E-4</v>
      </c>
      <c r="U85" s="79">
        <v>6288.6448646682957</v>
      </c>
      <c r="V85" s="80">
        <f t="shared" si="29"/>
        <v>1.8404666597356272E-4</v>
      </c>
    </row>
    <row r="86" spans="1:22" ht="12.75" customHeight="1">
      <c r="A86" s="2" t="s">
        <v>430</v>
      </c>
      <c r="B86" s="35"/>
      <c r="C86" s="134">
        <v>91756.592877439994</v>
      </c>
      <c r="D86" s="80">
        <f t="shared" ref="D86:D105" si="60">IFERROR(C86/C$28,0)</f>
        <v>4.0000000000000001E-3</v>
      </c>
      <c r="E86" s="134">
        <v>100383.47391999999</v>
      </c>
      <c r="F86" s="80">
        <f t="shared" ref="F86:F105" si="61">IFERROR(E86/E$28,0)</f>
        <v>4.0000000000000001E-3</v>
      </c>
      <c r="G86" s="134">
        <v>109389.83875200001</v>
      </c>
      <c r="H86" s="80">
        <f t="shared" ref="H86:H105" si="62">IFERROR(G86/G$28,0)</f>
        <v>4.0000000000000001E-3</v>
      </c>
      <c r="I86" s="134">
        <v>113524.00209624</v>
      </c>
      <c r="J86" s="80">
        <f t="shared" ref="J86:J105" si="63">IFERROR(I86/I$28,0)</f>
        <v>4.0000000000000001E-3</v>
      </c>
      <c r="K86" s="134">
        <v>117444.0088152104</v>
      </c>
      <c r="L86" s="80">
        <f t="shared" ref="L86:L105" si="64">IFERROR(K86/K$28,0)</f>
        <v>4.0000000000000001E-3</v>
      </c>
      <c r="M86" s="134">
        <v>120991.88481788663</v>
      </c>
      <c r="N86" s="80">
        <f t="shared" ref="N86:N105" si="65">IFERROR(M86/M$28,0)</f>
        <v>4.0000000000000001E-3</v>
      </c>
      <c r="O86" s="134">
        <v>124724.97045007955</v>
      </c>
      <c r="P86" s="80">
        <f t="shared" ref="P86:P105" si="66">IFERROR(O86/O$28,0)</f>
        <v>4.0000000000000001E-3</v>
      </c>
      <c r="Q86" s="134">
        <v>128587.30574392127</v>
      </c>
      <c r="R86" s="80">
        <f t="shared" ref="R86:R105" si="67">IFERROR(Q86/Q$28,0)</f>
        <v>4.0000000000000001E-3</v>
      </c>
      <c r="S86" s="134">
        <v>132550.92079646658</v>
      </c>
      <c r="T86" s="80">
        <f t="shared" ref="T86:T105" si="68">IFERROR(S86/S$28,0)</f>
        <v>4.0000000000000001E-3</v>
      </c>
      <c r="U86" s="134">
        <v>136675.00753470045</v>
      </c>
      <c r="V86" s="80">
        <f t="shared" si="29"/>
        <v>4.0000000000000001E-3</v>
      </c>
    </row>
    <row r="87" spans="1:22" ht="12.75" customHeight="1">
      <c r="A87" s="2" t="s">
        <v>431</v>
      </c>
      <c r="B87" s="35"/>
      <c r="C87" s="79">
        <v>77899</v>
      </c>
      <c r="D87" s="80">
        <f t="shared" si="60"/>
        <v>3.3958976704398913E-3</v>
      </c>
      <c r="E87" s="79">
        <v>85688.900000000009</v>
      </c>
      <c r="F87" s="80">
        <f t="shared" si="61"/>
        <v>3.4144624270839347E-3</v>
      </c>
      <c r="G87" s="79">
        <v>94257.790000000023</v>
      </c>
      <c r="H87" s="80">
        <f t="shared" si="62"/>
        <v>3.4466744288267517E-3</v>
      </c>
      <c r="I87" s="79">
        <v>96614.234750000018</v>
      </c>
      <c r="J87" s="80">
        <f t="shared" si="63"/>
        <v>3.4041870605687518E-3</v>
      </c>
      <c r="K87" s="79">
        <v>99029.590618750008</v>
      </c>
      <c r="L87" s="80">
        <f t="shared" si="64"/>
        <v>3.3728273282825644E-3</v>
      </c>
      <c r="M87" s="79">
        <v>101505.33038421875</v>
      </c>
      <c r="N87" s="80">
        <f t="shared" si="65"/>
        <v>3.3557731755977363E-3</v>
      </c>
      <c r="O87" s="79">
        <v>104042.9636438242</v>
      </c>
      <c r="P87" s="80">
        <f t="shared" si="66"/>
        <v>3.3367164014832715E-3</v>
      </c>
      <c r="Q87" s="79">
        <v>106644.0377349198</v>
      </c>
      <c r="R87" s="80">
        <f t="shared" si="67"/>
        <v>3.3174048439057898E-3</v>
      </c>
      <c r="S87" s="79">
        <v>109310.13867829279</v>
      </c>
      <c r="T87" s="80">
        <f t="shared" si="68"/>
        <v>3.2986610133365945E-3</v>
      </c>
      <c r="U87" s="79">
        <v>112042.89214525009</v>
      </c>
      <c r="V87" s="80">
        <f t="shared" si="29"/>
        <v>3.2791040341974297E-3</v>
      </c>
    </row>
    <row r="88" spans="1:22" ht="12.75" customHeight="1">
      <c r="A88" s="2" t="s">
        <v>432</v>
      </c>
      <c r="B88" s="35"/>
      <c r="C88" s="134">
        <v>116989.655918736</v>
      </c>
      <c r="D88" s="80">
        <f t="shared" si="60"/>
        <v>5.1000000000000004E-3</v>
      </c>
      <c r="E88" s="134">
        <v>127988.92924799999</v>
      </c>
      <c r="F88" s="80">
        <f t="shared" si="61"/>
        <v>5.1000000000000004E-3</v>
      </c>
      <c r="G88" s="134">
        <v>139472.04440880002</v>
      </c>
      <c r="H88" s="80">
        <f t="shared" si="62"/>
        <v>5.1000000000000004E-3</v>
      </c>
      <c r="I88" s="134">
        <v>144743.10267270601</v>
      </c>
      <c r="J88" s="80">
        <f t="shared" si="63"/>
        <v>5.1000000000000004E-3</v>
      </c>
      <c r="K88" s="134">
        <v>149741.11123939327</v>
      </c>
      <c r="L88" s="80">
        <f t="shared" si="64"/>
        <v>5.1000000000000004E-3</v>
      </c>
      <c r="M88" s="134">
        <v>154264.65314280547</v>
      </c>
      <c r="N88" s="80">
        <f t="shared" si="65"/>
        <v>5.1000000000000004E-3</v>
      </c>
      <c r="O88" s="134">
        <v>159024.33732385142</v>
      </c>
      <c r="P88" s="80">
        <f t="shared" si="66"/>
        <v>5.0999999999999995E-3</v>
      </c>
      <c r="Q88" s="134">
        <v>163948.81482349962</v>
      </c>
      <c r="R88" s="80">
        <f t="shared" si="67"/>
        <v>5.1000000000000004E-3</v>
      </c>
      <c r="S88" s="134">
        <v>169002.42401549491</v>
      </c>
      <c r="T88" s="80">
        <f t="shared" si="68"/>
        <v>5.1000000000000004E-3</v>
      </c>
      <c r="U88" s="134">
        <v>174260.63460674309</v>
      </c>
      <c r="V88" s="80">
        <f t="shared" si="29"/>
        <v>5.1000000000000004E-3</v>
      </c>
    </row>
    <row r="89" spans="1:22" ht="12.75" customHeight="1">
      <c r="A89" s="2" t="s">
        <v>433</v>
      </c>
      <c r="B89" s="35"/>
      <c r="C89" s="79">
        <v>33024</v>
      </c>
      <c r="D89" s="80">
        <f t="shared" si="60"/>
        <v>1.4396349718046057E-3</v>
      </c>
      <c r="E89" s="79">
        <v>34675.200000000004</v>
      </c>
      <c r="F89" s="80">
        <f t="shared" si="61"/>
        <v>1.3817095044004633E-3</v>
      </c>
      <c r="G89" s="79">
        <v>35542.080000000002</v>
      </c>
      <c r="H89" s="80">
        <f t="shared" si="62"/>
        <v>1.2996483185454984E-3</v>
      </c>
      <c r="I89" s="79">
        <v>36430.631999999998</v>
      </c>
      <c r="J89" s="80">
        <f t="shared" si="63"/>
        <v>1.2836274735668997E-3</v>
      </c>
      <c r="K89" s="79">
        <v>37341.397799999992</v>
      </c>
      <c r="L89" s="80">
        <f t="shared" si="64"/>
        <v>1.2718025611252409E-3</v>
      </c>
      <c r="M89" s="79">
        <v>38274.932744999991</v>
      </c>
      <c r="N89" s="80">
        <f t="shared" si="65"/>
        <v>1.2653718983751769E-3</v>
      </c>
      <c r="O89" s="79">
        <v>39231.806063624987</v>
      </c>
      <c r="P89" s="80">
        <f t="shared" si="66"/>
        <v>1.2581861008923564E-3</v>
      </c>
      <c r="Q89" s="79">
        <v>40212.601215215611</v>
      </c>
      <c r="R89" s="80">
        <f t="shared" si="67"/>
        <v>1.2509042314113993E-3</v>
      </c>
      <c r="S89" s="79">
        <v>41217.916245595996</v>
      </c>
      <c r="T89" s="80">
        <f t="shared" si="68"/>
        <v>1.2438364365310315E-3</v>
      </c>
      <c r="U89" s="79">
        <v>42248.364151735892</v>
      </c>
      <c r="V89" s="80">
        <f t="shared" si="29"/>
        <v>1.2364620251733864E-3</v>
      </c>
    </row>
    <row r="90" spans="1:22" ht="12.75" customHeight="1">
      <c r="A90" s="2" t="s">
        <v>434</v>
      </c>
      <c r="B90" s="35"/>
      <c r="C90" s="134">
        <v>4587.8296438719999</v>
      </c>
      <c r="D90" s="80">
        <f t="shared" si="60"/>
        <v>2.0000000000000001E-4</v>
      </c>
      <c r="E90" s="134">
        <v>5019.1736959999998</v>
      </c>
      <c r="F90" s="80">
        <f t="shared" si="61"/>
        <v>2.0000000000000001E-4</v>
      </c>
      <c r="G90" s="134">
        <v>5469.4919376000007</v>
      </c>
      <c r="H90" s="80">
        <f t="shared" si="62"/>
        <v>2.0000000000000001E-4</v>
      </c>
      <c r="I90" s="134">
        <v>5676.2001048120001</v>
      </c>
      <c r="J90" s="80">
        <f t="shared" si="63"/>
        <v>2.0000000000000001E-4</v>
      </c>
      <c r="K90" s="134">
        <v>5872.20044076052</v>
      </c>
      <c r="L90" s="80">
        <f t="shared" si="64"/>
        <v>2.0000000000000001E-4</v>
      </c>
      <c r="M90" s="134">
        <v>6049.594240894332</v>
      </c>
      <c r="N90" s="80">
        <f t="shared" si="65"/>
        <v>2.0000000000000001E-4</v>
      </c>
      <c r="O90" s="134">
        <v>6236.2485225039773</v>
      </c>
      <c r="P90" s="80">
        <f t="shared" si="66"/>
        <v>2.0000000000000001E-4</v>
      </c>
      <c r="Q90" s="134">
        <v>6429.3652871960639</v>
      </c>
      <c r="R90" s="80">
        <f t="shared" si="67"/>
        <v>2.0000000000000001E-4</v>
      </c>
      <c r="S90" s="134">
        <v>6627.5460398233299</v>
      </c>
      <c r="T90" s="80">
        <f t="shared" si="68"/>
        <v>2.0000000000000001E-4</v>
      </c>
      <c r="U90" s="134">
        <v>6833.7503767350227</v>
      </c>
      <c r="V90" s="80">
        <f t="shared" si="29"/>
        <v>2.0000000000000001E-4</v>
      </c>
    </row>
    <row r="91" spans="1:22" ht="12.75" customHeight="1">
      <c r="A91" s="2" t="s">
        <v>435</v>
      </c>
      <c r="C91" s="79">
        <v>44522</v>
      </c>
      <c r="D91" s="80">
        <f t="shared" si="60"/>
        <v>1.9408741586326506E-3</v>
      </c>
      <c r="E91" s="79">
        <v>48974.200000000004</v>
      </c>
      <c r="F91" s="80">
        <f t="shared" si="61"/>
        <v>1.9514845656379537E-3</v>
      </c>
      <c r="G91" s="79">
        <v>51422.91</v>
      </c>
      <c r="H91" s="80">
        <f t="shared" si="62"/>
        <v>1.8803541750009142E-3</v>
      </c>
      <c r="I91" s="79">
        <v>52708.482749999996</v>
      </c>
      <c r="J91" s="80">
        <f t="shared" si="63"/>
        <v>1.8571749331147212E-3</v>
      </c>
      <c r="K91" s="79">
        <v>54026.194818749987</v>
      </c>
      <c r="L91" s="80">
        <f t="shared" si="64"/>
        <v>1.8400664406391738E-3</v>
      </c>
      <c r="M91" s="79">
        <v>55376.849689218732</v>
      </c>
      <c r="N91" s="80">
        <f t="shared" si="65"/>
        <v>1.8307624440290456E-3</v>
      </c>
      <c r="O91" s="79">
        <v>56761.270931449195</v>
      </c>
      <c r="P91" s="80">
        <f t="shared" si="66"/>
        <v>1.820365905131004E-3</v>
      </c>
      <c r="Q91" s="79">
        <v>58180.302704735419</v>
      </c>
      <c r="R91" s="80">
        <f t="shared" si="67"/>
        <v>1.8098303675667701E-3</v>
      </c>
      <c r="S91" s="79">
        <v>59634.810272353796</v>
      </c>
      <c r="T91" s="80">
        <f t="shared" si="68"/>
        <v>1.7996045569211461E-3</v>
      </c>
      <c r="U91" s="79">
        <v>61125.680529162637</v>
      </c>
      <c r="V91" s="80">
        <f t="shared" si="29"/>
        <v>1.7889351281328717E-3</v>
      </c>
    </row>
    <row r="92" spans="1:22" ht="12.75" customHeight="1">
      <c r="A92" s="2" t="s">
        <v>436</v>
      </c>
      <c r="B92" s="35"/>
      <c r="C92" s="134">
        <v>119283.57074067199</v>
      </c>
      <c r="D92" s="80">
        <f t="shared" si="60"/>
        <v>5.1999999999999998E-3</v>
      </c>
      <c r="E92" s="134">
        <v>130498.51609599998</v>
      </c>
      <c r="F92" s="80">
        <f t="shared" si="61"/>
        <v>5.1999999999999998E-3</v>
      </c>
      <c r="G92" s="134">
        <v>142206.7903776</v>
      </c>
      <c r="H92" s="80">
        <f t="shared" si="62"/>
        <v>5.1999999999999998E-3</v>
      </c>
      <c r="I92" s="134">
        <v>147581.202725112</v>
      </c>
      <c r="J92" s="80">
        <f t="shared" si="63"/>
        <v>5.1999999999999998E-3</v>
      </c>
      <c r="K92" s="134">
        <v>152677.21145977351</v>
      </c>
      <c r="L92" s="80">
        <f t="shared" si="64"/>
        <v>5.1999999999999998E-3</v>
      </c>
      <c r="M92" s="134">
        <v>157289.45026325263</v>
      </c>
      <c r="N92" s="80">
        <f t="shared" si="65"/>
        <v>5.1999999999999998E-3</v>
      </c>
      <c r="O92" s="134">
        <v>162142.46158510339</v>
      </c>
      <c r="P92" s="80">
        <f t="shared" si="66"/>
        <v>5.1999999999999998E-3</v>
      </c>
      <c r="Q92" s="134">
        <v>167163.49746709762</v>
      </c>
      <c r="R92" s="80">
        <f t="shared" si="67"/>
        <v>5.1999999999999989E-3</v>
      </c>
      <c r="S92" s="134">
        <v>172316.19703540657</v>
      </c>
      <c r="T92" s="80">
        <f t="shared" si="68"/>
        <v>5.1999999999999998E-3</v>
      </c>
      <c r="U92" s="134">
        <v>177677.50979511059</v>
      </c>
      <c r="V92" s="80">
        <f t="shared" si="29"/>
        <v>5.1999999999999998E-3</v>
      </c>
    </row>
    <row r="93" spans="1:22" ht="12.75" customHeight="1">
      <c r="A93" s="2" t="s">
        <v>437</v>
      </c>
      <c r="B93" s="35"/>
      <c r="C93" s="79">
        <v>24534</v>
      </c>
      <c r="D93" s="80">
        <f t="shared" si="60"/>
        <v>1.0695253269820189E-3</v>
      </c>
      <c r="E93" s="79">
        <v>25024.68</v>
      </c>
      <c r="F93" s="80">
        <f t="shared" si="61"/>
        <v>9.9716333865645132E-4</v>
      </c>
      <c r="G93" s="79">
        <v>25525.173600000002</v>
      </c>
      <c r="H93" s="80">
        <f t="shared" si="62"/>
        <v>9.3336543471349872E-4</v>
      </c>
      <c r="I93" s="79">
        <v>26035.677072000002</v>
      </c>
      <c r="J93" s="80">
        <f t="shared" si="63"/>
        <v>9.1736290445180925E-4</v>
      </c>
      <c r="K93" s="79">
        <v>26556.390613440002</v>
      </c>
      <c r="L93" s="80">
        <f t="shared" si="64"/>
        <v>9.0447834270454954E-4</v>
      </c>
      <c r="M93" s="79">
        <v>27087.518425708804</v>
      </c>
      <c r="N93" s="80">
        <f t="shared" si="65"/>
        <v>8.9551521464369696E-4</v>
      </c>
      <c r="O93" s="79">
        <v>27629.268794222982</v>
      </c>
      <c r="P93" s="80">
        <f t="shared" si="66"/>
        <v>8.8608620052650763E-4</v>
      </c>
      <c r="Q93" s="79">
        <v>28181.854170107443</v>
      </c>
      <c r="R93" s="80">
        <f t="shared" si="67"/>
        <v>8.7666053836545803E-4</v>
      </c>
      <c r="S93" s="79">
        <v>28745.491253509594</v>
      </c>
      <c r="T93" s="80">
        <f t="shared" si="68"/>
        <v>8.674550453753125E-4</v>
      </c>
      <c r="U93" s="79">
        <v>29320.401078579787</v>
      </c>
      <c r="V93" s="80">
        <f t="shared" si="29"/>
        <v>8.5810570952075851E-4</v>
      </c>
    </row>
    <row r="94" spans="1:22" ht="12.75" customHeight="1">
      <c r="A94" s="2" t="s">
        <v>438</v>
      </c>
      <c r="B94" s="35"/>
      <c r="C94" s="79">
        <v>12000</v>
      </c>
      <c r="D94" s="80">
        <f t="shared" si="60"/>
        <v>5.2312317289411538E-4</v>
      </c>
      <c r="E94" s="79">
        <v>12240</v>
      </c>
      <c r="F94" s="80">
        <f t="shared" si="61"/>
        <v>4.8772968386228972E-4</v>
      </c>
      <c r="G94" s="79">
        <v>12484.800000000001</v>
      </c>
      <c r="H94" s="80">
        <f t="shared" si="62"/>
        <v>4.5652503532086022E-4</v>
      </c>
      <c r="I94" s="79">
        <v>12734.496000000001</v>
      </c>
      <c r="J94" s="80">
        <f t="shared" si="63"/>
        <v>4.486979234295961E-4</v>
      </c>
      <c r="K94" s="79">
        <v>12989.185920000002</v>
      </c>
      <c r="L94" s="80">
        <f t="shared" si="64"/>
        <v>4.423958633918071E-4</v>
      </c>
      <c r="M94" s="79">
        <v>13248.969638400002</v>
      </c>
      <c r="N94" s="80">
        <f t="shared" si="65"/>
        <v>4.3801184379735732E-4</v>
      </c>
      <c r="O94" s="79">
        <v>13513.949031168002</v>
      </c>
      <c r="P94" s="80">
        <f t="shared" si="66"/>
        <v>4.3339995134580953E-4</v>
      </c>
      <c r="Q94" s="79">
        <v>13784.228011791361</v>
      </c>
      <c r="R94" s="80">
        <f t="shared" si="67"/>
        <v>4.2878969839347413E-4</v>
      </c>
      <c r="S94" s="79">
        <v>14059.91257202719</v>
      </c>
      <c r="T94" s="80">
        <f t="shared" si="68"/>
        <v>4.2428713395711046E-4</v>
      </c>
      <c r="U94" s="79">
        <v>14341.110823467734</v>
      </c>
      <c r="V94" s="80">
        <f t="shared" si="29"/>
        <v>4.1971421350978642E-4</v>
      </c>
    </row>
    <row r="95" spans="1:22" ht="12.75" customHeight="1">
      <c r="A95" s="2" t="s">
        <v>439</v>
      </c>
      <c r="B95" s="35"/>
      <c r="C95" s="79">
        <v>400000</v>
      </c>
      <c r="D95" s="80">
        <f t="shared" si="60"/>
        <v>1.7437439096470515E-2</v>
      </c>
      <c r="E95" s="79">
        <v>495000</v>
      </c>
      <c r="F95" s="80">
        <f t="shared" si="61"/>
        <v>1.9724362215019071E-2</v>
      </c>
      <c r="G95" s="79">
        <v>504900</v>
      </c>
      <c r="H95" s="80">
        <f t="shared" si="62"/>
        <v>1.8462409516652432E-2</v>
      </c>
      <c r="I95" s="79">
        <v>514998</v>
      </c>
      <c r="J95" s="80">
        <f t="shared" si="63"/>
        <v>1.8145871903402784E-2</v>
      </c>
      <c r="K95" s="79">
        <v>525297.96</v>
      </c>
      <c r="L95" s="80">
        <f t="shared" si="64"/>
        <v>1.7891009181286312E-2</v>
      </c>
      <c r="M95" s="79">
        <v>535803.9192</v>
      </c>
      <c r="N95" s="80">
        <f t="shared" si="65"/>
        <v>1.7713714271216652E-2</v>
      </c>
      <c r="O95" s="79">
        <v>546519.997584</v>
      </c>
      <c r="P95" s="80">
        <f t="shared" si="66"/>
        <v>1.7527203914720235E-2</v>
      </c>
      <c r="Q95" s="79">
        <v>557450.39753567998</v>
      </c>
      <c r="R95" s="80">
        <f t="shared" si="67"/>
        <v>1.7340759861500792E-2</v>
      </c>
      <c r="S95" s="79">
        <v>568599.4054863936</v>
      </c>
      <c r="T95" s="80">
        <f t="shared" si="68"/>
        <v>1.715867085855961E-2</v>
      </c>
      <c r="U95" s="79">
        <v>579971.39359612146</v>
      </c>
      <c r="V95" s="80">
        <f t="shared" si="29"/>
        <v>1.6973736575763419E-2</v>
      </c>
    </row>
    <row r="96" spans="1:22" ht="12.75" customHeight="1">
      <c r="A96" s="2" t="s">
        <v>440</v>
      </c>
      <c r="B96" s="35"/>
      <c r="C96" s="79">
        <v>15273</v>
      </c>
      <c r="D96" s="80">
        <f t="shared" si="60"/>
        <v>6.658050183009854E-4</v>
      </c>
      <c r="E96" s="79">
        <v>15731.19</v>
      </c>
      <c r="F96" s="80">
        <f t="shared" si="61"/>
        <v>6.2684381744098152E-4</v>
      </c>
      <c r="G96" s="79">
        <v>16203.125700000001</v>
      </c>
      <c r="H96" s="80">
        <f t="shared" si="62"/>
        <v>5.9249107174330683E-4</v>
      </c>
      <c r="I96" s="79">
        <v>16689.219471</v>
      </c>
      <c r="J96" s="80">
        <f t="shared" si="63"/>
        <v>5.880419704320047E-4</v>
      </c>
      <c r="K96" s="79">
        <v>17189.896055130001</v>
      </c>
      <c r="L96" s="80">
        <f t="shared" si="64"/>
        <v>5.8546693794068463E-4</v>
      </c>
      <c r="M96" s="79">
        <v>17705.592936783902</v>
      </c>
      <c r="N96" s="80">
        <f t="shared" si="65"/>
        <v>5.8534811531976152E-4</v>
      </c>
      <c r="O96" s="79">
        <v>18236.760724887419</v>
      </c>
      <c r="P96" s="80">
        <f t="shared" si="66"/>
        <v>5.8486318045468139E-4</v>
      </c>
      <c r="Q96" s="79">
        <v>18783.863546634042</v>
      </c>
      <c r="R96" s="80">
        <f t="shared" si="67"/>
        <v>5.8431470938637392E-4</v>
      </c>
      <c r="S96" s="79">
        <v>19347.379453033063</v>
      </c>
      <c r="T96" s="80">
        <f t="shared" si="68"/>
        <v>5.8384745535615488E-4</v>
      </c>
      <c r="U96" s="79">
        <v>19927.800836624057</v>
      </c>
      <c r="V96" s="80">
        <f t="shared" si="29"/>
        <v>5.8321711324038769E-4</v>
      </c>
    </row>
    <row r="97" spans="1:22" ht="12.75" customHeight="1">
      <c r="A97" s="2" t="s">
        <v>441</v>
      </c>
      <c r="B97" s="35"/>
      <c r="C97" s="79">
        <v>276064.44290000002</v>
      </c>
      <c r="D97" s="80">
        <f t="shared" ref="D97" si="69">IFERROR(C97/C$28,0)</f>
        <v>1.203464227442453E-2</v>
      </c>
      <c r="E97" s="79">
        <v>304642.54259819776</v>
      </c>
      <c r="F97" s="80">
        <f t="shared" ref="F97" si="70">IFERROR(E97/E$28,0)</f>
        <v>1.2139151224871171E-2</v>
      </c>
      <c r="G97" s="79">
        <v>335167.10382403608</v>
      </c>
      <c r="H97" s="80">
        <f t="shared" ref="H97" si="71">IFERROR(G97/G$28,0)</f>
        <v>1.2255877059436954E-2</v>
      </c>
      <c r="I97" s="79">
        <v>344850.79698272352</v>
      </c>
      <c r="J97" s="80">
        <f t="shared" ref="J97" si="72">IFERROR(I97/I$28,0)</f>
        <v>1.2150762503611393E-2</v>
      </c>
      <c r="K97" s="79">
        <v>352778.21041938534</v>
      </c>
      <c r="L97" s="80">
        <f t="shared" ref="L97" si="73">IFERROR(K97/K$28,0)</f>
        <v>1.2015196483098808E-2</v>
      </c>
      <c r="M97" s="79">
        <v>361284.80589925236</v>
      </c>
      <c r="N97" s="80">
        <f t="shared" ref="N97" si="74">IFERROR(M97/M$28,0)</f>
        <v>1.1944100430968487E-2</v>
      </c>
      <c r="O97" s="79">
        <v>369985.93550299422</v>
      </c>
      <c r="P97" s="80">
        <f t="shared" ref="P97" si="75">IFERROR(O97/O$28,0)</f>
        <v>1.1865657186940893E-2</v>
      </c>
      <c r="Q97" s="79">
        <v>378167.25847872091</v>
      </c>
      <c r="R97" s="80">
        <f t="shared" ref="R97" si="76">IFERROR(Q97/Q$28,0)</f>
        <v>1.1763750901876193E-2</v>
      </c>
      <c r="S97" s="79">
        <v>384146.16185435682</v>
      </c>
      <c r="T97" s="80">
        <f t="shared" ref="T97" si="77">IFERROR(S97/S$28,0)</f>
        <v>1.1592410208729293E-2</v>
      </c>
      <c r="U97" s="79">
        <v>393427.8305950553</v>
      </c>
      <c r="V97" s="80">
        <f t="shared" ref="V97" si="78">IFERROR(U97/U$28,0)</f>
        <v>1.1514258171748564E-2</v>
      </c>
    </row>
    <row r="98" spans="1:22" ht="12.75" customHeight="1">
      <c r="A98" s="117" t="s">
        <v>442</v>
      </c>
      <c r="B98" s="35"/>
      <c r="C98" s="134">
        <v>27526.977863231994</v>
      </c>
      <c r="D98" s="80">
        <f t="shared" si="60"/>
        <v>1.1999999999999999E-3</v>
      </c>
      <c r="E98" s="134">
        <v>30115.042175999992</v>
      </c>
      <c r="F98" s="80">
        <f t="shared" si="61"/>
        <v>1.1999999999999999E-3</v>
      </c>
      <c r="G98" s="134">
        <v>32816.951625599999</v>
      </c>
      <c r="H98" s="80">
        <f t="shared" si="62"/>
        <v>1.1999999999999999E-3</v>
      </c>
      <c r="I98" s="134">
        <v>34057.200628871993</v>
      </c>
      <c r="J98" s="80">
        <f t="shared" si="63"/>
        <v>1.1999999999999997E-3</v>
      </c>
      <c r="K98" s="134">
        <v>35233.20264456312</v>
      </c>
      <c r="L98" s="80">
        <f t="shared" si="64"/>
        <v>1.1999999999999999E-3</v>
      </c>
      <c r="M98" s="134">
        <v>36297.565445365988</v>
      </c>
      <c r="N98" s="80">
        <f t="shared" si="65"/>
        <v>1.1999999999999999E-3</v>
      </c>
      <c r="O98" s="134">
        <v>37417.491135023862</v>
      </c>
      <c r="P98" s="80">
        <f t="shared" si="66"/>
        <v>1.1999999999999999E-3</v>
      </c>
      <c r="Q98" s="134">
        <v>38576.191723176373</v>
      </c>
      <c r="R98" s="80">
        <f t="shared" si="67"/>
        <v>1.1999999999999999E-3</v>
      </c>
      <c r="S98" s="134">
        <v>39765.276238939972</v>
      </c>
      <c r="T98" s="80">
        <f t="shared" si="68"/>
        <v>1.1999999999999999E-3</v>
      </c>
      <c r="U98" s="134">
        <v>41002.502260410132</v>
      </c>
      <c r="V98" s="80">
        <f t="shared" si="29"/>
        <v>1.1999999999999999E-3</v>
      </c>
    </row>
    <row r="99" spans="1:22" ht="12.75" customHeight="1">
      <c r="A99" s="117" t="s">
        <v>443</v>
      </c>
      <c r="B99" s="35"/>
      <c r="C99" s="134">
        <v>0</v>
      </c>
      <c r="D99" s="80">
        <f t="shared" si="60"/>
        <v>0</v>
      </c>
      <c r="E99" s="134">
        <v>0</v>
      </c>
      <c r="F99" s="80">
        <f t="shared" si="61"/>
        <v>0</v>
      </c>
      <c r="G99" s="134">
        <v>0</v>
      </c>
      <c r="H99" s="80">
        <f t="shared" si="62"/>
        <v>0</v>
      </c>
      <c r="I99" s="134">
        <v>0</v>
      </c>
      <c r="J99" s="80">
        <f t="shared" si="63"/>
        <v>0</v>
      </c>
      <c r="K99" s="134">
        <v>0</v>
      </c>
      <c r="L99" s="80">
        <f t="shared" si="64"/>
        <v>0</v>
      </c>
      <c r="M99" s="134">
        <v>0</v>
      </c>
      <c r="N99" s="80">
        <f t="shared" si="65"/>
        <v>0</v>
      </c>
      <c r="O99" s="134">
        <v>0</v>
      </c>
      <c r="P99" s="80">
        <f t="shared" si="66"/>
        <v>0</v>
      </c>
      <c r="Q99" s="134">
        <v>0</v>
      </c>
      <c r="R99" s="80">
        <f t="shared" si="67"/>
        <v>0</v>
      </c>
      <c r="S99" s="134">
        <v>0</v>
      </c>
      <c r="T99" s="80">
        <f t="shared" si="68"/>
        <v>0</v>
      </c>
      <c r="U99" s="134">
        <v>0</v>
      </c>
      <c r="V99" s="80">
        <f t="shared" si="29"/>
        <v>0</v>
      </c>
    </row>
    <row r="100" spans="1:22" ht="12.75" customHeight="1">
      <c r="A100" s="117" t="s">
        <v>444</v>
      </c>
      <c r="B100" s="35"/>
      <c r="C100" s="134">
        <v>0</v>
      </c>
      <c r="D100" s="80">
        <f t="shared" si="60"/>
        <v>0</v>
      </c>
      <c r="E100" s="134">
        <v>0</v>
      </c>
      <c r="F100" s="80">
        <f t="shared" si="61"/>
        <v>0</v>
      </c>
      <c r="G100" s="134">
        <v>0</v>
      </c>
      <c r="H100" s="80">
        <f t="shared" si="62"/>
        <v>0</v>
      </c>
      <c r="I100" s="134">
        <v>0</v>
      </c>
      <c r="J100" s="80">
        <f t="shared" si="63"/>
        <v>0</v>
      </c>
      <c r="K100" s="134">
        <v>0</v>
      </c>
      <c r="L100" s="80">
        <f t="shared" si="64"/>
        <v>0</v>
      </c>
      <c r="M100" s="134">
        <v>0</v>
      </c>
      <c r="N100" s="80">
        <f t="shared" si="65"/>
        <v>0</v>
      </c>
      <c r="O100" s="134">
        <v>0</v>
      </c>
      <c r="P100" s="80">
        <f t="shared" si="66"/>
        <v>0</v>
      </c>
      <c r="Q100" s="134">
        <v>0</v>
      </c>
      <c r="R100" s="80">
        <f t="shared" si="67"/>
        <v>0</v>
      </c>
      <c r="S100" s="134">
        <v>0</v>
      </c>
      <c r="T100" s="80">
        <f t="shared" si="68"/>
        <v>0</v>
      </c>
      <c r="U100" s="134">
        <v>0</v>
      </c>
      <c r="V100" s="80">
        <f t="shared" si="29"/>
        <v>0</v>
      </c>
    </row>
    <row r="101" spans="1:22" ht="12.75" customHeight="1">
      <c r="A101" s="2" t="s">
        <v>445</v>
      </c>
      <c r="B101" s="35"/>
      <c r="C101" s="79">
        <v>25000</v>
      </c>
      <c r="D101" s="80">
        <f t="shared" si="60"/>
        <v>1.0898399435294072E-3</v>
      </c>
      <c r="E101" s="79">
        <v>148000</v>
      </c>
      <c r="F101" s="80">
        <f t="shared" si="61"/>
        <v>5.8973850663087317E-3</v>
      </c>
      <c r="G101" s="79">
        <v>103000</v>
      </c>
      <c r="H101" s="80">
        <f t="shared" si="62"/>
        <v>3.7663461679841564E-3</v>
      </c>
      <c r="I101" s="79">
        <v>0</v>
      </c>
      <c r="J101" s="80">
        <f t="shared" si="63"/>
        <v>0</v>
      </c>
      <c r="K101" s="79">
        <v>0</v>
      </c>
      <c r="L101" s="80">
        <f t="shared" si="64"/>
        <v>0</v>
      </c>
      <c r="M101" s="79">
        <v>0</v>
      </c>
      <c r="N101" s="80">
        <f t="shared" si="65"/>
        <v>0</v>
      </c>
      <c r="O101" s="79">
        <v>0</v>
      </c>
      <c r="P101" s="80">
        <f t="shared" si="66"/>
        <v>0</v>
      </c>
      <c r="Q101" s="79">
        <v>0</v>
      </c>
      <c r="R101" s="80">
        <f t="shared" si="67"/>
        <v>0</v>
      </c>
      <c r="S101" s="79">
        <v>0</v>
      </c>
      <c r="T101" s="80">
        <f t="shared" si="68"/>
        <v>0</v>
      </c>
      <c r="U101" s="79">
        <v>0</v>
      </c>
      <c r="V101" s="80">
        <f t="shared" si="29"/>
        <v>0</v>
      </c>
    </row>
    <row r="102" spans="1:22" ht="12.75" customHeight="1">
      <c r="A102" s="117" t="str">
        <f>+'G&amp;A'!A102</f>
        <v xml:space="preserve">Other G&amp;A Fee </v>
      </c>
      <c r="B102" s="35"/>
      <c r="C102" s="134">
        <v>229391.48219359998</v>
      </c>
      <c r="D102" s="80">
        <f t="shared" si="60"/>
        <v>0.01</v>
      </c>
      <c r="E102" s="134">
        <v>250958.68479999996</v>
      </c>
      <c r="F102" s="80">
        <f t="shared" si="61"/>
        <v>0.01</v>
      </c>
      <c r="G102" s="134">
        <v>273474.59688000003</v>
      </c>
      <c r="H102" s="80">
        <f t="shared" si="62"/>
        <v>0.01</v>
      </c>
      <c r="I102" s="134">
        <v>283810.00524060003</v>
      </c>
      <c r="J102" s="80">
        <f t="shared" si="63"/>
        <v>1.0000000000000002E-2</v>
      </c>
      <c r="K102" s="134">
        <v>293610.02203802601</v>
      </c>
      <c r="L102" s="80">
        <f t="shared" si="64"/>
        <v>0.01</v>
      </c>
      <c r="M102" s="134">
        <v>302479.71204471658</v>
      </c>
      <c r="N102" s="80">
        <f t="shared" si="65"/>
        <v>0.01</v>
      </c>
      <c r="O102" s="134">
        <v>311812.42612519889</v>
      </c>
      <c r="P102" s="80">
        <f t="shared" si="66"/>
        <v>0.01</v>
      </c>
      <c r="Q102" s="134">
        <v>321468.26435980317</v>
      </c>
      <c r="R102" s="80">
        <f t="shared" si="67"/>
        <v>0.01</v>
      </c>
      <c r="S102" s="134">
        <v>331377.30199116649</v>
      </c>
      <c r="T102" s="80">
        <f t="shared" si="68"/>
        <v>0.01</v>
      </c>
      <c r="U102" s="134">
        <v>341687.51883675111</v>
      </c>
      <c r="V102" s="80">
        <f t="shared" si="29"/>
        <v>0.01</v>
      </c>
    </row>
    <row r="103" spans="1:22" ht="12.75" customHeight="1">
      <c r="A103" s="117" t="s">
        <v>446</v>
      </c>
      <c r="B103" s="35"/>
      <c r="C103" s="134">
        <v>0</v>
      </c>
      <c r="D103" s="80">
        <f t="shared" si="60"/>
        <v>0</v>
      </c>
      <c r="E103" s="134">
        <v>0</v>
      </c>
      <c r="F103" s="80">
        <f t="shared" si="61"/>
        <v>0</v>
      </c>
      <c r="G103" s="134">
        <v>0</v>
      </c>
      <c r="H103" s="80">
        <f t="shared" si="62"/>
        <v>0</v>
      </c>
      <c r="I103" s="134">
        <v>0</v>
      </c>
      <c r="J103" s="80">
        <f t="shared" si="63"/>
        <v>0</v>
      </c>
      <c r="K103" s="134">
        <v>0</v>
      </c>
      <c r="L103" s="80">
        <f t="shared" si="64"/>
        <v>0</v>
      </c>
      <c r="M103" s="134">
        <v>0</v>
      </c>
      <c r="N103" s="80">
        <f t="shared" si="65"/>
        <v>0</v>
      </c>
      <c r="O103" s="134">
        <v>0</v>
      </c>
      <c r="P103" s="80">
        <f t="shared" si="66"/>
        <v>0</v>
      </c>
      <c r="Q103" s="134">
        <v>0</v>
      </c>
      <c r="R103" s="80">
        <f t="shared" si="67"/>
        <v>0</v>
      </c>
      <c r="S103" s="134">
        <v>0</v>
      </c>
      <c r="T103" s="80">
        <f t="shared" si="68"/>
        <v>0</v>
      </c>
      <c r="U103" s="134">
        <v>0</v>
      </c>
      <c r="V103" s="80">
        <f t="shared" si="29"/>
        <v>0</v>
      </c>
    </row>
    <row r="104" spans="1:22" ht="12.75" customHeight="1">
      <c r="A104" s="117" t="s">
        <v>446</v>
      </c>
      <c r="B104" s="1"/>
      <c r="C104" s="134">
        <v>0</v>
      </c>
      <c r="D104" s="80">
        <f t="shared" si="60"/>
        <v>0</v>
      </c>
      <c r="E104" s="134">
        <v>0</v>
      </c>
      <c r="F104" s="80">
        <f t="shared" si="61"/>
        <v>0</v>
      </c>
      <c r="G104" s="134">
        <v>0</v>
      </c>
      <c r="H104" s="80">
        <f t="shared" si="62"/>
        <v>0</v>
      </c>
      <c r="I104" s="134">
        <v>0</v>
      </c>
      <c r="J104" s="80">
        <f t="shared" si="63"/>
        <v>0</v>
      </c>
      <c r="K104" s="134">
        <v>0</v>
      </c>
      <c r="L104" s="80">
        <f t="shared" si="64"/>
        <v>0</v>
      </c>
      <c r="M104" s="134">
        <v>0</v>
      </c>
      <c r="N104" s="80">
        <f t="shared" si="65"/>
        <v>0</v>
      </c>
      <c r="O104" s="134">
        <v>0</v>
      </c>
      <c r="P104" s="80">
        <f t="shared" si="66"/>
        <v>0</v>
      </c>
      <c r="Q104" s="134">
        <v>0</v>
      </c>
      <c r="R104" s="80">
        <f t="shared" si="67"/>
        <v>0</v>
      </c>
      <c r="S104" s="134">
        <v>0</v>
      </c>
      <c r="T104" s="80">
        <f t="shared" si="68"/>
        <v>0</v>
      </c>
      <c r="U104" s="134">
        <v>0</v>
      </c>
      <c r="V104" s="80">
        <f t="shared" si="29"/>
        <v>0</v>
      </c>
    </row>
    <row r="105" spans="1:22" ht="12.75" customHeight="1">
      <c r="A105" s="1" t="s">
        <v>447</v>
      </c>
      <c r="B105" s="53"/>
      <c r="C105" s="82">
        <f>SUM(C52:C104)</f>
        <v>7681487.7053935351</v>
      </c>
      <c r="D105" s="83">
        <f t="shared" si="60"/>
        <v>0.33486368508271702</v>
      </c>
      <c r="E105" s="82">
        <f>SUM(E52:E104)</f>
        <v>9679007.9365102574</v>
      </c>
      <c r="F105" s="83">
        <f t="shared" si="61"/>
        <v>0.38568133014499517</v>
      </c>
      <c r="G105" s="82">
        <f>SUM(G52:G104)</f>
        <v>11259329.300382854</v>
      </c>
      <c r="H105" s="83">
        <f t="shared" si="62"/>
        <v>0.41171390062688057</v>
      </c>
      <c r="I105" s="82">
        <f>SUM(I52:I104)</f>
        <v>10846657.823688813</v>
      </c>
      <c r="J105" s="83">
        <f t="shared" si="63"/>
        <v>0.38218024817319446</v>
      </c>
      <c r="K105" s="82">
        <f>SUM(K52:K104)</f>
        <v>11110911.842911657</v>
      </c>
      <c r="L105" s="83">
        <f t="shared" si="64"/>
        <v>0.37842413435985034</v>
      </c>
      <c r="M105" s="82">
        <f>SUM(M52:M104)</f>
        <v>11976001.095643813</v>
      </c>
      <c r="N105" s="83">
        <f t="shared" si="65"/>
        <v>0.39592741657573916</v>
      </c>
      <c r="O105" s="82">
        <f>SUM(O52:O104)</f>
        <v>11597181.096294617</v>
      </c>
      <c r="P105" s="83">
        <f t="shared" si="66"/>
        <v>0.3719281248797352</v>
      </c>
      <c r="Q105" s="82">
        <f>SUM(Q52:Q104)</f>
        <v>11774258.262321636</v>
      </c>
      <c r="R105" s="83">
        <f t="shared" si="67"/>
        <v>0.36626502730432214</v>
      </c>
      <c r="S105" s="82">
        <f>SUM(S52:S104)</f>
        <v>12554696.691695895</v>
      </c>
      <c r="T105" s="83">
        <f t="shared" si="68"/>
        <v>0.37886411097735856</v>
      </c>
      <c r="U105" s="82">
        <f>SUM(U52:U104)</f>
        <v>11412473.618259929</v>
      </c>
      <c r="V105" s="83">
        <f t="shared" si="29"/>
        <v>0.33400323363033035</v>
      </c>
    </row>
    <row r="106" spans="1:22" ht="12.75" customHeight="1">
      <c r="A106" s="1"/>
      <c r="B106" s="1"/>
      <c r="C106" s="36"/>
      <c r="D106" s="37"/>
      <c r="E106" s="36"/>
      <c r="F106" s="37"/>
      <c r="G106" s="36"/>
      <c r="H106" s="37"/>
      <c r="I106" s="36"/>
      <c r="J106" s="37"/>
      <c r="K106" s="36"/>
      <c r="L106" s="37"/>
      <c r="M106" s="36"/>
      <c r="N106" s="37"/>
      <c r="O106" s="36"/>
      <c r="P106" s="37"/>
      <c r="Q106" s="36"/>
      <c r="R106" s="37"/>
      <c r="S106" s="36"/>
      <c r="T106" s="37"/>
      <c r="U106" s="36"/>
      <c r="V106" s="130"/>
    </row>
    <row r="107" spans="1:22" ht="12.75" customHeight="1">
      <c r="A107" s="1" t="s">
        <v>448</v>
      </c>
      <c r="B107" s="53"/>
      <c r="C107" s="82">
        <f>C28-C33-C46-C105</f>
        <v>1161434.4455467826</v>
      </c>
      <c r="D107" s="83">
        <f>IFERROR(C107/C$28,0)</f>
        <v>5.063110602191255E-2</v>
      </c>
      <c r="E107" s="82">
        <f>E28-E33-E46-E105</f>
        <v>-530319.17601526529</v>
      </c>
      <c r="F107" s="83">
        <f>IFERROR(E107/E$28,0)</f>
        <v>-2.1131732358172822E-2</v>
      </c>
      <c r="G107" s="82">
        <f>G28-G33-G46-G105</f>
        <v>-1593522.7825510446</v>
      </c>
      <c r="H107" s="83">
        <f>IFERROR(G107/G$28,0)</f>
        <v>-5.8269499278219193E-2</v>
      </c>
      <c r="I107" s="82">
        <f>I28-I33-I46-I105</f>
        <v>-588746.59653309174</v>
      </c>
      <c r="J107" s="83">
        <f>IFERROR(I107/I$28,0)</f>
        <v>-2.0744391869975891E-2</v>
      </c>
      <c r="K107" s="82">
        <f>K28-K33-K46-K105</f>
        <v>-402982.71809498221</v>
      </c>
      <c r="L107" s="83">
        <f>IFERROR(K107/K$28,0)</f>
        <v>-1.3725100910989718E-2</v>
      </c>
      <c r="M107" s="82">
        <f>M28-M33-M46-M105</f>
        <v>-859308.20787497237</v>
      </c>
      <c r="N107" s="83">
        <f>IFERROR(M107/M$28,0)</f>
        <v>-2.8408788214792334E-2</v>
      </c>
      <c r="O107" s="82">
        <f>O28-O33-O46-O105</f>
        <v>-140638.27194278687</v>
      </c>
      <c r="P107" s="83">
        <f>IFERROR(O107/O$28,0)</f>
        <v>-4.5103485351901213E-3</v>
      </c>
      <c r="Q107" s="82">
        <f>Q28-Q33-Q46-Q105</f>
        <v>150269.69602646492</v>
      </c>
      <c r="R107" s="83">
        <f>IFERROR(Q107/Q$28,0)</f>
        <v>4.6744799622981028E-3</v>
      </c>
      <c r="S107" s="82">
        <f>S28-S33-S46-S105</f>
        <v>-79596.689059875906</v>
      </c>
      <c r="T107" s="83">
        <f>IFERROR(S107/S$28,0)</f>
        <v>-2.4019958090550726E-3</v>
      </c>
      <c r="U107" s="82">
        <f>U28-U33-U46-U105</f>
        <v>1807433.7476635166</v>
      </c>
      <c r="V107" s="83">
        <f>IFERROR(U107/U$28,0)</f>
        <v>5.2897271571896616E-2</v>
      </c>
    </row>
    <row r="108" spans="1:22" ht="12.75" customHeight="1">
      <c r="A108" s="1"/>
      <c r="B108" s="1"/>
      <c r="C108" s="38"/>
      <c r="D108" s="39"/>
      <c r="E108" s="38"/>
      <c r="F108" s="39"/>
      <c r="G108" s="38"/>
      <c r="H108" s="39"/>
      <c r="I108" s="38"/>
      <c r="J108" s="39"/>
      <c r="K108" s="38"/>
      <c r="L108" s="39"/>
      <c r="M108" s="38"/>
      <c r="N108" s="39"/>
      <c r="O108" s="38"/>
      <c r="P108" s="39"/>
      <c r="Q108" s="38"/>
      <c r="R108" s="39"/>
      <c r="S108" s="38"/>
      <c r="T108" s="39"/>
      <c r="U108" s="38"/>
      <c r="V108" s="39"/>
    </row>
    <row r="109" spans="1:22" ht="12.75" customHeight="1">
      <c r="A109" s="1"/>
      <c r="B109" s="1"/>
      <c r="C109" s="38"/>
      <c r="D109" s="39"/>
      <c r="E109" s="38"/>
      <c r="F109" s="39"/>
      <c r="G109" s="38"/>
      <c r="H109" s="39"/>
      <c r="I109" s="38"/>
      <c r="J109" s="39"/>
      <c r="K109" s="38"/>
      <c r="L109" s="39"/>
      <c r="M109" s="38"/>
      <c r="N109" s="39"/>
      <c r="O109" s="38"/>
      <c r="P109" s="39"/>
      <c r="Q109" s="38"/>
      <c r="R109" s="39"/>
      <c r="S109" s="38"/>
      <c r="T109" s="39"/>
      <c r="U109" s="38"/>
      <c r="V109" s="39"/>
    </row>
    <row r="110" spans="1:22" ht="12.75" customHeight="1">
      <c r="A110" s="40" t="s">
        <v>449</v>
      </c>
      <c r="B110" s="40"/>
      <c r="C110" s="86" t="str">
        <f>C50</f>
        <v>FY 2018-19</v>
      </c>
      <c r="D110" s="86" t="s">
        <v>366</v>
      </c>
      <c r="E110" s="86" t="str">
        <f>E50</f>
        <v>FY 2019-20</v>
      </c>
      <c r="F110" s="86" t="s">
        <v>366</v>
      </c>
      <c r="G110" s="86" t="str">
        <f>G50</f>
        <v>FY 2020-21</v>
      </c>
      <c r="H110" s="86" t="s">
        <v>366</v>
      </c>
      <c r="I110" s="86" t="str">
        <f>I50</f>
        <v>FY 2021-22</v>
      </c>
      <c r="J110" s="86" t="s">
        <v>366</v>
      </c>
      <c r="K110" s="86" t="str">
        <f>K50</f>
        <v>FY 2022-23</v>
      </c>
      <c r="L110" s="86" t="s">
        <v>366</v>
      </c>
      <c r="M110" s="86" t="str">
        <f>M50</f>
        <v>FY 2023-24</v>
      </c>
      <c r="N110" s="86" t="s">
        <v>366</v>
      </c>
      <c r="O110" s="86" t="str">
        <f>O50</f>
        <v>FY 2024-25</v>
      </c>
      <c r="P110" s="86" t="s">
        <v>366</v>
      </c>
      <c r="Q110" s="86" t="str">
        <f>Q50</f>
        <v>FY 2025-26</v>
      </c>
      <c r="R110" s="86" t="s">
        <v>366</v>
      </c>
      <c r="S110" s="86" t="str">
        <f>S50</f>
        <v>FY 2026-27</v>
      </c>
      <c r="T110" s="86" t="s">
        <v>366</v>
      </c>
      <c r="U110" s="86" t="str">
        <f>U50</f>
        <v>FY 2027-28</v>
      </c>
      <c r="V110" s="86" t="s">
        <v>366</v>
      </c>
    </row>
    <row r="111" spans="1:22" ht="12.75" customHeight="1">
      <c r="A111" s="2" t="s">
        <v>403</v>
      </c>
      <c r="B111" s="35"/>
      <c r="C111" s="79">
        <f>+C59</f>
        <v>2500000</v>
      </c>
      <c r="D111" s="80">
        <f t="shared" ref="D111:D116" si="79">IFERROR(C111/C$28,0)</f>
        <v>0.10898399435294072</v>
      </c>
      <c r="E111" s="79">
        <f>+E59</f>
        <v>2500000</v>
      </c>
      <c r="F111" s="80">
        <f t="shared" ref="F111:F116" si="80">IFERROR(E111/E$28,0)</f>
        <v>9.9617990984944796E-2</v>
      </c>
      <c r="G111" s="79">
        <f>+G59</f>
        <v>2500000</v>
      </c>
      <c r="H111" s="80">
        <f t="shared" ref="H111:H116" si="81">IFERROR(G111/G$28,0)</f>
        <v>9.1416169125829047E-2</v>
      </c>
      <c r="I111" s="79">
        <f>+I59</f>
        <v>2500000</v>
      </c>
      <c r="J111" s="80">
        <f t="shared" ref="J111:J116" si="82">IFERROR(I111/I$28,0)</f>
        <v>8.8087098898455826E-2</v>
      </c>
      <c r="K111" s="79">
        <f>+K59</f>
        <v>2500000</v>
      </c>
      <c r="L111" s="80">
        <f t="shared" ref="L111:L116" si="83">IFERROR(K111/K$28,0)</f>
        <v>8.5146957268244075E-2</v>
      </c>
      <c r="M111" s="79">
        <f>+M59</f>
        <v>2500000</v>
      </c>
      <c r="N111" s="80">
        <f t="shared" ref="N111:N116" si="84">IFERROR(M111/M$28,0)</f>
        <v>8.2650171249515625E-2</v>
      </c>
      <c r="O111" s="79">
        <f>+O59</f>
        <v>2500000</v>
      </c>
      <c r="P111" s="80">
        <f t="shared" ref="P111:P116" si="85">IFERROR(O111/O$28,0)</f>
        <v>8.0176407049159751E-2</v>
      </c>
      <c r="Q111" s="79">
        <f>+Q59</f>
        <v>2500000</v>
      </c>
      <c r="R111" s="80">
        <f t="shared" ref="R111:R116" si="86">IFERROR(Q111/Q$28,0)</f>
        <v>7.7768174254422714E-2</v>
      </c>
      <c r="S111" s="79">
        <f>+S59</f>
        <v>2500000</v>
      </c>
      <c r="T111" s="80">
        <f t="shared" ref="T111:T116" si="87">IFERROR(S111/S$28,0)</f>
        <v>7.5442704885883907E-2</v>
      </c>
      <c r="U111" s="79">
        <f>+U59</f>
        <v>2500000</v>
      </c>
      <c r="V111" s="80">
        <f t="shared" ref="V111:V116" si="88">IFERROR(U111/U$28,0)</f>
        <v>7.3166266315815617E-2</v>
      </c>
    </row>
    <row r="112" spans="1:22" ht="12.75" customHeight="1">
      <c r="A112" s="2" t="s">
        <v>450</v>
      </c>
      <c r="B112" s="35"/>
      <c r="C112" s="79">
        <f>'Fresh Food Co.'!C112+'Retail Roll Up'!C112+'Catering Roll Up'!C112+'G&amp;A'!C112</f>
        <v>762608.2728988931</v>
      </c>
      <c r="D112" s="80">
        <f t="shared" si="79"/>
        <v>3.3244838282847536E-2</v>
      </c>
      <c r="E112" s="79">
        <f>'Fresh Food Co.'!E112+'Retail Roll Up'!E112+'Catering Roll Up'!E112+'G&amp;A'!E112</f>
        <v>865459.56820365239</v>
      </c>
      <c r="F112" s="80">
        <f t="shared" si="80"/>
        <v>3.4486137385258263E-2</v>
      </c>
      <c r="G112" s="79">
        <f>'Fresh Food Co.'!G112+'Retail Roll Up'!G112+'Catering Roll Up'!G112+'G&amp;A'!G112</f>
        <v>1423343.9343738651</v>
      </c>
      <c r="H112" s="80">
        <f t="shared" si="81"/>
        <v>5.2046659931577664E-2</v>
      </c>
      <c r="I112" s="79">
        <f>'Fresh Food Co.'!I112+'Retail Roll Up'!I112+'Catering Roll Up'!I112+'G&amp;A'!I112</f>
        <v>932841.42727386509</v>
      </c>
      <c r="J112" s="80">
        <f t="shared" si="82"/>
        <v>3.2868518024339856E-2</v>
      </c>
      <c r="K112" s="79">
        <f>'Fresh Food Co.'!K112+'Retail Roll Up'!K112+'Catering Roll Up'!K112+'G&amp;A'!K112</f>
        <v>948514.01737465803</v>
      </c>
      <c r="L112" s="80">
        <f t="shared" si="83"/>
        <v>3.2305233002292211E-2</v>
      </c>
      <c r="M112" s="79">
        <f>'Fresh Food Co.'!M112+'Retail Roll Up'!M112+'Catering Roll Up'!M112+'G&amp;A'!M112</f>
        <v>1518016.3541439925</v>
      </c>
      <c r="N112" s="80">
        <f t="shared" si="84"/>
        <v>5.0185724651826538E-2</v>
      </c>
      <c r="O112" s="79">
        <f>'Fresh Food Co.'!O112+'Retail Roll Up'!O112+'Catering Roll Up'!O112+'G&amp;A'!O112</f>
        <v>977848.15756813064</v>
      </c>
      <c r="P112" s="80">
        <f t="shared" si="85"/>
        <v>3.1360140765381343E-2</v>
      </c>
      <c r="Q112" s="79">
        <f>'Fresh Food Co.'!Q112+'Retail Roll Up'!Q112+'Catering Roll Up'!Q112+'G&amp;A'!Q112</f>
        <v>987974.91509499319</v>
      </c>
      <c r="R112" s="80">
        <f t="shared" si="86"/>
        <v>3.0733202142442368E-2</v>
      </c>
      <c r="S112" s="79">
        <f>'Fresh Food Co.'!S112+'Retail Roll Up'!S112+'Catering Roll Up'!S112+'G&amp;A'!S112</f>
        <v>1598405.4753476614</v>
      </c>
      <c r="T112" s="80">
        <f t="shared" si="87"/>
        <v>4.8235213025853839E-2</v>
      </c>
      <c r="U112" s="79">
        <f>'Fresh Food Co.'!U112+'Retail Roll Up'!U112+'Catering Roll Up'!U112+'G&amp;A'!U112</f>
        <v>963826.55907306424</v>
      </c>
      <c r="V112" s="80">
        <f t="shared" si="88"/>
        <v>2.8207836281358405E-2</v>
      </c>
    </row>
    <row r="113" spans="1:22" ht="12.75" customHeight="1">
      <c r="A113" s="117" t="s">
        <v>523</v>
      </c>
      <c r="B113" s="41"/>
      <c r="C113" s="79">
        <f>+C52</f>
        <v>298689.61284133</v>
      </c>
      <c r="D113" s="80">
        <f t="shared" si="79"/>
        <v>1.3020954831672623E-2</v>
      </c>
      <c r="E113" s="79">
        <f>+E52</f>
        <v>1646836.6886236048</v>
      </c>
      <c r="F113" s="80">
        <f t="shared" si="80"/>
        <v>6.5621824960393038E-2</v>
      </c>
      <c r="G113" s="79">
        <f>+G52</f>
        <v>2348964.348198073</v>
      </c>
      <c r="H113" s="80">
        <f t="shared" si="81"/>
        <v>8.5893328850167122E-2</v>
      </c>
      <c r="I113" s="79">
        <f>+I52</f>
        <v>2356107.2053409303</v>
      </c>
      <c r="J113" s="80">
        <f t="shared" si="82"/>
        <v>8.3017059364892357E-2</v>
      </c>
      <c r="K113" s="79">
        <f>+K52</f>
        <v>2447609.6683951169</v>
      </c>
      <c r="L113" s="80">
        <f t="shared" si="83"/>
        <v>8.3362606337672021E-2</v>
      </c>
      <c r="M113" s="79">
        <f>+M52</f>
        <v>2589851.0477054617</v>
      </c>
      <c r="N113" s="80">
        <f t="shared" si="84"/>
        <v>8.5620653041437553E-2</v>
      </c>
      <c r="O113" s="79">
        <f>+O52</f>
        <v>2589851.0477054617</v>
      </c>
      <c r="P113" s="80">
        <f t="shared" si="85"/>
        <v>8.3057980719010382E-2</v>
      </c>
      <c r="Q113" s="79">
        <f>+Q52</f>
        <v>2589851.0477054617</v>
      </c>
      <c r="R113" s="80">
        <f t="shared" si="86"/>
        <v>8.0563195028383036E-2</v>
      </c>
      <c r="S113" s="79">
        <f>+S52</f>
        <v>2589851.0477054617</v>
      </c>
      <c r="T113" s="80">
        <f t="shared" si="87"/>
        <v>7.8154147316176148E-2</v>
      </c>
      <c r="U113" s="79">
        <f>+U52</f>
        <v>1942388.2857790967</v>
      </c>
      <c r="V113" s="80">
        <f t="shared" si="88"/>
        <v>5.6846919442413588E-2</v>
      </c>
    </row>
    <row r="114" spans="1:22" ht="12.75" customHeight="1">
      <c r="A114" s="117" t="s">
        <v>524</v>
      </c>
      <c r="B114" s="41"/>
      <c r="C114" s="79">
        <f>+C75</f>
        <v>103226.16698711998</v>
      </c>
      <c r="D114" s="80">
        <f t="shared" si="79"/>
        <v>4.4999999999999997E-3</v>
      </c>
      <c r="E114" s="79">
        <f>+E75</f>
        <v>112931.40815999998</v>
      </c>
      <c r="F114" s="80">
        <f t="shared" si="80"/>
        <v>4.4999999999999997E-3</v>
      </c>
      <c r="G114" s="79">
        <f>+G75</f>
        <v>123063.568596</v>
      </c>
      <c r="H114" s="80">
        <f t="shared" si="81"/>
        <v>4.4999999999999997E-3</v>
      </c>
      <c r="I114" s="79">
        <f>+I75</f>
        <v>127714.50235826999</v>
      </c>
      <c r="J114" s="80">
        <f t="shared" si="82"/>
        <v>4.4999999999999997E-3</v>
      </c>
      <c r="K114" s="79">
        <f>+K75</f>
        <v>132124.50991711169</v>
      </c>
      <c r="L114" s="80">
        <f t="shared" si="83"/>
        <v>4.4999999999999997E-3</v>
      </c>
      <c r="M114" s="79">
        <f>+M75</f>
        <v>136115.87042012246</v>
      </c>
      <c r="N114" s="80">
        <f t="shared" si="84"/>
        <v>4.4999999999999997E-3</v>
      </c>
      <c r="O114" s="79">
        <f>+O75</f>
        <v>140315.59175633948</v>
      </c>
      <c r="P114" s="80">
        <f t="shared" si="85"/>
        <v>4.4999999999999997E-3</v>
      </c>
      <c r="Q114" s="79">
        <f>+Q75</f>
        <v>144660.71896191142</v>
      </c>
      <c r="R114" s="80">
        <f t="shared" si="86"/>
        <v>4.4999999999999997E-3</v>
      </c>
      <c r="S114" s="79">
        <f>+S75</f>
        <v>149119.7858960249</v>
      </c>
      <c r="T114" s="80">
        <f t="shared" si="87"/>
        <v>4.4999999999999997E-3</v>
      </c>
      <c r="U114" s="79">
        <f>+U75</f>
        <v>153759.383476538</v>
      </c>
      <c r="V114" s="80">
        <f t="shared" si="88"/>
        <v>4.4999999999999997E-3</v>
      </c>
    </row>
    <row r="115" spans="1:22" ht="12.75" customHeight="1">
      <c r="A115" s="117" t="s">
        <v>525</v>
      </c>
      <c r="B115" s="41"/>
      <c r="C115" s="79">
        <f>+C81+C95+C89+C84+C73+C71+C67+C60</f>
        <v>1044133.2232903999</v>
      </c>
      <c r="D115" s="80">
        <f t="shared" si="79"/>
        <v>4.5517523724319491E-2</v>
      </c>
      <c r="E115" s="79">
        <f>+E81+E95+E89+E84+E73+E71+E67+E60</f>
        <v>1187487.4271999998</v>
      </c>
      <c r="F115" s="80">
        <f t="shared" si="80"/>
        <v>4.7318044727017949E-2</v>
      </c>
      <c r="G115" s="79">
        <f>+G81+G95+G89+G84+G73+G71+G67+G60</f>
        <v>1241433.8853199999</v>
      </c>
      <c r="H115" s="80">
        <f t="shared" si="81"/>
        <v>4.5394852007579263E-2</v>
      </c>
      <c r="I115" s="79">
        <f>+I81+I95+I89+I84+I73+I71+I67+I60</f>
        <v>1274500.0201108998</v>
      </c>
      <c r="J115" s="80">
        <f t="shared" si="82"/>
        <v>4.4906803727037113E-2</v>
      </c>
      <c r="K115" s="79">
        <f>+K81+K95+K89+K84+K73+K71+K67+K60</f>
        <v>1307168.362288289</v>
      </c>
      <c r="L115" s="80">
        <f t="shared" si="83"/>
        <v>4.4520563474464613E-2</v>
      </c>
      <c r="M115" s="79">
        <f>+M81+M95+M89+M84+M73+M71+M67+M60</f>
        <v>1338856.132854356</v>
      </c>
      <c r="N115" s="80">
        <f t="shared" si="84"/>
        <v>4.4262675463550706E-2</v>
      </c>
      <c r="O115" s="79">
        <f>+O81+O95+O89+O84+O73+O71+O67+O60</f>
        <v>1371663.2173877691</v>
      </c>
      <c r="P115" s="80">
        <f t="shared" si="85"/>
        <v>4.3990011380656752E-2</v>
      </c>
      <c r="Q115" s="79">
        <f>+Q81+Q95+Q89+Q84+Q73+Q71+Q67+Q60</f>
        <v>1405389.8666624324</v>
      </c>
      <c r="R115" s="80">
        <f t="shared" si="86"/>
        <v>4.371784161840158E-2</v>
      </c>
      <c r="S115" s="79">
        <f>+S81+S95+S89+S84+S73+S71+S67+S60</f>
        <v>1439941.5416542152</v>
      </c>
      <c r="T115" s="80">
        <f t="shared" si="87"/>
        <v>4.3453233911977467E-2</v>
      </c>
      <c r="U115" s="79">
        <f>+U81+U95+U89+U84+U73+U71+U67+U60</f>
        <v>1475550.8139045755</v>
      </c>
      <c r="V115" s="80">
        <f t="shared" si="88"/>
        <v>4.3184217525064267E-2</v>
      </c>
    </row>
    <row r="116" spans="1:22" ht="12.75" customHeight="1">
      <c r="A116" s="40" t="s">
        <v>451</v>
      </c>
      <c r="B116" s="42"/>
      <c r="C116" s="85">
        <f>SUM(C111:C115)</f>
        <v>4708657.2760177432</v>
      </c>
      <c r="D116" s="83">
        <f t="shared" si="79"/>
        <v>0.20526731119178038</v>
      </c>
      <c r="E116" s="85">
        <f>SUM(E111:E115)</f>
        <v>6312715.0921872575</v>
      </c>
      <c r="F116" s="83">
        <f t="shared" si="80"/>
        <v>0.25154399805761407</v>
      </c>
      <c r="G116" s="85">
        <f>SUM(G111:G115)</f>
        <v>7636805.7364879381</v>
      </c>
      <c r="H116" s="83">
        <f t="shared" si="81"/>
        <v>0.27925100991515311</v>
      </c>
      <c r="I116" s="85">
        <f>SUM(I111:I115)</f>
        <v>7191163.1550839646</v>
      </c>
      <c r="J116" s="83">
        <f t="shared" si="82"/>
        <v>0.25337948001472516</v>
      </c>
      <c r="K116" s="85">
        <f>SUM(K111:K115)</f>
        <v>7335416.5579751758</v>
      </c>
      <c r="L116" s="83">
        <f t="shared" si="83"/>
        <v>0.24983536008267293</v>
      </c>
      <c r="M116" s="85">
        <f>SUM(M111:M115)</f>
        <v>8082839.4051239323</v>
      </c>
      <c r="N116" s="83">
        <f t="shared" si="84"/>
        <v>0.26721922440633039</v>
      </c>
      <c r="O116" s="85">
        <f>SUM(O111:O115)</f>
        <v>7579678.0144177014</v>
      </c>
      <c r="P116" s="83">
        <f t="shared" si="85"/>
        <v>0.24308453991420825</v>
      </c>
      <c r="Q116" s="85">
        <f>SUM(Q111:Q115)</f>
        <v>7627876.5484247981</v>
      </c>
      <c r="R116" s="83">
        <f t="shared" si="86"/>
        <v>0.23728241304364966</v>
      </c>
      <c r="S116" s="85">
        <f>SUM(S111:S115)</f>
        <v>8277317.8506033625</v>
      </c>
      <c r="T116" s="83">
        <f t="shared" si="87"/>
        <v>0.24978529913989134</v>
      </c>
      <c r="U116" s="85">
        <f>SUM(U111:U115)</f>
        <v>7035525.0422332734</v>
      </c>
      <c r="V116" s="83">
        <f t="shared" si="88"/>
        <v>0.20590523956465184</v>
      </c>
    </row>
    <row r="118" spans="1:22" ht="12.75" customHeight="1">
      <c r="A118" s="43" t="s">
        <v>452</v>
      </c>
      <c r="B118" s="43"/>
    </row>
    <row r="119" spans="1:22" ht="12.75" customHeight="1">
      <c r="A119" s="47" t="s">
        <v>453</v>
      </c>
      <c r="B119" s="47"/>
    </row>
  </sheetData>
  <pageMargins left="0.45" right="0" top="0.5" bottom="0" header="0.3" footer="0.3"/>
  <pageSetup scale="49" orientation="landscape" r:id="rId1"/>
  <rowBreaks count="1" manualBreakCount="1">
    <brk id="47" max="21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R47"/>
  <sheetViews>
    <sheetView topLeftCell="A22" zoomScaleNormal="100" workbookViewId="0" xr3:uid="{78B4E459-6924-5F8B-B7BA-2DD04133E49E}">
      <selection activeCell="C22" sqref="C22"/>
    </sheetView>
  </sheetViews>
  <sheetFormatPr defaultColWidth="9.140625" defaultRowHeight="12.75"/>
  <cols>
    <col min="1" max="1" width="4.5703125" style="2" customWidth="1"/>
    <col min="2" max="2" width="31.28515625" style="2" customWidth="1"/>
    <col min="3" max="3" width="35.5703125" style="2" customWidth="1"/>
    <col min="4" max="14" width="12.7109375" style="2" customWidth="1"/>
    <col min="15" max="15" width="3.7109375" style="2" customWidth="1"/>
    <col min="16" max="18" width="12.7109375" style="2" customWidth="1"/>
    <col min="19" max="16384" width="9.140625" style="2"/>
  </cols>
  <sheetData>
    <row r="1" spans="1:18">
      <c r="A1" s="1" t="s">
        <v>0</v>
      </c>
    </row>
    <row r="2" spans="1:18">
      <c r="A2" s="1" t="s">
        <v>1</v>
      </c>
    </row>
    <row r="3" spans="1:18">
      <c r="A3" s="1" t="s">
        <v>166</v>
      </c>
    </row>
    <row r="4" spans="1:18">
      <c r="C4" s="1"/>
    </row>
    <row r="5" spans="1:18">
      <c r="A5" s="1" t="s">
        <v>16</v>
      </c>
      <c r="C5" s="109" t="s">
        <v>97</v>
      </c>
    </row>
    <row r="6" spans="1:18">
      <c r="C6" s="19"/>
    </row>
    <row r="7" spans="1:18">
      <c r="A7" s="107" t="s">
        <v>18</v>
      </c>
      <c r="B7" s="1" t="s">
        <v>167</v>
      </c>
    </row>
    <row r="8" spans="1:18">
      <c r="B8" s="4" t="s">
        <v>168</v>
      </c>
    </row>
    <row r="9" spans="1:18">
      <c r="B9" s="4" t="s">
        <v>169</v>
      </c>
    </row>
    <row r="10" spans="1:18">
      <c r="B10" s="257" t="s">
        <v>170</v>
      </c>
      <c r="C10" s="257"/>
      <c r="D10" s="86" t="s">
        <v>105</v>
      </c>
      <c r="E10" s="86" t="s">
        <v>124</v>
      </c>
      <c r="F10" s="86" t="s">
        <v>125</v>
      </c>
      <c r="G10" s="86" t="s">
        <v>126</v>
      </c>
      <c r="H10" s="86" t="s">
        <v>127</v>
      </c>
      <c r="I10" s="86" t="s">
        <v>128</v>
      </c>
      <c r="J10" s="86" t="s">
        <v>91</v>
      </c>
      <c r="K10" s="86" t="s">
        <v>92</v>
      </c>
      <c r="L10" s="86" t="s">
        <v>93</v>
      </c>
      <c r="M10" s="86" t="s">
        <v>94</v>
      </c>
      <c r="N10" s="86" t="s">
        <v>171</v>
      </c>
      <c r="P10" s="86" t="s">
        <v>133</v>
      </c>
      <c r="Q10" s="86" t="s">
        <v>133</v>
      </c>
      <c r="R10" s="86" t="s">
        <v>171</v>
      </c>
    </row>
    <row r="11" spans="1:18">
      <c r="B11" s="128" t="s">
        <v>172</v>
      </c>
      <c r="C11" s="128" t="s">
        <v>173</v>
      </c>
      <c r="D11" s="140">
        <v>550000</v>
      </c>
      <c r="E11" s="140"/>
      <c r="F11" s="140"/>
      <c r="G11" s="140"/>
      <c r="H11" s="140"/>
      <c r="I11" s="140"/>
      <c r="J11" s="140"/>
      <c r="K11" s="140"/>
      <c r="L11" s="140"/>
      <c r="M11" s="140"/>
      <c r="N11" s="140">
        <f>SUM(D11:M11)</f>
        <v>550000</v>
      </c>
      <c r="P11" s="140" t="s">
        <v>96</v>
      </c>
      <c r="Q11" s="140"/>
      <c r="R11" s="140">
        <f t="shared" ref="R11:R30" si="0">SUM(P11:Q11)</f>
        <v>0</v>
      </c>
    </row>
    <row r="12" spans="1:18">
      <c r="B12" s="128" t="s">
        <v>174</v>
      </c>
      <c r="C12" s="128" t="s">
        <v>175</v>
      </c>
      <c r="D12" s="140">
        <v>250000</v>
      </c>
      <c r="E12" s="140"/>
      <c r="F12" s="140"/>
      <c r="G12" s="140"/>
      <c r="H12" s="140"/>
      <c r="I12" s="140"/>
      <c r="J12" s="140"/>
      <c r="K12" s="140"/>
      <c r="L12" s="140"/>
      <c r="M12" s="140"/>
      <c r="N12" s="140">
        <f t="shared" ref="N12:N32" si="1">SUM(D12:M12)</f>
        <v>250000</v>
      </c>
      <c r="P12" s="140" t="s">
        <v>96</v>
      </c>
      <c r="Q12" s="140"/>
      <c r="R12" s="140">
        <f t="shared" si="0"/>
        <v>0</v>
      </c>
    </row>
    <row r="13" spans="1:18">
      <c r="B13" s="128" t="s">
        <v>176</v>
      </c>
      <c r="C13" s="128" t="s">
        <v>175</v>
      </c>
      <c r="D13" s="140">
        <v>600000</v>
      </c>
      <c r="E13" s="140"/>
      <c r="F13" s="140"/>
      <c r="G13" s="140"/>
      <c r="H13" s="140"/>
      <c r="I13" s="140"/>
      <c r="J13" s="140"/>
      <c r="K13" s="140"/>
      <c r="L13" s="140"/>
      <c r="M13" s="140"/>
      <c r="N13" s="140">
        <f t="shared" si="1"/>
        <v>600000</v>
      </c>
      <c r="P13" s="140" t="s">
        <v>96</v>
      </c>
      <c r="Q13" s="140"/>
      <c r="R13" s="140">
        <f t="shared" si="0"/>
        <v>0</v>
      </c>
    </row>
    <row r="14" spans="1:18">
      <c r="B14" s="128" t="s">
        <v>177</v>
      </c>
      <c r="C14" s="128" t="s">
        <v>178</v>
      </c>
      <c r="D14" s="140">
        <v>200000</v>
      </c>
      <c r="E14" s="140"/>
      <c r="F14" s="140"/>
      <c r="G14" s="140"/>
      <c r="H14" s="140"/>
      <c r="I14" s="140"/>
      <c r="J14" s="140"/>
      <c r="K14" s="140"/>
      <c r="L14" s="140"/>
      <c r="M14" s="140"/>
      <c r="N14" s="140">
        <f t="shared" si="1"/>
        <v>200000</v>
      </c>
      <c r="P14" s="140" t="s">
        <v>96</v>
      </c>
      <c r="Q14" s="140"/>
      <c r="R14" s="140">
        <f t="shared" si="0"/>
        <v>0</v>
      </c>
    </row>
    <row r="15" spans="1:18">
      <c r="B15" s="128" t="s">
        <v>179</v>
      </c>
      <c r="C15" s="128" t="s">
        <v>180</v>
      </c>
      <c r="D15" s="140">
        <v>250000</v>
      </c>
      <c r="E15" s="140"/>
      <c r="F15" s="140"/>
      <c r="G15" s="140"/>
      <c r="H15" s="140"/>
      <c r="I15" s="140"/>
      <c r="J15" s="140"/>
      <c r="K15" s="140"/>
      <c r="L15" s="140"/>
      <c r="M15" s="140"/>
      <c r="N15" s="140">
        <f t="shared" si="1"/>
        <v>250000</v>
      </c>
      <c r="P15" s="140" t="s">
        <v>96</v>
      </c>
      <c r="Q15" s="140"/>
      <c r="R15" s="140">
        <f t="shared" si="0"/>
        <v>0</v>
      </c>
    </row>
    <row r="16" spans="1:18">
      <c r="B16" s="128" t="s">
        <v>181</v>
      </c>
      <c r="C16" s="128" t="s">
        <v>182</v>
      </c>
      <c r="D16" s="140">
        <v>750000</v>
      </c>
      <c r="E16" s="140"/>
      <c r="F16" s="140"/>
      <c r="G16" s="140"/>
      <c r="H16" s="140"/>
      <c r="I16" s="140"/>
      <c r="J16" s="140"/>
      <c r="K16" s="140"/>
      <c r="L16" s="140"/>
      <c r="M16" s="140"/>
      <c r="N16" s="140">
        <f t="shared" si="1"/>
        <v>750000</v>
      </c>
      <c r="P16" s="140" t="s">
        <v>96</v>
      </c>
      <c r="Q16" s="140"/>
      <c r="R16" s="140">
        <f t="shared" si="0"/>
        <v>0</v>
      </c>
    </row>
    <row r="17" spans="2:18">
      <c r="B17" s="128" t="s">
        <v>183</v>
      </c>
      <c r="C17" s="128" t="s">
        <v>184</v>
      </c>
      <c r="D17" s="140"/>
      <c r="E17" s="140">
        <v>1350000</v>
      </c>
      <c r="F17" s="140"/>
      <c r="G17" s="140"/>
      <c r="H17" s="140"/>
      <c r="I17" s="140"/>
      <c r="J17" s="140"/>
      <c r="K17" s="140"/>
      <c r="L17" s="140"/>
      <c r="M17" s="140"/>
      <c r="N17" s="140">
        <f t="shared" si="1"/>
        <v>1350000</v>
      </c>
      <c r="P17" s="140" t="s">
        <v>96</v>
      </c>
      <c r="Q17" s="140"/>
      <c r="R17" s="140">
        <f t="shared" si="0"/>
        <v>0</v>
      </c>
    </row>
    <row r="18" spans="2:18">
      <c r="B18" s="128" t="s">
        <v>185</v>
      </c>
      <c r="C18" s="128" t="s">
        <v>186</v>
      </c>
      <c r="D18" s="140"/>
      <c r="E18" s="140">
        <v>450000</v>
      </c>
      <c r="F18" s="140"/>
      <c r="G18" s="140"/>
      <c r="H18" s="140"/>
      <c r="I18" s="140"/>
      <c r="J18" s="140"/>
      <c r="K18" s="140"/>
      <c r="L18" s="140"/>
      <c r="M18" s="140"/>
      <c r="N18" s="140">
        <f t="shared" si="1"/>
        <v>450000</v>
      </c>
      <c r="P18" s="140" t="s">
        <v>96</v>
      </c>
      <c r="Q18" s="140"/>
      <c r="R18" s="140">
        <f t="shared" si="0"/>
        <v>0</v>
      </c>
    </row>
    <row r="19" spans="2:18">
      <c r="B19" s="128" t="s">
        <v>187</v>
      </c>
      <c r="C19" s="128" t="s">
        <v>188</v>
      </c>
      <c r="D19" s="140"/>
      <c r="E19" s="140">
        <v>1200000</v>
      </c>
      <c r="F19" s="140"/>
      <c r="G19" s="140"/>
      <c r="H19" s="140"/>
      <c r="I19" s="140"/>
      <c r="J19" s="140"/>
      <c r="K19" s="140"/>
      <c r="L19" s="140"/>
      <c r="M19" s="140"/>
      <c r="N19" s="140">
        <f t="shared" si="1"/>
        <v>1200000</v>
      </c>
      <c r="P19" s="140" t="s">
        <v>96</v>
      </c>
      <c r="Q19" s="140"/>
      <c r="R19" s="140">
        <f t="shared" si="0"/>
        <v>0</v>
      </c>
    </row>
    <row r="20" spans="2:18">
      <c r="B20" s="128" t="s">
        <v>189</v>
      </c>
      <c r="C20" s="128" t="s">
        <v>190</v>
      </c>
      <c r="D20" s="140"/>
      <c r="E20" s="140">
        <v>3500000</v>
      </c>
      <c r="F20" s="140"/>
      <c r="G20" s="140"/>
      <c r="H20" s="140"/>
      <c r="I20" s="140"/>
      <c r="J20" s="140"/>
      <c r="K20" s="140"/>
      <c r="L20" s="140"/>
      <c r="M20" s="140"/>
      <c r="N20" s="140">
        <f t="shared" si="1"/>
        <v>3500000</v>
      </c>
      <c r="P20" s="140" t="s">
        <v>96</v>
      </c>
      <c r="Q20" s="140"/>
      <c r="R20" s="140">
        <f t="shared" si="0"/>
        <v>0</v>
      </c>
    </row>
    <row r="21" spans="2:18">
      <c r="B21" s="128" t="s">
        <v>191</v>
      </c>
      <c r="C21" s="128" t="s">
        <v>192</v>
      </c>
      <c r="D21" s="140"/>
      <c r="E21" s="140">
        <v>1050000</v>
      </c>
      <c r="F21" s="140"/>
      <c r="G21" s="140"/>
      <c r="H21" s="140"/>
      <c r="I21" s="140"/>
      <c r="J21" s="140"/>
      <c r="K21" s="140"/>
      <c r="L21" s="140"/>
      <c r="M21" s="140"/>
      <c r="N21" s="140">
        <f t="shared" si="1"/>
        <v>1050000</v>
      </c>
      <c r="P21" s="140" t="s">
        <v>96</v>
      </c>
      <c r="Q21" s="140"/>
      <c r="R21" s="140">
        <f t="shared" si="0"/>
        <v>0</v>
      </c>
    </row>
    <row r="22" spans="2:18">
      <c r="B22" s="128" t="s">
        <v>193</v>
      </c>
      <c r="C22" s="128" t="s">
        <v>194</v>
      </c>
      <c r="D22" s="140"/>
      <c r="E22" s="140">
        <v>1100000</v>
      </c>
      <c r="F22" s="140"/>
      <c r="G22" s="140"/>
      <c r="H22" s="140"/>
      <c r="I22" s="140"/>
      <c r="J22" s="140"/>
      <c r="K22" s="140"/>
      <c r="L22" s="140"/>
      <c r="M22" s="140"/>
      <c r="N22" s="140">
        <f t="shared" si="1"/>
        <v>1100000</v>
      </c>
      <c r="P22" s="140" t="s">
        <v>96</v>
      </c>
      <c r="Q22" s="140"/>
      <c r="R22" s="140">
        <f t="shared" si="0"/>
        <v>0</v>
      </c>
    </row>
    <row r="23" spans="2:18">
      <c r="B23" s="128" t="s">
        <v>195</v>
      </c>
      <c r="C23" s="128" t="s">
        <v>196</v>
      </c>
      <c r="D23" s="140"/>
      <c r="E23" s="140"/>
      <c r="F23" s="140">
        <v>6000000</v>
      </c>
      <c r="G23" s="140"/>
      <c r="H23" s="140"/>
      <c r="I23" s="140"/>
      <c r="J23" s="140"/>
      <c r="K23" s="140"/>
      <c r="L23" s="140"/>
      <c r="M23" s="140"/>
      <c r="N23" s="140">
        <f t="shared" si="1"/>
        <v>6000000</v>
      </c>
      <c r="P23" s="140" t="s">
        <v>96</v>
      </c>
      <c r="Q23" s="140"/>
      <c r="R23" s="140">
        <f t="shared" si="0"/>
        <v>0</v>
      </c>
    </row>
    <row r="24" spans="2:18">
      <c r="B24" s="128" t="s">
        <v>197</v>
      </c>
      <c r="C24" s="128" t="s">
        <v>198</v>
      </c>
      <c r="D24" s="140"/>
      <c r="E24" s="140"/>
      <c r="F24" s="140"/>
      <c r="G24" s="140">
        <v>500000</v>
      </c>
      <c r="H24" s="140"/>
      <c r="I24" s="140"/>
      <c r="J24" s="140"/>
      <c r="K24" s="140"/>
      <c r="L24" s="140"/>
      <c r="M24" s="140"/>
      <c r="N24" s="140">
        <f t="shared" si="1"/>
        <v>500000</v>
      </c>
      <c r="P24" s="140" t="s">
        <v>96</v>
      </c>
      <c r="Q24" s="140"/>
      <c r="R24" s="140">
        <f t="shared" si="0"/>
        <v>0</v>
      </c>
    </row>
    <row r="25" spans="2:18">
      <c r="B25" s="128" t="s">
        <v>199</v>
      </c>
      <c r="C25" s="128" t="s">
        <v>200</v>
      </c>
      <c r="D25" s="140">
        <v>1200000</v>
      </c>
      <c r="E25" s="140"/>
      <c r="F25" s="140"/>
      <c r="G25" s="140"/>
      <c r="H25" s="140"/>
      <c r="I25" s="140"/>
      <c r="J25" s="140"/>
      <c r="K25" s="140"/>
      <c r="L25" s="140"/>
      <c r="M25" s="140"/>
      <c r="N25" s="140">
        <f t="shared" si="1"/>
        <v>1200000</v>
      </c>
      <c r="P25" s="140" t="s">
        <v>96</v>
      </c>
      <c r="Q25" s="140"/>
      <c r="R25" s="140">
        <f t="shared" si="0"/>
        <v>0</v>
      </c>
    </row>
    <row r="26" spans="2:18">
      <c r="B26" s="128" t="s">
        <v>201</v>
      </c>
      <c r="C26" s="128" t="s">
        <v>202</v>
      </c>
      <c r="D26" s="140"/>
      <c r="E26" s="140"/>
      <c r="F26" s="140">
        <v>1700000</v>
      </c>
      <c r="G26" s="140"/>
      <c r="H26" s="140"/>
      <c r="I26" s="140"/>
      <c r="J26" s="140"/>
      <c r="K26" s="140"/>
      <c r="L26" s="140"/>
      <c r="M26" s="140"/>
      <c r="N26" s="140">
        <f t="shared" si="1"/>
        <v>1700000</v>
      </c>
      <c r="P26" s="140" t="s">
        <v>96</v>
      </c>
      <c r="Q26" s="140"/>
      <c r="R26" s="140">
        <f t="shared" si="0"/>
        <v>0</v>
      </c>
    </row>
    <row r="27" spans="2:18">
      <c r="B27" s="128" t="s">
        <v>203</v>
      </c>
      <c r="C27" s="128" t="s">
        <v>204</v>
      </c>
      <c r="D27" s="140"/>
      <c r="E27" s="140"/>
      <c r="F27" s="140"/>
      <c r="G27" s="140"/>
      <c r="H27" s="140">
        <v>750000</v>
      </c>
      <c r="I27" s="140"/>
      <c r="J27" s="140"/>
      <c r="K27" s="140"/>
      <c r="L27" s="140"/>
      <c r="M27" s="140"/>
      <c r="N27" s="140">
        <f t="shared" si="1"/>
        <v>750000</v>
      </c>
      <c r="P27" s="140" t="s">
        <v>96</v>
      </c>
      <c r="Q27" s="140"/>
      <c r="R27" s="140">
        <f t="shared" si="0"/>
        <v>0</v>
      </c>
    </row>
    <row r="28" spans="2:18">
      <c r="B28" s="128"/>
      <c r="C28" s="128"/>
      <c r="D28" s="140"/>
      <c r="E28" s="140"/>
      <c r="F28" s="140"/>
      <c r="G28" s="140"/>
      <c r="H28" s="140"/>
      <c r="I28" s="140"/>
      <c r="J28" s="140"/>
      <c r="K28" s="140"/>
      <c r="L28" s="140"/>
      <c r="M28" s="140"/>
      <c r="N28" s="140">
        <f t="shared" si="1"/>
        <v>0</v>
      </c>
      <c r="P28" s="140" t="s">
        <v>96</v>
      </c>
      <c r="Q28" s="140"/>
      <c r="R28" s="140">
        <f t="shared" si="0"/>
        <v>0</v>
      </c>
    </row>
    <row r="29" spans="2:18">
      <c r="B29" s="128"/>
      <c r="C29" s="128"/>
      <c r="D29" s="140"/>
      <c r="E29" s="140"/>
      <c r="F29" s="140"/>
      <c r="G29" s="140"/>
      <c r="H29" s="140"/>
      <c r="I29" s="140"/>
      <c r="J29" s="140"/>
      <c r="K29" s="140"/>
      <c r="L29" s="140"/>
      <c r="M29" s="140"/>
      <c r="N29" s="140">
        <f t="shared" si="1"/>
        <v>0</v>
      </c>
      <c r="P29" s="140" t="s">
        <v>96</v>
      </c>
      <c r="Q29" s="140"/>
      <c r="R29" s="140">
        <f t="shared" si="0"/>
        <v>0</v>
      </c>
    </row>
    <row r="30" spans="2:18">
      <c r="B30" s="258" t="s">
        <v>205</v>
      </c>
      <c r="C30" s="258"/>
      <c r="D30" s="141">
        <f t="shared" ref="D30:N30" si="2">SUM(D11:D29)</f>
        <v>3800000</v>
      </c>
      <c r="E30" s="141">
        <f t="shared" si="2"/>
        <v>8650000</v>
      </c>
      <c r="F30" s="141">
        <f t="shared" si="2"/>
        <v>7700000</v>
      </c>
      <c r="G30" s="141">
        <f t="shared" si="2"/>
        <v>500000</v>
      </c>
      <c r="H30" s="141">
        <f t="shared" si="2"/>
        <v>750000</v>
      </c>
      <c r="I30" s="141">
        <f t="shared" si="2"/>
        <v>0</v>
      </c>
      <c r="J30" s="141">
        <f t="shared" si="2"/>
        <v>0</v>
      </c>
      <c r="K30" s="141">
        <f t="shared" si="2"/>
        <v>0</v>
      </c>
      <c r="L30" s="141">
        <f t="shared" si="2"/>
        <v>0</v>
      </c>
      <c r="M30" s="141">
        <f t="shared" si="2"/>
        <v>0</v>
      </c>
      <c r="N30" s="141">
        <f t="shared" si="2"/>
        <v>21400000</v>
      </c>
      <c r="P30" s="141">
        <f>SUM(P11:P29)</f>
        <v>0</v>
      </c>
      <c r="Q30" s="141">
        <f>SUM(Q11:Q29)</f>
        <v>0</v>
      </c>
      <c r="R30" s="140">
        <f t="shared" si="0"/>
        <v>0</v>
      </c>
    </row>
    <row r="31" spans="2:18">
      <c r="B31" s="259" t="s">
        <v>206</v>
      </c>
      <c r="C31" s="259"/>
      <c r="D31" s="86" t="s">
        <v>105</v>
      </c>
      <c r="E31" s="86" t="s">
        <v>124</v>
      </c>
      <c r="F31" s="86" t="s">
        <v>125</v>
      </c>
      <c r="G31" s="86" t="s">
        <v>126</v>
      </c>
      <c r="H31" s="86" t="s">
        <v>127</v>
      </c>
      <c r="I31" s="86" t="s">
        <v>128</v>
      </c>
      <c r="J31" s="86" t="s">
        <v>91</v>
      </c>
      <c r="K31" s="86" t="s">
        <v>92</v>
      </c>
      <c r="L31" s="86" t="s">
        <v>93</v>
      </c>
      <c r="M31" s="86" t="s">
        <v>94</v>
      </c>
      <c r="N31" s="86" t="s">
        <v>171</v>
      </c>
      <c r="P31" s="86" t="s">
        <v>133</v>
      </c>
      <c r="Q31" s="86" t="s">
        <v>133</v>
      </c>
      <c r="R31" s="86" t="s">
        <v>171</v>
      </c>
    </row>
    <row r="32" spans="2:18">
      <c r="B32" s="260" t="s">
        <v>207</v>
      </c>
      <c r="C32" s="260"/>
      <c r="D32" s="141">
        <v>298689.61284133</v>
      </c>
      <c r="E32" s="141">
        <v>1646836.6886236048</v>
      </c>
      <c r="F32" s="141">
        <v>2348964.348198073</v>
      </c>
      <c r="G32" s="141">
        <v>2356107.2053409303</v>
      </c>
      <c r="H32" s="141">
        <v>2447609.6683951169</v>
      </c>
      <c r="I32" s="141">
        <v>2589851.0477054617</v>
      </c>
      <c r="J32" s="141">
        <v>2589851.0477054617</v>
      </c>
      <c r="K32" s="141">
        <v>2589851.0477054617</v>
      </c>
      <c r="L32" s="141">
        <v>2589851.0477054617</v>
      </c>
      <c r="M32" s="141">
        <v>1942388.2857790967</v>
      </c>
      <c r="N32" s="140">
        <f t="shared" si="1"/>
        <v>21399999.999999996</v>
      </c>
      <c r="P32" s="141"/>
      <c r="Q32" s="141"/>
      <c r="R32" s="140">
        <f>SUM(P32:Q32)</f>
        <v>0</v>
      </c>
    </row>
    <row r="33" spans="1:18">
      <c r="C33" s="1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</row>
    <row r="34" spans="1:18">
      <c r="A34" s="107" t="s">
        <v>82</v>
      </c>
      <c r="B34" s="1" t="s">
        <v>208</v>
      </c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</row>
    <row r="35" spans="1:18">
      <c r="A35" s="108"/>
      <c r="B35" s="4" t="s">
        <v>209</v>
      </c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</row>
    <row r="36" spans="1:18">
      <c r="B36" s="257" t="s">
        <v>210</v>
      </c>
      <c r="C36" s="257"/>
      <c r="D36" s="86" t="s">
        <v>105</v>
      </c>
      <c r="E36" s="86" t="s">
        <v>124</v>
      </c>
      <c r="F36" s="86" t="s">
        <v>125</v>
      </c>
      <c r="G36" s="86" t="s">
        <v>126</v>
      </c>
      <c r="H36" s="86" t="s">
        <v>127</v>
      </c>
      <c r="I36" s="86" t="s">
        <v>128</v>
      </c>
      <c r="J36" s="86" t="s">
        <v>91</v>
      </c>
      <c r="K36" s="86" t="s">
        <v>92</v>
      </c>
      <c r="L36" s="86" t="s">
        <v>93</v>
      </c>
      <c r="M36" s="86" t="s">
        <v>94</v>
      </c>
      <c r="N36" s="86" t="s">
        <v>171</v>
      </c>
      <c r="P36" s="86" t="s">
        <v>133</v>
      </c>
      <c r="Q36" s="86" t="s">
        <v>133</v>
      </c>
      <c r="R36" s="86" t="s">
        <v>171</v>
      </c>
    </row>
    <row r="37" spans="1:18">
      <c r="B37" s="260" t="s">
        <v>211</v>
      </c>
      <c r="C37" s="260"/>
      <c r="D37" s="140">
        <v>275000</v>
      </c>
      <c r="E37" s="140">
        <f>+D37*1.03</f>
        <v>283250</v>
      </c>
      <c r="F37" s="140">
        <f t="shared" ref="F37:M37" si="3">+E37*1.03</f>
        <v>291747.5</v>
      </c>
      <c r="G37" s="140">
        <f t="shared" si="3"/>
        <v>300499.92499999999</v>
      </c>
      <c r="H37" s="140">
        <f t="shared" si="3"/>
        <v>309514.92274999997</v>
      </c>
      <c r="I37" s="140">
        <f t="shared" si="3"/>
        <v>318800.37043249997</v>
      </c>
      <c r="J37" s="140">
        <f t="shared" si="3"/>
        <v>328364.38154547499</v>
      </c>
      <c r="K37" s="140">
        <f t="shared" si="3"/>
        <v>338215.31299183925</v>
      </c>
      <c r="L37" s="140">
        <f t="shared" si="3"/>
        <v>348361.77238159446</v>
      </c>
      <c r="M37" s="140">
        <f t="shared" si="3"/>
        <v>358812.62555304228</v>
      </c>
      <c r="N37" s="140">
        <f t="shared" ref="N37:N45" si="4">SUM(D37:M37)</f>
        <v>3152566.8106544511</v>
      </c>
      <c r="P37" s="140" t="s">
        <v>96</v>
      </c>
      <c r="Q37" s="140"/>
      <c r="R37" s="140">
        <f t="shared" ref="R37:R46" si="5">SUM(P37:Q37)</f>
        <v>0</v>
      </c>
    </row>
    <row r="38" spans="1:18">
      <c r="B38" s="209" t="s">
        <v>212</v>
      </c>
      <c r="C38" s="210"/>
      <c r="D38" s="140">
        <v>0</v>
      </c>
      <c r="E38" s="140">
        <v>0</v>
      </c>
      <c r="F38" s="140">
        <v>500000</v>
      </c>
      <c r="G38" s="140"/>
      <c r="H38" s="140"/>
      <c r="I38" s="140">
        <v>550000</v>
      </c>
      <c r="J38" s="140"/>
      <c r="K38" s="140"/>
      <c r="L38" s="140">
        <v>600000</v>
      </c>
      <c r="M38" s="140"/>
      <c r="N38" s="140">
        <f t="shared" si="4"/>
        <v>1650000</v>
      </c>
      <c r="P38" s="140" t="s">
        <v>96</v>
      </c>
      <c r="Q38" s="140"/>
      <c r="R38" s="140">
        <f t="shared" si="5"/>
        <v>0</v>
      </c>
    </row>
    <row r="39" spans="1:18">
      <c r="B39" s="209" t="s">
        <v>213</v>
      </c>
      <c r="C39" s="210"/>
      <c r="D39" s="140">
        <v>100000</v>
      </c>
      <c r="E39" s="140">
        <v>100000</v>
      </c>
      <c r="F39" s="140">
        <v>100000</v>
      </c>
      <c r="G39" s="140">
        <v>100000</v>
      </c>
      <c r="H39" s="140">
        <v>100000</v>
      </c>
      <c r="I39" s="140">
        <v>100000</v>
      </c>
      <c r="J39" s="140">
        <v>100000</v>
      </c>
      <c r="K39" s="140">
        <v>100000</v>
      </c>
      <c r="L39" s="140">
        <v>100000</v>
      </c>
      <c r="M39" s="140">
        <v>100000</v>
      </c>
      <c r="N39" s="140">
        <f t="shared" si="4"/>
        <v>1000000</v>
      </c>
      <c r="P39" s="140" t="s">
        <v>96</v>
      </c>
      <c r="Q39" s="140"/>
      <c r="R39" s="140">
        <f t="shared" si="5"/>
        <v>0</v>
      </c>
    </row>
    <row r="40" spans="1:18">
      <c r="B40" s="209" t="s">
        <v>214</v>
      </c>
      <c r="C40" s="210"/>
      <c r="D40" s="140">
        <v>10000</v>
      </c>
      <c r="E40" s="140">
        <v>10000</v>
      </c>
      <c r="F40" s="140">
        <v>10000</v>
      </c>
      <c r="G40" s="140">
        <v>10000</v>
      </c>
      <c r="H40" s="140">
        <v>10000</v>
      </c>
      <c r="I40" s="140">
        <v>10000</v>
      </c>
      <c r="J40" s="140">
        <v>10000</v>
      </c>
      <c r="K40" s="140">
        <v>10000</v>
      </c>
      <c r="L40" s="140">
        <v>10000</v>
      </c>
      <c r="M40" s="140">
        <v>10000</v>
      </c>
      <c r="N40" s="140">
        <f t="shared" si="4"/>
        <v>100000</v>
      </c>
      <c r="P40" s="140" t="s">
        <v>96</v>
      </c>
      <c r="Q40" s="140"/>
      <c r="R40" s="140">
        <f t="shared" si="5"/>
        <v>0</v>
      </c>
    </row>
    <row r="41" spans="1:18">
      <c r="B41" s="263" t="s">
        <v>215</v>
      </c>
      <c r="C41" s="264"/>
      <c r="D41" s="140">
        <v>10000</v>
      </c>
      <c r="E41" s="140">
        <v>10000</v>
      </c>
      <c r="F41" s="140">
        <v>10000</v>
      </c>
      <c r="G41" s="140">
        <v>10000</v>
      </c>
      <c r="H41" s="140">
        <v>10000</v>
      </c>
      <c r="I41" s="140">
        <v>10000</v>
      </c>
      <c r="J41" s="140">
        <v>10000</v>
      </c>
      <c r="K41" s="140">
        <v>10000</v>
      </c>
      <c r="L41" s="140">
        <v>10000</v>
      </c>
      <c r="M41" s="140">
        <v>10000</v>
      </c>
      <c r="N41" s="140">
        <f t="shared" si="4"/>
        <v>100000</v>
      </c>
      <c r="P41" s="140" t="s">
        <v>96</v>
      </c>
      <c r="Q41" s="140"/>
      <c r="R41" s="140">
        <f t="shared" si="5"/>
        <v>0</v>
      </c>
    </row>
    <row r="42" spans="1:18">
      <c r="B42" s="260" t="s">
        <v>216</v>
      </c>
      <c r="C42" s="260"/>
      <c r="D42" s="140">
        <v>100000</v>
      </c>
      <c r="E42" s="140">
        <v>100000</v>
      </c>
      <c r="F42" s="140">
        <v>100000</v>
      </c>
      <c r="G42" s="140">
        <v>100000</v>
      </c>
      <c r="H42" s="140">
        <v>100000</v>
      </c>
      <c r="I42" s="140">
        <v>100000</v>
      </c>
      <c r="J42" s="140">
        <v>100000</v>
      </c>
      <c r="K42" s="140">
        <v>100000</v>
      </c>
      <c r="L42" s="140">
        <v>100000</v>
      </c>
      <c r="M42" s="140">
        <v>100000</v>
      </c>
      <c r="N42" s="140">
        <f t="shared" si="4"/>
        <v>1000000</v>
      </c>
      <c r="P42" s="140" t="s">
        <v>96</v>
      </c>
      <c r="Q42" s="140"/>
      <c r="R42" s="140">
        <f t="shared" si="5"/>
        <v>0</v>
      </c>
    </row>
    <row r="43" spans="1:18">
      <c r="B43" s="260" t="s">
        <v>217</v>
      </c>
      <c r="C43" s="260"/>
      <c r="D43" s="140">
        <v>50000</v>
      </c>
      <c r="E43" s="140">
        <v>50000</v>
      </c>
      <c r="F43" s="140">
        <v>50000</v>
      </c>
      <c r="G43" s="140">
        <v>50000</v>
      </c>
      <c r="H43" s="140">
        <v>50000</v>
      </c>
      <c r="I43" s="140">
        <v>50000</v>
      </c>
      <c r="J43" s="140">
        <v>50000</v>
      </c>
      <c r="K43" s="140">
        <v>50000</v>
      </c>
      <c r="L43" s="140">
        <v>50000</v>
      </c>
      <c r="M43" s="140">
        <v>50000</v>
      </c>
      <c r="N43" s="140">
        <f t="shared" si="4"/>
        <v>500000</v>
      </c>
      <c r="P43" s="140" t="s">
        <v>96</v>
      </c>
      <c r="Q43" s="140"/>
      <c r="R43" s="140">
        <f t="shared" si="5"/>
        <v>0</v>
      </c>
    </row>
    <row r="44" spans="1:18">
      <c r="B44" s="260" t="s">
        <v>218</v>
      </c>
      <c r="C44" s="260"/>
      <c r="D44" s="140">
        <v>217608.2728988931</v>
      </c>
      <c r="E44" s="140">
        <v>312209.56820365239</v>
      </c>
      <c r="F44" s="140">
        <v>361596.43437386514</v>
      </c>
      <c r="G44" s="140">
        <v>362341.5022738651</v>
      </c>
      <c r="H44" s="140">
        <v>368999.09462465817</v>
      </c>
      <c r="I44" s="140">
        <v>379215.98371149239</v>
      </c>
      <c r="J44" s="140">
        <v>379483.77602265571</v>
      </c>
      <c r="K44" s="140">
        <v>379759.60210315394</v>
      </c>
      <c r="L44" s="140">
        <v>380043.70296606707</v>
      </c>
      <c r="M44" s="140">
        <v>335013.93352002196</v>
      </c>
      <c r="N44" s="140">
        <f t="shared" si="4"/>
        <v>3476271.8706983253</v>
      </c>
      <c r="P44" s="140" t="s">
        <v>96</v>
      </c>
      <c r="Q44" s="140"/>
      <c r="R44" s="140">
        <f t="shared" si="5"/>
        <v>0</v>
      </c>
    </row>
    <row r="45" spans="1:18">
      <c r="B45" s="260"/>
      <c r="C45" s="260"/>
      <c r="D45" s="140"/>
      <c r="E45" s="140"/>
      <c r="F45" s="140"/>
      <c r="G45" s="140"/>
      <c r="H45" s="140"/>
      <c r="I45" s="140"/>
      <c r="J45" s="140"/>
      <c r="K45" s="140"/>
      <c r="L45" s="140"/>
      <c r="M45" s="140"/>
      <c r="N45" s="140">
        <f t="shared" si="4"/>
        <v>0</v>
      </c>
      <c r="P45" s="140"/>
      <c r="Q45" s="140"/>
      <c r="R45" s="140">
        <f t="shared" si="5"/>
        <v>0</v>
      </c>
    </row>
    <row r="46" spans="1:18">
      <c r="B46" s="261" t="s">
        <v>205</v>
      </c>
      <c r="C46" s="262"/>
      <c r="D46" s="141">
        <f t="shared" ref="D46:N46" si="6">SUM(D37:D45)</f>
        <v>762608.2728988931</v>
      </c>
      <c r="E46" s="141">
        <f t="shared" si="6"/>
        <v>865459.56820365239</v>
      </c>
      <c r="F46" s="141">
        <f t="shared" si="6"/>
        <v>1423343.9343738651</v>
      </c>
      <c r="G46" s="141">
        <f t="shared" si="6"/>
        <v>932841.42727386509</v>
      </c>
      <c r="H46" s="141">
        <f t="shared" si="6"/>
        <v>948514.01737465803</v>
      </c>
      <c r="I46" s="141">
        <f t="shared" si="6"/>
        <v>1518016.3541439925</v>
      </c>
      <c r="J46" s="141">
        <f t="shared" si="6"/>
        <v>977848.15756813064</v>
      </c>
      <c r="K46" s="141">
        <f t="shared" si="6"/>
        <v>987974.91509499319</v>
      </c>
      <c r="L46" s="141">
        <f t="shared" si="6"/>
        <v>1598405.4753476614</v>
      </c>
      <c r="M46" s="141">
        <f t="shared" si="6"/>
        <v>963826.55907306424</v>
      </c>
      <c r="N46" s="141">
        <f t="shared" si="6"/>
        <v>10978838.681352776</v>
      </c>
      <c r="P46" s="141">
        <f>SUM(P37:P45)</f>
        <v>0</v>
      </c>
      <c r="Q46" s="141">
        <f>SUM(Q37:Q45)</f>
        <v>0</v>
      </c>
      <c r="R46" s="140">
        <f t="shared" si="5"/>
        <v>0</v>
      </c>
    </row>
    <row r="47" spans="1:18">
      <c r="C47" s="1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</row>
  </sheetData>
  <mergeCells count="12">
    <mergeCell ref="B43:C43"/>
    <mergeCell ref="B44:C44"/>
    <mergeCell ref="B45:C45"/>
    <mergeCell ref="B46:C46"/>
    <mergeCell ref="B37:C37"/>
    <mergeCell ref="B42:C42"/>
    <mergeCell ref="B41:C41"/>
    <mergeCell ref="B36:C36"/>
    <mergeCell ref="B30:C30"/>
    <mergeCell ref="B31:C31"/>
    <mergeCell ref="B32:C32"/>
    <mergeCell ref="B10:C10"/>
  </mergeCells>
  <pageMargins left="0.45" right="0" top="0.5" bottom="0" header="0.3" footer="0.3"/>
  <pageSetup scale="7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39997558519241921"/>
    <pageSetUpPr fitToPage="1"/>
  </sheetPr>
  <dimension ref="A1:S274"/>
  <sheetViews>
    <sheetView zoomScale="70" zoomScaleNormal="70" workbookViewId="0" xr3:uid="{9B253EF2-77E0-53E3-AE26-4D66ECD923F3}">
      <selection activeCell="O5" sqref="O5"/>
    </sheetView>
  </sheetViews>
  <sheetFormatPr defaultRowHeight="12.75"/>
  <cols>
    <col min="1" max="1" width="9.5703125" style="2" customWidth="1"/>
    <col min="2" max="2" width="30" style="2" customWidth="1"/>
    <col min="3" max="3" width="13.5703125" style="7" customWidth="1"/>
    <col min="4" max="4" width="13.5703125" style="2" customWidth="1"/>
    <col min="5" max="9" width="15.28515625" style="2" bestFit="1" customWidth="1"/>
    <col min="10" max="10" width="21.7109375" style="2" bestFit="1" customWidth="1"/>
    <col min="11" max="11" width="25.5703125" style="2" customWidth="1"/>
    <col min="12" max="13" width="18.7109375" style="2" bestFit="1" customWidth="1"/>
    <col min="14" max="15" width="15.7109375" style="2" customWidth="1"/>
    <col min="16" max="16" width="12" style="2" bestFit="1" customWidth="1"/>
    <col min="17" max="19" width="9.5703125" style="2" bestFit="1" customWidth="1"/>
    <col min="20" max="211" width="9.140625" style="2"/>
    <col min="212" max="212" width="50.7109375" style="2" customWidth="1"/>
    <col min="213" max="214" width="12.7109375" style="2" customWidth="1"/>
    <col min="215" max="215" width="14.7109375" style="2" customWidth="1"/>
    <col min="216" max="216" width="4.7109375" style="2" customWidth="1"/>
    <col min="217" max="218" width="12.7109375" style="2" customWidth="1"/>
    <col min="219" max="219" width="14.7109375" style="2" customWidth="1"/>
    <col min="220" max="220" width="4.7109375" style="2" customWidth="1"/>
    <col min="221" max="222" width="12.7109375" style="2" customWidth="1"/>
    <col min="223" max="223" width="14.7109375" style="2" customWidth="1"/>
    <col min="224" max="467" width="9.140625" style="2"/>
    <col min="468" max="468" width="50.7109375" style="2" customWidth="1"/>
    <col min="469" max="470" width="12.7109375" style="2" customWidth="1"/>
    <col min="471" max="471" width="14.7109375" style="2" customWidth="1"/>
    <col min="472" max="472" width="4.7109375" style="2" customWidth="1"/>
    <col min="473" max="474" width="12.7109375" style="2" customWidth="1"/>
    <col min="475" max="475" width="14.7109375" style="2" customWidth="1"/>
    <col min="476" max="476" width="4.7109375" style="2" customWidth="1"/>
    <col min="477" max="478" width="12.7109375" style="2" customWidth="1"/>
    <col min="479" max="479" width="14.7109375" style="2" customWidth="1"/>
    <col min="480" max="723" width="9.140625" style="2"/>
    <col min="724" max="724" width="50.7109375" style="2" customWidth="1"/>
    <col min="725" max="726" width="12.7109375" style="2" customWidth="1"/>
    <col min="727" max="727" width="14.7109375" style="2" customWidth="1"/>
    <col min="728" max="728" width="4.7109375" style="2" customWidth="1"/>
    <col min="729" max="730" width="12.7109375" style="2" customWidth="1"/>
    <col min="731" max="731" width="14.7109375" style="2" customWidth="1"/>
    <col min="732" max="732" width="4.7109375" style="2" customWidth="1"/>
    <col min="733" max="734" width="12.7109375" style="2" customWidth="1"/>
    <col min="735" max="735" width="14.7109375" style="2" customWidth="1"/>
    <col min="736" max="979" width="9.140625" style="2"/>
    <col min="980" max="980" width="50.7109375" style="2" customWidth="1"/>
    <col min="981" max="982" width="12.7109375" style="2" customWidth="1"/>
    <col min="983" max="983" width="14.7109375" style="2" customWidth="1"/>
    <col min="984" max="984" width="4.7109375" style="2" customWidth="1"/>
    <col min="985" max="986" width="12.7109375" style="2" customWidth="1"/>
    <col min="987" max="987" width="14.7109375" style="2" customWidth="1"/>
    <col min="988" max="988" width="4.7109375" style="2" customWidth="1"/>
    <col min="989" max="990" width="12.7109375" style="2" customWidth="1"/>
    <col min="991" max="991" width="14.7109375" style="2" customWidth="1"/>
    <col min="992" max="1235" width="9.140625" style="2"/>
    <col min="1236" max="1236" width="50.7109375" style="2" customWidth="1"/>
    <col min="1237" max="1238" width="12.7109375" style="2" customWidth="1"/>
    <col min="1239" max="1239" width="14.7109375" style="2" customWidth="1"/>
    <col min="1240" max="1240" width="4.7109375" style="2" customWidth="1"/>
    <col min="1241" max="1242" width="12.7109375" style="2" customWidth="1"/>
    <col min="1243" max="1243" width="14.7109375" style="2" customWidth="1"/>
    <col min="1244" max="1244" width="4.7109375" style="2" customWidth="1"/>
    <col min="1245" max="1246" width="12.7109375" style="2" customWidth="1"/>
    <col min="1247" max="1247" width="14.7109375" style="2" customWidth="1"/>
    <col min="1248" max="1491" width="9.140625" style="2"/>
    <col min="1492" max="1492" width="50.7109375" style="2" customWidth="1"/>
    <col min="1493" max="1494" width="12.7109375" style="2" customWidth="1"/>
    <col min="1495" max="1495" width="14.7109375" style="2" customWidth="1"/>
    <col min="1496" max="1496" width="4.7109375" style="2" customWidth="1"/>
    <col min="1497" max="1498" width="12.7109375" style="2" customWidth="1"/>
    <col min="1499" max="1499" width="14.7109375" style="2" customWidth="1"/>
    <col min="1500" max="1500" width="4.7109375" style="2" customWidth="1"/>
    <col min="1501" max="1502" width="12.7109375" style="2" customWidth="1"/>
    <col min="1503" max="1503" width="14.7109375" style="2" customWidth="1"/>
    <col min="1504" max="1747" width="9.140625" style="2"/>
    <col min="1748" max="1748" width="50.7109375" style="2" customWidth="1"/>
    <col min="1749" max="1750" width="12.7109375" style="2" customWidth="1"/>
    <col min="1751" max="1751" width="14.7109375" style="2" customWidth="1"/>
    <col min="1752" max="1752" width="4.7109375" style="2" customWidth="1"/>
    <col min="1753" max="1754" width="12.7109375" style="2" customWidth="1"/>
    <col min="1755" max="1755" width="14.7109375" style="2" customWidth="1"/>
    <col min="1756" max="1756" width="4.7109375" style="2" customWidth="1"/>
    <col min="1757" max="1758" width="12.7109375" style="2" customWidth="1"/>
    <col min="1759" max="1759" width="14.7109375" style="2" customWidth="1"/>
    <col min="1760" max="2003" width="9.140625" style="2"/>
    <col min="2004" max="2004" width="50.7109375" style="2" customWidth="1"/>
    <col min="2005" max="2006" width="12.7109375" style="2" customWidth="1"/>
    <col min="2007" max="2007" width="14.7109375" style="2" customWidth="1"/>
    <col min="2008" max="2008" width="4.7109375" style="2" customWidth="1"/>
    <col min="2009" max="2010" width="12.7109375" style="2" customWidth="1"/>
    <col min="2011" max="2011" width="14.7109375" style="2" customWidth="1"/>
    <col min="2012" max="2012" width="4.7109375" style="2" customWidth="1"/>
    <col min="2013" max="2014" width="12.7109375" style="2" customWidth="1"/>
    <col min="2015" max="2015" width="14.7109375" style="2" customWidth="1"/>
    <col min="2016" max="2259" width="9.140625" style="2"/>
    <col min="2260" max="2260" width="50.7109375" style="2" customWidth="1"/>
    <col min="2261" max="2262" width="12.7109375" style="2" customWidth="1"/>
    <col min="2263" max="2263" width="14.7109375" style="2" customWidth="1"/>
    <col min="2264" max="2264" width="4.7109375" style="2" customWidth="1"/>
    <col min="2265" max="2266" width="12.7109375" style="2" customWidth="1"/>
    <col min="2267" max="2267" width="14.7109375" style="2" customWidth="1"/>
    <col min="2268" max="2268" width="4.7109375" style="2" customWidth="1"/>
    <col min="2269" max="2270" width="12.7109375" style="2" customWidth="1"/>
    <col min="2271" max="2271" width="14.7109375" style="2" customWidth="1"/>
    <col min="2272" max="2515" width="9.140625" style="2"/>
    <col min="2516" max="2516" width="50.7109375" style="2" customWidth="1"/>
    <col min="2517" max="2518" width="12.7109375" style="2" customWidth="1"/>
    <col min="2519" max="2519" width="14.7109375" style="2" customWidth="1"/>
    <col min="2520" max="2520" width="4.7109375" style="2" customWidth="1"/>
    <col min="2521" max="2522" width="12.7109375" style="2" customWidth="1"/>
    <col min="2523" max="2523" width="14.7109375" style="2" customWidth="1"/>
    <col min="2524" max="2524" width="4.7109375" style="2" customWidth="1"/>
    <col min="2525" max="2526" width="12.7109375" style="2" customWidth="1"/>
    <col min="2527" max="2527" width="14.7109375" style="2" customWidth="1"/>
    <col min="2528" max="2771" width="9.140625" style="2"/>
    <col min="2772" max="2772" width="50.7109375" style="2" customWidth="1"/>
    <col min="2773" max="2774" width="12.7109375" style="2" customWidth="1"/>
    <col min="2775" max="2775" width="14.7109375" style="2" customWidth="1"/>
    <col min="2776" max="2776" width="4.7109375" style="2" customWidth="1"/>
    <col min="2777" max="2778" width="12.7109375" style="2" customWidth="1"/>
    <col min="2779" max="2779" width="14.7109375" style="2" customWidth="1"/>
    <col min="2780" max="2780" width="4.7109375" style="2" customWidth="1"/>
    <col min="2781" max="2782" width="12.7109375" style="2" customWidth="1"/>
    <col min="2783" max="2783" width="14.7109375" style="2" customWidth="1"/>
    <col min="2784" max="3027" width="9.140625" style="2"/>
    <col min="3028" max="3028" width="50.7109375" style="2" customWidth="1"/>
    <col min="3029" max="3030" width="12.7109375" style="2" customWidth="1"/>
    <col min="3031" max="3031" width="14.7109375" style="2" customWidth="1"/>
    <col min="3032" max="3032" width="4.7109375" style="2" customWidth="1"/>
    <col min="3033" max="3034" width="12.7109375" style="2" customWidth="1"/>
    <col min="3035" max="3035" width="14.7109375" style="2" customWidth="1"/>
    <col min="3036" max="3036" width="4.7109375" style="2" customWidth="1"/>
    <col min="3037" max="3038" width="12.7109375" style="2" customWidth="1"/>
    <col min="3039" max="3039" width="14.7109375" style="2" customWidth="1"/>
    <col min="3040" max="3283" width="9.140625" style="2"/>
    <col min="3284" max="3284" width="50.7109375" style="2" customWidth="1"/>
    <col min="3285" max="3286" width="12.7109375" style="2" customWidth="1"/>
    <col min="3287" max="3287" width="14.7109375" style="2" customWidth="1"/>
    <col min="3288" max="3288" width="4.7109375" style="2" customWidth="1"/>
    <col min="3289" max="3290" width="12.7109375" style="2" customWidth="1"/>
    <col min="3291" max="3291" width="14.7109375" style="2" customWidth="1"/>
    <col min="3292" max="3292" width="4.7109375" style="2" customWidth="1"/>
    <col min="3293" max="3294" width="12.7109375" style="2" customWidth="1"/>
    <col min="3295" max="3295" width="14.7109375" style="2" customWidth="1"/>
    <col min="3296" max="3539" width="9.140625" style="2"/>
    <col min="3540" max="3540" width="50.7109375" style="2" customWidth="1"/>
    <col min="3541" max="3542" width="12.7109375" style="2" customWidth="1"/>
    <col min="3543" max="3543" width="14.7109375" style="2" customWidth="1"/>
    <col min="3544" max="3544" width="4.7109375" style="2" customWidth="1"/>
    <col min="3545" max="3546" width="12.7109375" style="2" customWidth="1"/>
    <col min="3547" max="3547" width="14.7109375" style="2" customWidth="1"/>
    <col min="3548" max="3548" width="4.7109375" style="2" customWidth="1"/>
    <col min="3549" max="3550" width="12.7109375" style="2" customWidth="1"/>
    <col min="3551" max="3551" width="14.7109375" style="2" customWidth="1"/>
    <col min="3552" max="3795" width="9.140625" style="2"/>
    <col min="3796" max="3796" width="50.7109375" style="2" customWidth="1"/>
    <col min="3797" max="3798" width="12.7109375" style="2" customWidth="1"/>
    <col min="3799" max="3799" width="14.7109375" style="2" customWidth="1"/>
    <col min="3800" max="3800" width="4.7109375" style="2" customWidth="1"/>
    <col min="3801" max="3802" width="12.7109375" style="2" customWidth="1"/>
    <col min="3803" max="3803" width="14.7109375" style="2" customWidth="1"/>
    <col min="3804" max="3804" width="4.7109375" style="2" customWidth="1"/>
    <col min="3805" max="3806" width="12.7109375" style="2" customWidth="1"/>
    <col min="3807" max="3807" width="14.7109375" style="2" customWidth="1"/>
    <col min="3808" max="4051" width="9.140625" style="2"/>
    <col min="4052" max="4052" width="50.7109375" style="2" customWidth="1"/>
    <col min="4053" max="4054" width="12.7109375" style="2" customWidth="1"/>
    <col min="4055" max="4055" width="14.7109375" style="2" customWidth="1"/>
    <col min="4056" max="4056" width="4.7109375" style="2" customWidth="1"/>
    <col min="4057" max="4058" width="12.7109375" style="2" customWidth="1"/>
    <col min="4059" max="4059" width="14.7109375" style="2" customWidth="1"/>
    <col min="4060" max="4060" width="4.7109375" style="2" customWidth="1"/>
    <col min="4061" max="4062" width="12.7109375" style="2" customWidth="1"/>
    <col min="4063" max="4063" width="14.7109375" style="2" customWidth="1"/>
    <col min="4064" max="4307" width="9.140625" style="2"/>
    <col min="4308" max="4308" width="50.7109375" style="2" customWidth="1"/>
    <col min="4309" max="4310" width="12.7109375" style="2" customWidth="1"/>
    <col min="4311" max="4311" width="14.7109375" style="2" customWidth="1"/>
    <col min="4312" max="4312" width="4.7109375" style="2" customWidth="1"/>
    <col min="4313" max="4314" width="12.7109375" style="2" customWidth="1"/>
    <col min="4315" max="4315" width="14.7109375" style="2" customWidth="1"/>
    <col min="4316" max="4316" width="4.7109375" style="2" customWidth="1"/>
    <col min="4317" max="4318" width="12.7109375" style="2" customWidth="1"/>
    <col min="4319" max="4319" width="14.7109375" style="2" customWidth="1"/>
    <col min="4320" max="4563" width="9.140625" style="2"/>
    <col min="4564" max="4564" width="50.7109375" style="2" customWidth="1"/>
    <col min="4565" max="4566" width="12.7109375" style="2" customWidth="1"/>
    <col min="4567" max="4567" width="14.7109375" style="2" customWidth="1"/>
    <col min="4568" max="4568" width="4.7109375" style="2" customWidth="1"/>
    <col min="4569" max="4570" width="12.7109375" style="2" customWidth="1"/>
    <col min="4571" max="4571" width="14.7109375" style="2" customWidth="1"/>
    <col min="4572" max="4572" width="4.7109375" style="2" customWidth="1"/>
    <col min="4573" max="4574" width="12.7109375" style="2" customWidth="1"/>
    <col min="4575" max="4575" width="14.7109375" style="2" customWidth="1"/>
    <col min="4576" max="4819" width="9.140625" style="2"/>
    <col min="4820" max="4820" width="50.7109375" style="2" customWidth="1"/>
    <col min="4821" max="4822" width="12.7109375" style="2" customWidth="1"/>
    <col min="4823" max="4823" width="14.7109375" style="2" customWidth="1"/>
    <col min="4824" max="4824" width="4.7109375" style="2" customWidth="1"/>
    <col min="4825" max="4826" width="12.7109375" style="2" customWidth="1"/>
    <col min="4827" max="4827" width="14.7109375" style="2" customWidth="1"/>
    <col min="4828" max="4828" width="4.7109375" style="2" customWidth="1"/>
    <col min="4829" max="4830" width="12.7109375" style="2" customWidth="1"/>
    <col min="4831" max="4831" width="14.7109375" style="2" customWidth="1"/>
    <col min="4832" max="5075" width="9.140625" style="2"/>
    <col min="5076" max="5076" width="50.7109375" style="2" customWidth="1"/>
    <col min="5077" max="5078" width="12.7109375" style="2" customWidth="1"/>
    <col min="5079" max="5079" width="14.7109375" style="2" customWidth="1"/>
    <col min="5080" max="5080" width="4.7109375" style="2" customWidth="1"/>
    <col min="5081" max="5082" width="12.7109375" style="2" customWidth="1"/>
    <col min="5083" max="5083" width="14.7109375" style="2" customWidth="1"/>
    <col min="5084" max="5084" width="4.7109375" style="2" customWidth="1"/>
    <col min="5085" max="5086" width="12.7109375" style="2" customWidth="1"/>
    <col min="5087" max="5087" width="14.7109375" style="2" customWidth="1"/>
    <col min="5088" max="5331" width="9.140625" style="2"/>
    <col min="5332" max="5332" width="50.7109375" style="2" customWidth="1"/>
    <col min="5333" max="5334" width="12.7109375" style="2" customWidth="1"/>
    <col min="5335" max="5335" width="14.7109375" style="2" customWidth="1"/>
    <col min="5336" max="5336" width="4.7109375" style="2" customWidth="1"/>
    <col min="5337" max="5338" width="12.7109375" style="2" customWidth="1"/>
    <col min="5339" max="5339" width="14.7109375" style="2" customWidth="1"/>
    <col min="5340" max="5340" width="4.7109375" style="2" customWidth="1"/>
    <col min="5341" max="5342" width="12.7109375" style="2" customWidth="1"/>
    <col min="5343" max="5343" width="14.7109375" style="2" customWidth="1"/>
    <col min="5344" max="5587" width="9.140625" style="2"/>
    <col min="5588" max="5588" width="50.7109375" style="2" customWidth="1"/>
    <col min="5589" max="5590" width="12.7109375" style="2" customWidth="1"/>
    <col min="5591" max="5591" width="14.7109375" style="2" customWidth="1"/>
    <col min="5592" max="5592" width="4.7109375" style="2" customWidth="1"/>
    <col min="5593" max="5594" width="12.7109375" style="2" customWidth="1"/>
    <col min="5595" max="5595" width="14.7109375" style="2" customWidth="1"/>
    <col min="5596" max="5596" width="4.7109375" style="2" customWidth="1"/>
    <col min="5597" max="5598" width="12.7109375" style="2" customWidth="1"/>
    <col min="5599" max="5599" width="14.7109375" style="2" customWidth="1"/>
    <col min="5600" max="5843" width="9.140625" style="2"/>
    <col min="5844" max="5844" width="50.7109375" style="2" customWidth="1"/>
    <col min="5845" max="5846" width="12.7109375" style="2" customWidth="1"/>
    <col min="5847" max="5847" width="14.7109375" style="2" customWidth="1"/>
    <col min="5848" max="5848" width="4.7109375" style="2" customWidth="1"/>
    <col min="5849" max="5850" width="12.7109375" style="2" customWidth="1"/>
    <col min="5851" max="5851" width="14.7109375" style="2" customWidth="1"/>
    <col min="5852" max="5852" width="4.7109375" style="2" customWidth="1"/>
    <col min="5853" max="5854" width="12.7109375" style="2" customWidth="1"/>
    <col min="5855" max="5855" width="14.7109375" style="2" customWidth="1"/>
    <col min="5856" max="6099" width="9.140625" style="2"/>
    <col min="6100" max="6100" width="50.7109375" style="2" customWidth="1"/>
    <col min="6101" max="6102" width="12.7109375" style="2" customWidth="1"/>
    <col min="6103" max="6103" width="14.7109375" style="2" customWidth="1"/>
    <col min="6104" max="6104" width="4.7109375" style="2" customWidth="1"/>
    <col min="6105" max="6106" width="12.7109375" style="2" customWidth="1"/>
    <col min="6107" max="6107" width="14.7109375" style="2" customWidth="1"/>
    <col min="6108" max="6108" width="4.7109375" style="2" customWidth="1"/>
    <col min="6109" max="6110" width="12.7109375" style="2" customWidth="1"/>
    <col min="6111" max="6111" width="14.7109375" style="2" customWidth="1"/>
    <col min="6112" max="6355" width="9.140625" style="2"/>
    <col min="6356" max="6356" width="50.7109375" style="2" customWidth="1"/>
    <col min="6357" max="6358" width="12.7109375" style="2" customWidth="1"/>
    <col min="6359" max="6359" width="14.7109375" style="2" customWidth="1"/>
    <col min="6360" max="6360" width="4.7109375" style="2" customWidth="1"/>
    <col min="6361" max="6362" width="12.7109375" style="2" customWidth="1"/>
    <col min="6363" max="6363" width="14.7109375" style="2" customWidth="1"/>
    <col min="6364" max="6364" width="4.7109375" style="2" customWidth="1"/>
    <col min="6365" max="6366" width="12.7109375" style="2" customWidth="1"/>
    <col min="6367" max="6367" width="14.7109375" style="2" customWidth="1"/>
    <col min="6368" max="6611" width="9.140625" style="2"/>
    <col min="6612" max="6612" width="50.7109375" style="2" customWidth="1"/>
    <col min="6613" max="6614" width="12.7109375" style="2" customWidth="1"/>
    <col min="6615" max="6615" width="14.7109375" style="2" customWidth="1"/>
    <col min="6616" max="6616" width="4.7109375" style="2" customWidth="1"/>
    <col min="6617" max="6618" width="12.7109375" style="2" customWidth="1"/>
    <col min="6619" max="6619" width="14.7109375" style="2" customWidth="1"/>
    <col min="6620" max="6620" width="4.7109375" style="2" customWidth="1"/>
    <col min="6621" max="6622" width="12.7109375" style="2" customWidth="1"/>
    <col min="6623" max="6623" width="14.7109375" style="2" customWidth="1"/>
    <col min="6624" max="6867" width="9.140625" style="2"/>
    <col min="6868" max="6868" width="50.7109375" style="2" customWidth="1"/>
    <col min="6869" max="6870" width="12.7109375" style="2" customWidth="1"/>
    <col min="6871" max="6871" width="14.7109375" style="2" customWidth="1"/>
    <col min="6872" max="6872" width="4.7109375" style="2" customWidth="1"/>
    <col min="6873" max="6874" width="12.7109375" style="2" customWidth="1"/>
    <col min="6875" max="6875" width="14.7109375" style="2" customWidth="1"/>
    <col min="6876" max="6876" width="4.7109375" style="2" customWidth="1"/>
    <col min="6877" max="6878" width="12.7109375" style="2" customWidth="1"/>
    <col min="6879" max="6879" width="14.7109375" style="2" customWidth="1"/>
    <col min="6880" max="7123" width="9.140625" style="2"/>
    <col min="7124" max="7124" width="50.7109375" style="2" customWidth="1"/>
    <col min="7125" max="7126" width="12.7109375" style="2" customWidth="1"/>
    <col min="7127" max="7127" width="14.7109375" style="2" customWidth="1"/>
    <col min="7128" max="7128" width="4.7109375" style="2" customWidth="1"/>
    <col min="7129" max="7130" width="12.7109375" style="2" customWidth="1"/>
    <col min="7131" max="7131" width="14.7109375" style="2" customWidth="1"/>
    <col min="7132" max="7132" width="4.7109375" style="2" customWidth="1"/>
    <col min="7133" max="7134" width="12.7109375" style="2" customWidth="1"/>
    <col min="7135" max="7135" width="14.7109375" style="2" customWidth="1"/>
    <col min="7136" max="7379" width="9.140625" style="2"/>
    <col min="7380" max="7380" width="50.7109375" style="2" customWidth="1"/>
    <col min="7381" max="7382" width="12.7109375" style="2" customWidth="1"/>
    <col min="7383" max="7383" width="14.7109375" style="2" customWidth="1"/>
    <col min="7384" max="7384" width="4.7109375" style="2" customWidth="1"/>
    <col min="7385" max="7386" width="12.7109375" style="2" customWidth="1"/>
    <col min="7387" max="7387" width="14.7109375" style="2" customWidth="1"/>
    <col min="7388" max="7388" width="4.7109375" style="2" customWidth="1"/>
    <col min="7389" max="7390" width="12.7109375" style="2" customWidth="1"/>
    <col min="7391" max="7391" width="14.7109375" style="2" customWidth="1"/>
    <col min="7392" max="7635" width="9.140625" style="2"/>
    <col min="7636" max="7636" width="50.7109375" style="2" customWidth="1"/>
    <col min="7637" max="7638" width="12.7109375" style="2" customWidth="1"/>
    <col min="7639" max="7639" width="14.7109375" style="2" customWidth="1"/>
    <col min="7640" max="7640" width="4.7109375" style="2" customWidth="1"/>
    <col min="7641" max="7642" width="12.7109375" style="2" customWidth="1"/>
    <col min="7643" max="7643" width="14.7109375" style="2" customWidth="1"/>
    <col min="7644" max="7644" width="4.7109375" style="2" customWidth="1"/>
    <col min="7645" max="7646" width="12.7109375" style="2" customWidth="1"/>
    <col min="7647" max="7647" width="14.7109375" style="2" customWidth="1"/>
    <col min="7648" max="7891" width="9.140625" style="2"/>
    <col min="7892" max="7892" width="50.7109375" style="2" customWidth="1"/>
    <col min="7893" max="7894" width="12.7109375" style="2" customWidth="1"/>
    <col min="7895" max="7895" width="14.7109375" style="2" customWidth="1"/>
    <col min="7896" max="7896" width="4.7109375" style="2" customWidth="1"/>
    <col min="7897" max="7898" width="12.7109375" style="2" customWidth="1"/>
    <col min="7899" max="7899" width="14.7109375" style="2" customWidth="1"/>
    <col min="7900" max="7900" width="4.7109375" style="2" customWidth="1"/>
    <col min="7901" max="7902" width="12.7109375" style="2" customWidth="1"/>
    <col min="7903" max="7903" width="14.7109375" style="2" customWidth="1"/>
    <col min="7904" max="8147" width="9.140625" style="2"/>
    <col min="8148" max="8148" width="50.7109375" style="2" customWidth="1"/>
    <col min="8149" max="8150" width="12.7109375" style="2" customWidth="1"/>
    <col min="8151" max="8151" width="14.7109375" style="2" customWidth="1"/>
    <col min="8152" max="8152" width="4.7109375" style="2" customWidth="1"/>
    <col min="8153" max="8154" width="12.7109375" style="2" customWidth="1"/>
    <col min="8155" max="8155" width="14.7109375" style="2" customWidth="1"/>
    <col min="8156" max="8156" width="4.7109375" style="2" customWidth="1"/>
    <col min="8157" max="8158" width="12.7109375" style="2" customWidth="1"/>
    <col min="8159" max="8159" width="14.7109375" style="2" customWidth="1"/>
    <col min="8160" max="8403" width="9.140625" style="2"/>
    <col min="8404" max="8404" width="50.7109375" style="2" customWidth="1"/>
    <col min="8405" max="8406" width="12.7109375" style="2" customWidth="1"/>
    <col min="8407" max="8407" width="14.7109375" style="2" customWidth="1"/>
    <col min="8408" max="8408" width="4.7109375" style="2" customWidth="1"/>
    <col min="8409" max="8410" width="12.7109375" style="2" customWidth="1"/>
    <col min="8411" max="8411" width="14.7109375" style="2" customWidth="1"/>
    <col min="8412" max="8412" width="4.7109375" style="2" customWidth="1"/>
    <col min="8413" max="8414" width="12.7109375" style="2" customWidth="1"/>
    <col min="8415" max="8415" width="14.7109375" style="2" customWidth="1"/>
    <col min="8416" max="8659" width="9.140625" style="2"/>
    <col min="8660" max="8660" width="50.7109375" style="2" customWidth="1"/>
    <col min="8661" max="8662" width="12.7109375" style="2" customWidth="1"/>
    <col min="8663" max="8663" width="14.7109375" style="2" customWidth="1"/>
    <col min="8664" max="8664" width="4.7109375" style="2" customWidth="1"/>
    <col min="8665" max="8666" width="12.7109375" style="2" customWidth="1"/>
    <col min="8667" max="8667" width="14.7109375" style="2" customWidth="1"/>
    <col min="8668" max="8668" width="4.7109375" style="2" customWidth="1"/>
    <col min="8669" max="8670" width="12.7109375" style="2" customWidth="1"/>
    <col min="8671" max="8671" width="14.7109375" style="2" customWidth="1"/>
    <col min="8672" max="8915" width="9.140625" style="2"/>
    <col min="8916" max="8916" width="50.7109375" style="2" customWidth="1"/>
    <col min="8917" max="8918" width="12.7109375" style="2" customWidth="1"/>
    <col min="8919" max="8919" width="14.7109375" style="2" customWidth="1"/>
    <col min="8920" max="8920" width="4.7109375" style="2" customWidth="1"/>
    <col min="8921" max="8922" width="12.7109375" style="2" customWidth="1"/>
    <col min="8923" max="8923" width="14.7109375" style="2" customWidth="1"/>
    <col min="8924" max="8924" width="4.7109375" style="2" customWidth="1"/>
    <col min="8925" max="8926" width="12.7109375" style="2" customWidth="1"/>
    <col min="8927" max="8927" width="14.7109375" style="2" customWidth="1"/>
    <col min="8928" max="9171" width="9.140625" style="2"/>
    <col min="9172" max="9172" width="50.7109375" style="2" customWidth="1"/>
    <col min="9173" max="9174" width="12.7109375" style="2" customWidth="1"/>
    <col min="9175" max="9175" width="14.7109375" style="2" customWidth="1"/>
    <col min="9176" max="9176" width="4.7109375" style="2" customWidth="1"/>
    <col min="9177" max="9178" width="12.7109375" style="2" customWidth="1"/>
    <col min="9179" max="9179" width="14.7109375" style="2" customWidth="1"/>
    <col min="9180" max="9180" width="4.7109375" style="2" customWidth="1"/>
    <col min="9181" max="9182" width="12.7109375" style="2" customWidth="1"/>
    <col min="9183" max="9183" width="14.7109375" style="2" customWidth="1"/>
    <col min="9184" max="9427" width="9.140625" style="2"/>
    <col min="9428" max="9428" width="50.7109375" style="2" customWidth="1"/>
    <col min="9429" max="9430" width="12.7109375" style="2" customWidth="1"/>
    <col min="9431" max="9431" width="14.7109375" style="2" customWidth="1"/>
    <col min="9432" max="9432" width="4.7109375" style="2" customWidth="1"/>
    <col min="9433" max="9434" width="12.7109375" style="2" customWidth="1"/>
    <col min="9435" max="9435" width="14.7109375" style="2" customWidth="1"/>
    <col min="9436" max="9436" width="4.7109375" style="2" customWidth="1"/>
    <col min="9437" max="9438" width="12.7109375" style="2" customWidth="1"/>
    <col min="9439" max="9439" width="14.7109375" style="2" customWidth="1"/>
    <col min="9440" max="9683" width="9.140625" style="2"/>
    <col min="9684" max="9684" width="50.7109375" style="2" customWidth="1"/>
    <col min="9685" max="9686" width="12.7109375" style="2" customWidth="1"/>
    <col min="9687" max="9687" width="14.7109375" style="2" customWidth="1"/>
    <col min="9688" max="9688" width="4.7109375" style="2" customWidth="1"/>
    <col min="9689" max="9690" width="12.7109375" style="2" customWidth="1"/>
    <col min="9691" max="9691" width="14.7109375" style="2" customWidth="1"/>
    <col min="9692" max="9692" width="4.7109375" style="2" customWidth="1"/>
    <col min="9693" max="9694" width="12.7109375" style="2" customWidth="1"/>
    <col min="9695" max="9695" width="14.7109375" style="2" customWidth="1"/>
    <col min="9696" max="9939" width="9.140625" style="2"/>
    <col min="9940" max="9940" width="50.7109375" style="2" customWidth="1"/>
    <col min="9941" max="9942" width="12.7109375" style="2" customWidth="1"/>
    <col min="9943" max="9943" width="14.7109375" style="2" customWidth="1"/>
    <col min="9944" max="9944" width="4.7109375" style="2" customWidth="1"/>
    <col min="9945" max="9946" width="12.7109375" style="2" customWidth="1"/>
    <col min="9947" max="9947" width="14.7109375" style="2" customWidth="1"/>
    <col min="9948" max="9948" width="4.7109375" style="2" customWidth="1"/>
    <col min="9949" max="9950" width="12.7109375" style="2" customWidth="1"/>
    <col min="9951" max="9951" width="14.7109375" style="2" customWidth="1"/>
    <col min="9952" max="10195" width="9.140625" style="2"/>
    <col min="10196" max="10196" width="50.7109375" style="2" customWidth="1"/>
    <col min="10197" max="10198" width="12.7109375" style="2" customWidth="1"/>
    <col min="10199" max="10199" width="14.7109375" style="2" customWidth="1"/>
    <col min="10200" max="10200" width="4.7109375" style="2" customWidth="1"/>
    <col min="10201" max="10202" width="12.7109375" style="2" customWidth="1"/>
    <col min="10203" max="10203" width="14.7109375" style="2" customWidth="1"/>
    <col min="10204" max="10204" width="4.7109375" style="2" customWidth="1"/>
    <col min="10205" max="10206" width="12.7109375" style="2" customWidth="1"/>
    <col min="10207" max="10207" width="14.7109375" style="2" customWidth="1"/>
    <col min="10208" max="10451" width="9.140625" style="2"/>
    <col min="10452" max="10452" width="50.7109375" style="2" customWidth="1"/>
    <col min="10453" max="10454" width="12.7109375" style="2" customWidth="1"/>
    <col min="10455" max="10455" width="14.7109375" style="2" customWidth="1"/>
    <col min="10456" max="10456" width="4.7109375" style="2" customWidth="1"/>
    <col min="10457" max="10458" width="12.7109375" style="2" customWidth="1"/>
    <col min="10459" max="10459" width="14.7109375" style="2" customWidth="1"/>
    <col min="10460" max="10460" width="4.7109375" style="2" customWidth="1"/>
    <col min="10461" max="10462" width="12.7109375" style="2" customWidth="1"/>
    <col min="10463" max="10463" width="14.7109375" style="2" customWidth="1"/>
    <col min="10464" max="10707" width="9.140625" style="2"/>
    <col min="10708" max="10708" width="50.7109375" style="2" customWidth="1"/>
    <col min="10709" max="10710" width="12.7109375" style="2" customWidth="1"/>
    <col min="10711" max="10711" width="14.7109375" style="2" customWidth="1"/>
    <col min="10712" max="10712" width="4.7109375" style="2" customWidth="1"/>
    <col min="10713" max="10714" width="12.7109375" style="2" customWidth="1"/>
    <col min="10715" max="10715" width="14.7109375" style="2" customWidth="1"/>
    <col min="10716" max="10716" width="4.7109375" style="2" customWidth="1"/>
    <col min="10717" max="10718" width="12.7109375" style="2" customWidth="1"/>
    <col min="10719" max="10719" width="14.7109375" style="2" customWidth="1"/>
    <col min="10720" max="10963" width="9.140625" style="2"/>
    <col min="10964" max="10964" width="50.7109375" style="2" customWidth="1"/>
    <col min="10965" max="10966" width="12.7109375" style="2" customWidth="1"/>
    <col min="10967" max="10967" width="14.7109375" style="2" customWidth="1"/>
    <col min="10968" max="10968" width="4.7109375" style="2" customWidth="1"/>
    <col min="10969" max="10970" width="12.7109375" style="2" customWidth="1"/>
    <col min="10971" max="10971" width="14.7109375" style="2" customWidth="1"/>
    <col min="10972" max="10972" width="4.7109375" style="2" customWidth="1"/>
    <col min="10973" max="10974" width="12.7109375" style="2" customWidth="1"/>
    <col min="10975" max="10975" width="14.7109375" style="2" customWidth="1"/>
    <col min="10976" max="11219" width="9.140625" style="2"/>
    <col min="11220" max="11220" width="50.7109375" style="2" customWidth="1"/>
    <col min="11221" max="11222" width="12.7109375" style="2" customWidth="1"/>
    <col min="11223" max="11223" width="14.7109375" style="2" customWidth="1"/>
    <col min="11224" max="11224" width="4.7109375" style="2" customWidth="1"/>
    <col min="11225" max="11226" width="12.7109375" style="2" customWidth="1"/>
    <col min="11227" max="11227" width="14.7109375" style="2" customWidth="1"/>
    <col min="11228" max="11228" width="4.7109375" style="2" customWidth="1"/>
    <col min="11229" max="11230" width="12.7109375" style="2" customWidth="1"/>
    <col min="11231" max="11231" width="14.7109375" style="2" customWidth="1"/>
    <col min="11232" max="11475" width="9.140625" style="2"/>
    <col min="11476" max="11476" width="50.7109375" style="2" customWidth="1"/>
    <col min="11477" max="11478" width="12.7109375" style="2" customWidth="1"/>
    <col min="11479" max="11479" width="14.7109375" style="2" customWidth="1"/>
    <col min="11480" max="11480" width="4.7109375" style="2" customWidth="1"/>
    <col min="11481" max="11482" width="12.7109375" style="2" customWidth="1"/>
    <col min="11483" max="11483" width="14.7109375" style="2" customWidth="1"/>
    <col min="11484" max="11484" width="4.7109375" style="2" customWidth="1"/>
    <col min="11485" max="11486" width="12.7109375" style="2" customWidth="1"/>
    <col min="11487" max="11487" width="14.7109375" style="2" customWidth="1"/>
    <col min="11488" max="11731" width="9.140625" style="2"/>
    <col min="11732" max="11732" width="50.7109375" style="2" customWidth="1"/>
    <col min="11733" max="11734" width="12.7109375" style="2" customWidth="1"/>
    <col min="11735" max="11735" width="14.7109375" style="2" customWidth="1"/>
    <col min="11736" max="11736" width="4.7109375" style="2" customWidth="1"/>
    <col min="11737" max="11738" width="12.7109375" style="2" customWidth="1"/>
    <col min="11739" max="11739" width="14.7109375" style="2" customWidth="1"/>
    <col min="11740" max="11740" width="4.7109375" style="2" customWidth="1"/>
    <col min="11741" max="11742" width="12.7109375" style="2" customWidth="1"/>
    <col min="11743" max="11743" width="14.7109375" style="2" customWidth="1"/>
    <col min="11744" max="11987" width="9.140625" style="2"/>
    <col min="11988" max="11988" width="50.7109375" style="2" customWidth="1"/>
    <col min="11989" max="11990" width="12.7109375" style="2" customWidth="1"/>
    <col min="11991" max="11991" width="14.7109375" style="2" customWidth="1"/>
    <col min="11992" max="11992" width="4.7109375" style="2" customWidth="1"/>
    <col min="11993" max="11994" width="12.7109375" style="2" customWidth="1"/>
    <col min="11995" max="11995" width="14.7109375" style="2" customWidth="1"/>
    <col min="11996" max="11996" width="4.7109375" style="2" customWidth="1"/>
    <col min="11997" max="11998" width="12.7109375" style="2" customWidth="1"/>
    <col min="11999" max="11999" width="14.7109375" style="2" customWidth="1"/>
    <col min="12000" max="12243" width="9.140625" style="2"/>
    <col min="12244" max="12244" width="50.7109375" style="2" customWidth="1"/>
    <col min="12245" max="12246" width="12.7109375" style="2" customWidth="1"/>
    <col min="12247" max="12247" width="14.7109375" style="2" customWidth="1"/>
    <col min="12248" max="12248" width="4.7109375" style="2" customWidth="1"/>
    <col min="12249" max="12250" width="12.7109375" style="2" customWidth="1"/>
    <col min="12251" max="12251" width="14.7109375" style="2" customWidth="1"/>
    <col min="12252" max="12252" width="4.7109375" style="2" customWidth="1"/>
    <col min="12253" max="12254" width="12.7109375" style="2" customWidth="1"/>
    <col min="12255" max="12255" width="14.7109375" style="2" customWidth="1"/>
    <col min="12256" max="12499" width="9.140625" style="2"/>
    <col min="12500" max="12500" width="50.7109375" style="2" customWidth="1"/>
    <col min="12501" max="12502" width="12.7109375" style="2" customWidth="1"/>
    <col min="12503" max="12503" width="14.7109375" style="2" customWidth="1"/>
    <col min="12504" max="12504" width="4.7109375" style="2" customWidth="1"/>
    <col min="12505" max="12506" width="12.7109375" style="2" customWidth="1"/>
    <col min="12507" max="12507" width="14.7109375" style="2" customWidth="1"/>
    <col min="12508" max="12508" width="4.7109375" style="2" customWidth="1"/>
    <col min="12509" max="12510" width="12.7109375" style="2" customWidth="1"/>
    <col min="12511" max="12511" width="14.7109375" style="2" customWidth="1"/>
    <col min="12512" max="12755" width="9.140625" style="2"/>
    <col min="12756" max="12756" width="50.7109375" style="2" customWidth="1"/>
    <col min="12757" max="12758" width="12.7109375" style="2" customWidth="1"/>
    <col min="12759" max="12759" width="14.7109375" style="2" customWidth="1"/>
    <col min="12760" max="12760" width="4.7109375" style="2" customWidth="1"/>
    <col min="12761" max="12762" width="12.7109375" style="2" customWidth="1"/>
    <col min="12763" max="12763" width="14.7109375" style="2" customWidth="1"/>
    <col min="12764" max="12764" width="4.7109375" style="2" customWidth="1"/>
    <col min="12765" max="12766" width="12.7109375" style="2" customWidth="1"/>
    <col min="12767" max="12767" width="14.7109375" style="2" customWidth="1"/>
    <col min="12768" max="13011" width="9.140625" style="2"/>
    <col min="13012" max="13012" width="50.7109375" style="2" customWidth="1"/>
    <col min="13013" max="13014" width="12.7109375" style="2" customWidth="1"/>
    <col min="13015" max="13015" width="14.7109375" style="2" customWidth="1"/>
    <col min="13016" max="13016" width="4.7109375" style="2" customWidth="1"/>
    <col min="13017" max="13018" width="12.7109375" style="2" customWidth="1"/>
    <col min="13019" max="13019" width="14.7109375" style="2" customWidth="1"/>
    <col min="13020" max="13020" width="4.7109375" style="2" customWidth="1"/>
    <col min="13021" max="13022" width="12.7109375" style="2" customWidth="1"/>
    <col min="13023" max="13023" width="14.7109375" style="2" customWidth="1"/>
    <col min="13024" max="13267" width="9.140625" style="2"/>
    <col min="13268" max="13268" width="50.7109375" style="2" customWidth="1"/>
    <col min="13269" max="13270" width="12.7109375" style="2" customWidth="1"/>
    <col min="13271" max="13271" width="14.7109375" style="2" customWidth="1"/>
    <col min="13272" max="13272" width="4.7109375" style="2" customWidth="1"/>
    <col min="13273" max="13274" width="12.7109375" style="2" customWidth="1"/>
    <col min="13275" max="13275" width="14.7109375" style="2" customWidth="1"/>
    <col min="13276" max="13276" width="4.7109375" style="2" customWidth="1"/>
    <col min="13277" max="13278" width="12.7109375" style="2" customWidth="1"/>
    <col min="13279" max="13279" width="14.7109375" style="2" customWidth="1"/>
    <col min="13280" max="13523" width="9.140625" style="2"/>
    <col min="13524" max="13524" width="50.7109375" style="2" customWidth="1"/>
    <col min="13525" max="13526" width="12.7109375" style="2" customWidth="1"/>
    <col min="13527" max="13527" width="14.7109375" style="2" customWidth="1"/>
    <col min="13528" max="13528" width="4.7109375" style="2" customWidth="1"/>
    <col min="13529" max="13530" width="12.7109375" style="2" customWidth="1"/>
    <col min="13531" max="13531" width="14.7109375" style="2" customWidth="1"/>
    <col min="13532" max="13532" width="4.7109375" style="2" customWidth="1"/>
    <col min="13533" max="13534" width="12.7109375" style="2" customWidth="1"/>
    <col min="13535" max="13535" width="14.7109375" style="2" customWidth="1"/>
    <col min="13536" max="13779" width="9.140625" style="2"/>
    <col min="13780" max="13780" width="50.7109375" style="2" customWidth="1"/>
    <col min="13781" max="13782" width="12.7109375" style="2" customWidth="1"/>
    <col min="13783" max="13783" width="14.7109375" style="2" customWidth="1"/>
    <col min="13784" max="13784" width="4.7109375" style="2" customWidth="1"/>
    <col min="13785" max="13786" width="12.7109375" style="2" customWidth="1"/>
    <col min="13787" max="13787" width="14.7109375" style="2" customWidth="1"/>
    <col min="13788" max="13788" width="4.7109375" style="2" customWidth="1"/>
    <col min="13789" max="13790" width="12.7109375" style="2" customWidth="1"/>
    <col min="13791" max="13791" width="14.7109375" style="2" customWidth="1"/>
    <col min="13792" max="14035" width="9.140625" style="2"/>
    <col min="14036" max="14036" width="50.7109375" style="2" customWidth="1"/>
    <col min="14037" max="14038" width="12.7109375" style="2" customWidth="1"/>
    <col min="14039" max="14039" width="14.7109375" style="2" customWidth="1"/>
    <col min="14040" max="14040" width="4.7109375" style="2" customWidth="1"/>
    <col min="14041" max="14042" width="12.7109375" style="2" customWidth="1"/>
    <col min="14043" max="14043" width="14.7109375" style="2" customWidth="1"/>
    <col min="14044" max="14044" width="4.7109375" style="2" customWidth="1"/>
    <col min="14045" max="14046" width="12.7109375" style="2" customWidth="1"/>
    <col min="14047" max="14047" width="14.7109375" style="2" customWidth="1"/>
    <col min="14048" max="14291" width="9.140625" style="2"/>
    <col min="14292" max="14292" width="50.7109375" style="2" customWidth="1"/>
    <col min="14293" max="14294" width="12.7109375" style="2" customWidth="1"/>
    <col min="14295" max="14295" width="14.7109375" style="2" customWidth="1"/>
    <col min="14296" max="14296" width="4.7109375" style="2" customWidth="1"/>
    <col min="14297" max="14298" width="12.7109375" style="2" customWidth="1"/>
    <col min="14299" max="14299" width="14.7109375" style="2" customWidth="1"/>
    <col min="14300" max="14300" width="4.7109375" style="2" customWidth="1"/>
    <col min="14301" max="14302" width="12.7109375" style="2" customWidth="1"/>
    <col min="14303" max="14303" width="14.7109375" style="2" customWidth="1"/>
    <col min="14304" max="14547" width="9.140625" style="2"/>
    <col min="14548" max="14548" width="50.7109375" style="2" customWidth="1"/>
    <col min="14549" max="14550" width="12.7109375" style="2" customWidth="1"/>
    <col min="14551" max="14551" width="14.7109375" style="2" customWidth="1"/>
    <col min="14552" max="14552" width="4.7109375" style="2" customWidth="1"/>
    <col min="14553" max="14554" width="12.7109375" style="2" customWidth="1"/>
    <col min="14555" max="14555" width="14.7109375" style="2" customWidth="1"/>
    <col min="14556" max="14556" width="4.7109375" style="2" customWidth="1"/>
    <col min="14557" max="14558" width="12.7109375" style="2" customWidth="1"/>
    <col min="14559" max="14559" width="14.7109375" style="2" customWidth="1"/>
    <col min="14560" max="14803" width="9.140625" style="2"/>
    <col min="14804" max="14804" width="50.7109375" style="2" customWidth="1"/>
    <col min="14805" max="14806" width="12.7109375" style="2" customWidth="1"/>
    <col min="14807" max="14807" width="14.7109375" style="2" customWidth="1"/>
    <col min="14808" max="14808" width="4.7109375" style="2" customWidth="1"/>
    <col min="14809" max="14810" width="12.7109375" style="2" customWidth="1"/>
    <col min="14811" max="14811" width="14.7109375" style="2" customWidth="1"/>
    <col min="14812" max="14812" width="4.7109375" style="2" customWidth="1"/>
    <col min="14813" max="14814" width="12.7109375" style="2" customWidth="1"/>
    <col min="14815" max="14815" width="14.7109375" style="2" customWidth="1"/>
    <col min="14816" max="15059" width="9.140625" style="2"/>
    <col min="15060" max="15060" width="50.7109375" style="2" customWidth="1"/>
    <col min="15061" max="15062" width="12.7109375" style="2" customWidth="1"/>
    <col min="15063" max="15063" width="14.7109375" style="2" customWidth="1"/>
    <col min="15064" max="15064" width="4.7109375" style="2" customWidth="1"/>
    <col min="15065" max="15066" width="12.7109375" style="2" customWidth="1"/>
    <col min="15067" max="15067" width="14.7109375" style="2" customWidth="1"/>
    <col min="15068" max="15068" width="4.7109375" style="2" customWidth="1"/>
    <col min="15069" max="15070" width="12.7109375" style="2" customWidth="1"/>
    <col min="15071" max="15071" width="14.7109375" style="2" customWidth="1"/>
    <col min="15072" max="15315" width="9.140625" style="2"/>
    <col min="15316" max="15316" width="50.7109375" style="2" customWidth="1"/>
    <col min="15317" max="15318" width="12.7109375" style="2" customWidth="1"/>
    <col min="15319" max="15319" width="14.7109375" style="2" customWidth="1"/>
    <col min="15320" max="15320" width="4.7109375" style="2" customWidth="1"/>
    <col min="15321" max="15322" width="12.7109375" style="2" customWidth="1"/>
    <col min="15323" max="15323" width="14.7109375" style="2" customWidth="1"/>
    <col min="15324" max="15324" width="4.7109375" style="2" customWidth="1"/>
    <col min="15325" max="15326" width="12.7109375" style="2" customWidth="1"/>
    <col min="15327" max="15327" width="14.7109375" style="2" customWidth="1"/>
    <col min="15328" max="15571" width="9.140625" style="2"/>
    <col min="15572" max="15572" width="50.7109375" style="2" customWidth="1"/>
    <col min="15573" max="15574" width="12.7109375" style="2" customWidth="1"/>
    <col min="15575" max="15575" width="14.7109375" style="2" customWidth="1"/>
    <col min="15576" max="15576" width="4.7109375" style="2" customWidth="1"/>
    <col min="15577" max="15578" width="12.7109375" style="2" customWidth="1"/>
    <col min="15579" max="15579" width="14.7109375" style="2" customWidth="1"/>
    <col min="15580" max="15580" width="4.7109375" style="2" customWidth="1"/>
    <col min="15581" max="15582" width="12.7109375" style="2" customWidth="1"/>
    <col min="15583" max="15583" width="14.7109375" style="2" customWidth="1"/>
    <col min="15584" max="15827" width="9.140625" style="2"/>
    <col min="15828" max="15828" width="50.7109375" style="2" customWidth="1"/>
    <col min="15829" max="15830" width="12.7109375" style="2" customWidth="1"/>
    <col min="15831" max="15831" width="14.7109375" style="2" customWidth="1"/>
    <col min="15832" max="15832" width="4.7109375" style="2" customWidth="1"/>
    <col min="15833" max="15834" width="12.7109375" style="2" customWidth="1"/>
    <col min="15835" max="15835" width="14.7109375" style="2" customWidth="1"/>
    <col min="15836" max="15836" width="4.7109375" style="2" customWidth="1"/>
    <col min="15837" max="15838" width="12.7109375" style="2" customWidth="1"/>
    <col min="15839" max="15839" width="14.7109375" style="2" customWidth="1"/>
    <col min="15840" max="16083" width="9.140625" style="2"/>
    <col min="16084" max="16084" width="50.7109375" style="2" customWidth="1"/>
    <col min="16085" max="16086" width="12.7109375" style="2" customWidth="1"/>
    <col min="16087" max="16087" width="14.7109375" style="2" customWidth="1"/>
    <col min="16088" max="16088" width="4.7109375" style="2" customWidth="1"/>
    <col min="16089" max="16090" width="12.7109375" style="2" customWidth="1"/>
    <col min="16091" max="16091" width="14.7109375" style="2" customWidth="1"/>
    <col min="16092" max="16092" width="4.7109375" style="2" customWidth="1"/>
    <col min="16093" max="16094" width="12.7109375" style="2" customWidth="1"/>
    <col min="16095" max="16095" width="14.7109375" style="2" customWidth="1"/>
    <col min="16096" max="16384" width="9.140625" style="2"/>
  </cols>
  <sheetData>
    <row r="1" spans="1:10">
      <c r="A1" s="1" t="s">
        <v>0</v>
      </c>
      <c r="C1" s="2"/>
      <c r="D1" s="3"/>
      <c r="E1" s="3"/>
      <c r="F1" s="3"/>
      <c r="G1" s="3"/>
      <c r="I1" s="3"/>
      <c r="J1" s="3"/>
    </row>
    <row r="2" spans="1:10">
      <c r="A2" s="1" t="s">
        <v>1</v>
      </c>
      <c r="B2" s="19"/>
      <c r="C2" s="2"/>
      <c r="D2" s="19" t="s">
        <v>219</v>
      </c>
      <c r="E2" s="3"/>
      <c r="F2" s="3"/>
      <c r="G2" s="3"/>
      <c r="I2" s="3"/>
      <c r="J2" s="3"/>
    </row>
    <row r="3" spans="1:10">
      <c r="A3" s="1" t="s">
        <v>220</v>
      </c>
      <c r="B3" s="1"/>
      <c r="C3" s="2"/>
      <c r="E3" s="3"/>
      <c r="F3" s="3"/>
      <c r="G3" s="3"/>
      <c r="I3" s="3"/>
      <c r="J3" s="3"/>
    </row>
    <row r="4" spans="1:10">
      <c r="A4" s="1"/>
      <c r="B4" s="1"/>
      <c r="C4" s="2"/>
      <c r="E4" s="3"/>
      <c r="F4" s="3"/>
      <c r="G4" s="3"/>
      <c r="I4" s="3"/>
      <c r="J4" s="3"/>
    </row>
    <row r="5" spans="1:10">
      <c r="A5" s="1" t="s">
        <v>16</v>
      </c>
      <c r="B5" s="109" t="s">
        <v>221</v>
      </c>
      <c r="C5" s="109"/>
      <c r="E5" s="3"/>
      <c r="F5" s="3"/>
      <c r="G5" s="3"/>
      <c r="I5" s="3"/>
      <c r="J5" s="3"/>
    </row>
    <row r="6" spans="1:10">
      <c r="C6" s="2"/>
      <c r="D6" s="3"/>
      <c r="E6" s="3"/>
      <c r="F6" s="3"/>
      <c r="G6" s="3"/>
      <c r="I6" s="3"/>
      <c r="J6" s="3"/>
    </row>
    <row r="7" spans="1:10">
      <c r="A7" s="1" t="s">
        <v>222</v>
      </c>
      <c r="B7" s="1"/>
    </row>
    <row r="8" spans="1:10">
      <c r="A8" s="63" t="s">
        <v>223</v>
      </c>
      <c r="B8" s="1"/>
    </row>
    <row r="9" spans="1:10">
      <c r="A9" s="63" t="s">
        <v>224</v>
      </c>
    </row>
    <row r="10" spans="1:10">
      <c r="A10" s="63" t="s">
        <v>225</v>
      </c>
    </row>
    <row r="11" spans="1:10">
      <c r="A11" s="63" t="s">
        <v>226</v>
      </c>
    </row>
    <row r="12" spans="1:10">
      <c r="A12" s="63" t="s">
        <v>227</v>
      </c>
    </row>
    <row r="13" spans="1:10">
      <c r="A13" s="63" t="s">
        <v>228</v>
      </c>
    </row>
    <row r="14" spans="1:10">
      <c r="A14" s="63" t="s">
        <v>229</v>
      </c>
    </row>
    <row r="15" spans="1:10">
      <c r="A15" s="63" t="s">
        <v>230</v>
      </c>
    </row>
    <row r="16" spans="1:10">
      <c r="A16" s="63" t="s">
        <v>231</v>
      </c>
    </row>
    <row r="17" spans="1:16">
      <c r="A17" s="185" t="s">
        <v>232</v>
      </c>
      <c r="B17" s="186"/>
      <c r="C17" s="187"/>
      <c r="D17" s="186"/>
    </row>
    <row r="18" spans="1:16">
      <c r="A18" s="63"/>
    </row>
    <row r="19" spans="1:16">
      <c r="A19" s="1" t="s">
        <v>233</v>
      </c>
      <c r="C19" s="2"/>
      <c r="D19" s="7"/>
      <c r="E19" s="267" t="s">
        <v>234</v>
      </c>
      <c r="F19" s="268"/>
      <c r="G19" s="267" t="s">
        <v>235</v>
      </c>
      <c r="H19" s="268"/>
      <c r="I19" s="269" t="s">
        <v>236</v>
      </c>
      <c r="J19" s="270"/>
    </row>
    <row r="20" spans="1:16" s="23" customFormat="1" ht="55.9" customHeight="1">
      <c r="A20" s="271" t="s">
        <v>63</v>
      </c>
      <c r="B20" s="272"/>
      <c r="C20" s="20" t="s">
        <v>237</v>
      </c>
      <c r="D20" s="21" t="s">
        <v>238</v>
      </c>
      <c r="E20" s="55" t="s">
        <v>239</v>
      </c>
      <c r="F20" s="56" t="s">
        <v>240</v>
      </c>
      <c r="G20" s="55" t="s">
        <v>239</v>
      </c>
      <c r="H20" s="56" t="s">
        <v>240</v>
      </c>
      <c r="I20" s="55" t="s">
        <v>239</v>
      </c>
      <c r="J20" s="56" t="s">
        <v>240</v>
      </c>
      <c r="K20" s="22" t="s">
        <v>241</v>
      </c>
      <c r="L20" s="182" t="s">
        <v>242</v>
      </c>
      <c r="M20" s="182" t="s">
        <v>243</v>
      </c>
    </row>
    <row r="21" spans="1:16" ht="15" customHeight="1">
      <c r="A21" s="265" t="s">
        <v>244</v>
      </c>
      <c r="B21" s="266"/>
      <c r="C21" s="134">
        <v>2099</v>
      </c>
      <c r="D21" s="135">
        <v>200</v>
      </c>
      <c r="E21" s="166">
        <v>0</v>
      </c>
      <c r="F21" s="167">
        <v>0</v>
      </c>
      <c r="G21" s="138">
        <v>133</v>
      </c>
      <c r="H21" s="136">
        <v>17</v>
      </c>
      <c r="I21" s="138">
        <v>133</v>
      </c>
      <c r="J21" s="136">
        <v>17</v>
      </c>
      <c r="K21" s="24">
        <f t="shared" ref="K21:K42" si="0">(C21-D21)*(E21+F21+G21+H21+I21+J21)</f>
        <v>569700</v>
      </c>
      <c r="L21" s="25">
        <f>(E21+F21+G21+H21+I21+J21)*D21</f>
        <v>60000</v>
      </c>
      <c r="M21" s="25">
        <f>SUM(K21:L21)</f>
        <v>629700</v>
      </c>
      <c r="N21" s="12"/>
      <c r="O21" s="205"/>
      <c r="P21" s="12"/>
    </row>
    <row r="22" spans="1:16" ht="15" customHeight="1">
      <c r="A22" s="265" t="s">
        <v>245</v>
      </c>
      <c r="B22" s="266"/>
      <c r="C22" s="134">
        <v>2149</v>
      </c>
      <c r="D22" s="135">
        <v>100</v>
      </c>
      <c r="E22" s="168">
        <v>0</v>
      </c>
      <c r="F22" s="169">
        <v>0</v>
      </c>
      <c r="G22" s="138">
        <v>201</v>
      </c>
      <c r="H22" s="137">
        <v>43</v>
      </c>
      <c r="I22" s="138">
        <v>201</v>
      </c>
      <c r="J22" s="137">
        <v>39</v>
      </c>
      <c r="K22" s="24">
        <f t="shared" si="0"/>
        <v>991716</v>
      </c>
      <c r="L22" s="25">
        <f t="shared" ref="L22:L42" si="1">(E22+F22+G22+H22+I22+J22)*D22</f>
        <v>48400</v>
      </c>
      <c r="M22" s="25">
        <f t="shared" ref="M22:M42" si="2">SUM(K22:L22)</f>
        <v>1040116</v>
      </c>
      <c r="N22" s="12"/>
      <c r="O22" s="205"/>
      <c r="P22" s="12"/>
    </row>
    <row r="23" spans="1:16" ht="15" customHeight="1">
      <c r="A23" s="265" t="s">
        <v>246</v>
      </c>
      <c r="B23" s="266"/>
      <c r="C23" s="134">
        <v>1949</v>
      </c>
      <c r="D23" s="135">
        <v>325</v>
      </c>
      <c r="E23" s="168">
        <v>0</v>
      </c>
      <c r="F23" s="169">
        <v>0</v>
      </c>
      <c r="G23" s="138">
        <v>357</v>
      </c>
      <c r="H23" s="137">
        <v>41</v>
      </c>
      <c r="I23" s="138">
        <v>357</v>
      </c>
      <c r="J23" s="137">
        <v>27</v>
      </c>
      <c r="K23" s="24">
        <f t="shared" si="0"/>
        <v>1269968</v>
      </c>
      <c r="L23" s="25">
        <f t="shared" si="1"/>
        <v>254150</v>
      </c>
      <c r="M23" s="25">
        <f t="shared" si="2"/>
        <v>1524118</v>
      </c>
      <c r="N23" s="12"/>
      <c r="O23" s="205"/>
      <c r="P23" s="12"/>
    </row>
    <row r="24" spans="1:16" ht="15" customHeight="1">
      <c r="A24" s="265" t="s">
        <v>247</v>
      </c>
      <c r="B24" s="266"/>
      <c r="C24" s="134">
        <v>1949</v>
      </c>
      <c r="D24" s="135">
        <v>125</v>
      </c>
      <c r="E24" s="168">
        <v>0</v>
      </c>
      <c r="F24" s="169">
        <v>0</v>
      </c>
      <c r="G24" s="138">
        <v>402</v>
      </c>
      <c r="H24" s="137">
        <v>46</v>
      </c>
      <c r="I24" s="138">
        <v>402</v>
      </c>
      <c r="J24" s="137">
        <v>43</v>
      </c>
      <c r="K24" s="24">
        <f t="shared" si="0"/>
        <v>1628832</v>
      </c>
      <c r="L24" s="25">
        <f t="shared" si="1"/>
        <v>111625</v>
      </c>
      <c r="M24" s="25">
        <f t="shared" si="2"/>
        <v>1740457</v>
      </c>
      <c r="N24" s="12"/>
      <c r="O24" s="205"/>
      <c r="P24" s="12"/>
    </row>
    <row r="25" spans="1:16" ht="15" customHeight="1">
      <c r="A25" s="265" t="s">
        <v>248</v>
      </c>
      <c r="B25" s="266"/>
      <c r="C25" s="134">
        <v>1949</v>
      </c>
      <c r="D25" s="135">
        <v>900</v>
      </c>
      <c r="E25" s="168">
        <v>0</v>
      </c>
      <c r="F25" s="169">
        <v>0</v>
      </c>
      <c r="G25" s="138">
        <v>144</v>
      </c>
      <c r="H25" s="137">
        <v>15</v>
      </c>
      <c r="I25" s="138">
        <v>144</v>
      </c>
      <c r="J25" s="137">
        <f>15</f>
        <v>15</v>
      </c>
      <c r="K25" s="24">
        <f t="shared" si="0"/>
        <v>333582</v>
      </c>
      <c r="L25" s="25">
        <f t="shared" si="1"/>
        <v>286200</v>
      </c>
      <c r="M25" s="25">
        <f t="shared" si="2"/>
        <v>619782</v>
      </c>
      <c r="N25" s="12"/>
      <c r="O25" s="205"/>
      <c r="P25" s="12"/>
    </row>
    <row r="26" spans="1:16" ht="15" customHeight="1">
      <c r="A26" s="265" t="s">
        <v>249</v>
      </c>
      <c r="B26" s="266"/>
      <c r="C26" s="134">
        <v>1959</v>
      </c>
      <c r="D26" s="135">
        <v>1200</v>
      </c>
      <c r="E26" s="168">
        <v>0</v>
      </c>
      <c r="F26" s="169">
        <v>0</v>
      </c>
      <c r="G26" s="138">
        <v>63</v>
      </c>
      <c r="H26" s="137">
        <v>14</v>
      </c>
      <c r="I26" s="138">
        <v>63</v>
      </c>
      <c r="J26" s="137">
        <f>15</f>
        <v>15</v>
      </c>
      <c r="K26" s="24">
        <f t="shared" si="0"/>
        <v>117645</v>
      </c>
      <c r="L26" s="25">
        <f t="shared" si="1"/>
        <v>186000</v>
      </c>
      <c r="M26" s="25">
        <f t="shared" si="2"/>
        <v>303645</v>
      </c>
      <c r="N26" s="12"/>
      <c r="O26" s="205"/>
      <c r="P26" s="12"/>
    </row>
    <row r="27" spans="1:16" ht="15" customHeight="1">
      <c r="A27" s="265" t="s">
        <v>250</v>
      </c>
      <c r="B27" s="266"/>
      <c r="C27" s="134">
        <v>1989</v>
      </c>
      <c r="D27" s="135">
        <v>1650</v>
      </c>
      <c r="E27" s="168">
        <v>0</v>
      </c>
      <c r="F27" s="169">
        <v>0</v>
      </c>
      <c r="G27" s="138">
        <v>117</v>
      </c>
      <c r="H27" s="137">
        <f>15</f>
        <v>15</v>
      </c>
      <c r="I27" s="138">
        <v>117</v>
      </c>
      <c r="J27" s="137">
        <f>18</f>
        <v>18</v>
      </c>
      <c r="K27" s="24">
        <f t="shared" si="0"/>
        <v>90513</v>
      </c>
      <c r="L27" s="25">
        <f t="shared" si="1"/>
        <v>440550</v>
      </c>
      <c r="M27" s="25">
        <f t="shared" si="2"/>
        <v>531063</v>
      </c>
      <c r="N27" s="12"/>
      <c r="O27" s="205"/>
      <c r="P27" s="12"/>
    </row>
    <row r="28" spans="1:16" ht="15" customHeight="1">
      <c r="A28" s="265" t="s">
        <v>251</v>
      </c>
      <c r="B28" s="266"/>
      <c r="C28" s="134">
        <v>1549</v>
      </c>
      <c r="D28" s="135">
        <v>1549</v>
      </c>
      <c r="E28" s="168">
        <v>0</v>
      </c>
      <c r="F28" s="169">
        <v>0</v>
      </c>
      <c r="G28" s="138">
        <v>0</v>
      </c>
      <c r="H28" s="137">
        <v>75</v>
      </c>
      <c r="I28" s="138">
        <v>0</v>
      </c>
      <c r="J28" s="137">
        <v>77</v>
      </c>
      <c r="K28" s="24">
        <f t="shared" si="0"/>
        <v>0</v>
      </c>
      <c r="L28" s="25">
        <f>(E28+F28+G28+H28+I28+J28)*D28</f>
        <v>235448</v>
      </c>
      <c r="M28" s="25">
        <f>SUM(K28:L28)</f>
        <v>235448</v>
      </c>
      <c r="N28" s="12"/>
      <c r="O28" s="205"/>
      <c r="P28" s="12"/>
    </row>
    <row r="29" spans="1:16" ht="15" customHeight="1">
      <c r="A29" s="265" t="s">
        <v>252</v>
      </c>
      <c r="B29" s="266"/>
      <c r="C29" s="134">
        <v>1129</v>
      </c>
      <c r="D29" s="135">
        <v>1129</v>
      </c>
      <c r="E29" s="168">
        <v>0</v>
      </c>
      <c r="F29" s="169">
        <v>0</v>
      </c>
      <c r="G29" s="138">
        <v>0</v>
      </c>
      <c r="H29" s="137">
        <v>40</v>
      </c>
      <c r="I29" s="138">
        <v>0</v>
      </c>
      <c r="J29" s="137">
        <v>44</v>
      </c>
      <c r="K29" s="24">
        <f t="shared" si="0"/>
        <v>0</v>
      </c>
      <c r="L29" s="25">
        <f>(E29+F29+G29+H29+I29+J29)*D29</f>
        <v>94836</v>
      </c>
      <c r="M29" s="25">
        <f>SUM(K29:L29)</f>
        <v>94836</v>
      </c>
      <c r="N29" s="12"/>
      <c r="O29" s="205"/>
      <c r="P29" s="12"/>
    </row>
    <row r="30" spans="1:16" ht="15" customHeight="1">
      <c r="A30" s="265" t="s">
        <v>253</v>
      </c>
      <c r="B30" s="266"/>
      <c r="C30" s="134">
        <v>829</v>
      </c>
      <c r="D30" s="135">
        <v>829</v>
      </c>
      <c r="E30" s="168">
        <v>0</v>
      </c>
      <c r="F30" s="169">
        <v>0</v>
      </c>
      <c r="G30" s="138">
        <v>0</v>
      </c>
      <c r="H30" s="137">
        <v>109</v>
      </c>
      <c r="I30" s="138">
        <v>0</v>
      </c>
      <c r="J30" s="137">
        <v>123</v>
      </c>
      <c r="K30" s="24">
        <f t="shared" si="0"/>
        <v>0</v>
      </c>
      <c r="L30" s="25">
        <f t="shared" si="1"/>
        <v>192328</v>
      </c>
      <c r="M30" s="25">
        <f t="shared" si="2"/>
        <v>192328</v>
      </c>
      <c r="N30" s="12"/>
      <c r="O30" s="205"/>
      <c r="P30" s="12"/>
    </row>
    <row r="31" spans="1:16" ht="15" customHeight="1">
      <c r="A31" s="265" t="s">
        <v>254</v>
      </c>
      <c r="B31" s="266"/>
      <c r="C31" s="134">
        <v>499</v>
      </c>
      <c r="D31" s="135">
        <v>499</v>
      </c>
      <c r="E31" s="168">
        <v>0</v>
      </c>
      <c r="F31" s="169">
        <v>0</v>
      </c>
      <c r="G31" s="138">
        <v>0</v>
      </c>
      <c r="H31" s="137">
        <v>36</v>
      </c>
      <c r="I31" s="138">
        <v>0</v>
      </c>
      <c r="J31" s="137">
        <v>77</v>
      </c>
      <c r="K31" s="24">
        <f t="shared" si="0"/>
        <v>0</v>
      </c>
      <c r="L31" s="25">
        <f t="shared" si="1"/>
        <v>56387</v>
      </c>
      <c r="M31" s="25">
        <f t="shared" si="2"/>
        <v>56387</v>
      </c>
      <c r="N31" s="12"/>
      <c r="O31" s="205"/>
      <c r="P31" s="12"/>
    </row>
    <row r="32" spans="1:16" ht="15" customHeight="1">
      <c r="A32" s="265" t="s">
        <v>255</v>
      </c>
      <c r="B32" s="266"/>
      <c r="C32" s="134">
        <v>820</v>
      </c>
      <c r="D32" s="135">
        <v>0</v>
      </c>
      <c r="E32" s="168">
        <v>0</v>
      </c>
      <c r="F32" s="170">
        <v>0</v>
      </c>
      <c r="G32" s="138">
        <v>0</v>
      </c>
      <c r="H32" s="165">
        <v>14</v>
      </c>
      <c r="I32" s="138">
        <v>0</v>
      </c>
      <c r="J32" s="165">
        <v>8</v>
      </c>
      <c r="K32" s="24">
        <f t="shared" si="0"/>
        <v>18040</v>
      </c>
      <c r="L32" s="25">
        <f t="shared" si="1"/>
        <v>0</v>
      </c>
      <c r="M32" s="25">
        <f t="shared" si="2"/>
        <v>18040</v>
      </c>
      <c r="N32" s="12"/>
      <c r="O32" s="205"/>
      <c r="P32" s="12"/>
    </row>
    <row r="33" spans="1:16" ht="15" customHeight="1">
      <c r="A33" s="265" t="s">
        <v>256</v>
      </c>
      <c r="B33" s="266"/>
      <c r="C33" s="134">
        <v>428</v>
      </c>
      <c r="D33" s="135">
        <v>0</v>
      </c>
      <c r="E33" s="171">
        <v>0</v>
      </c>
      <c r="F33" s="165"/>
      <c r="G33" s="138">
        <v>0</v>
      </c>
      <c r="H33" s="165">
        <v>61</v>
      </c>
      <c r="I33" s="138">
        <v>0</v>
      </c>
      <c r="J33" s="165">
        <v>40</v>
      </c>
      <c r="K33" s="24">
        <f t="shared" si="0"/>
        <v>43228</v>
      </c>
      <c r="L33" s="25">
        <f t="shared" si="1"/>
        <v>0</v>
      </c>
      <c r="M33" s="25">
        <f t="shared" si="2"/>
        <v>43228</v>
      </c>
      <c r="N33" s="12"/>
      <c r="O33" s="205"/>
      <c r="P33" s="12"/>
    </row>
    <row r="34" spans="1:16" ht="15" customHeight="1">
      <c r="A34" s="265" t="s">
        <v>246</v>
      </c>
      <c r="B34" s="266"/>
      <c r="C34" s="134">
        <v>785</v>
      </c>
      <c r="D34" s="135">
        <v>150</v>
      </c>
      <c r="E34" s="138">
        <v>139</v>
      </c>
      <c r="F34" s="165"/>
      <c r="G34" s="171">
        <v>0</v>
      </c>
      <c r="H34" s="172">
        <v>0</v>
      </c>
      <c r="I34" s="171">
        <v>0</v>
      </c>
      <c r="J34" s="172">
        <v>0</v>
      </c>
      <c r="K34" s="24">
        <f>(C34-D34)*(E34+F34+G34+H34+I34+J34)</f>
        <v>88265</v>
      </c>
      <c r="L34" s="25">
        <f t="shared" si="1"/>
        <v>20850</v>
      </c>
      <c r="M34" s="25">
        <f t="shared" si="2"/>
        <v>109115</v>
      </c>
      <c r="N34" s="12"/>
      <c r="O34" s="205"/>
      <c r="P34" s="12"/>
    </row>
    <row r="35" spans="1:16" ht="15" customHeight="1">
      <c r="A35" s="265" t="s">
        <v>247</v>
      </c>
      <c r="B35" s="266"/>
      <c r="C35" s="134">
        <v>785</v>
      </c>
      <c r="D35" s="135">
        <v>100</v>
      </c>
      <c r="E35" s="138">
        <v>91</v>
      </c>
      <c r="F35" s="165"/>
      <c r="G35" s="171">
        <v>0</v>
      </c>
      <c r="H35" s="172">
        <v>0</v>
      </c>
      <c r="I35" s="171">
        <v>0</v>
      </c>
      <c r="J35" s="172">
        <v>0</v>
      </c>
      <c r="K35" s="24">
        <f t="shared" si="0"/>
        <v>62335</v>
      </c>
      <c r="L35" s="25">
        <f t="shared" si="1"/>
        <v>9100</v>
      </c>
      <c r="M35" s="25">
        <f t="shared" si="2"/>
        <v>71435</v>
      </c>
      <c r="N35" s="12"/>
      <c r="O35" s="205"/>
      <c r="P35" s="12"/>
    </row>
    <row r="36" spans="1:16" ht="15" customHeight="1">
      <c r="A36" s="265" t="s">
        <v>244</v>
      </c>
      <c r="B36" s="266"/>
      <c r="C36" s="134">
        <v>845</v>
      </c>
      <c r="D36" s="135">
        <v>125</v>
      </c>
      <c r="E36" s="138">
        <v>23</v>
      </c>
      <c r="F36" s="165"/>
      <c r="G36" s="171">
        <v>0</v>
      </c>
      <c r="H36" s="172">
        <v>0</v>
      </c>
      <c r="I36" s="171">
        <v>0</v>
      </c>
      <c r="J36" s="172">
        <v>0</v>
      </c>
      <c r="K36" s="24">
        <f t="shared" si="0"/>
        <v>16560</v>
      </c>
      <c r="L36" s="25">
        <f t="shared" si="1"/>
        <v>2875</v>
      </c>
      <c r="M36" s="25">
        <f t="shared" si="2"/>
        <v>19435</v>
      </c>
      <c r="N36" s="12"/>
      <c r="O36" s="205"/>
      <c r="P36" s="12"/>
    </row>
    <row r="37" spans="1:16" ht="15" customHeight="1">
      <c r="A37" s="265" t="s">
        <v>245</v>
      </c>
      <c r="B37" s="266"/>
      <c r="C37" s="134">
        <v>845</v>
      </c>
      <c r="D37" s="135">
        <v>75</v>
      </c>
      <c r="E37" s="138">
        <v>54</v>
      </c>
      <c r="F37" s="165"/>
      <c r="G37" s="171">
        <v>0</v>
      </c>
      <c r="H37" s="172">
        <v>0</v>
      </c>
      <c r="I37" s="171">
        <v>0</v>
      </c>
      <c r="J37" s="172">
        <v>0</v>
      </c>
      <c r="K37" s="24">
        <f t="shared" si="0"/>
        <v>41580</v>
      </c>
      <c r="L37" s="25">
        <f t="shared" si="1"/>
        <v>4050</v>
      </c>
      <c r="M37" s="25">
        <f t="shared" si="2"/>
        <v>45630</v>
      </c>
      <c r="N37" s="12"/>
      <c r="O37" s="205"/>
      <c r="P37" s="12"/>
    </row>
    <row r="38" spans="1:16" ht="15" customHeight="1">
      <c r="A38" s="265" t="s">
        <v>257</v>
      </c>
      <c r="B38" s="266"/>
      <c r="C38" s="134">
        <v>642</v>
      </c>
      <c r="D38" s="135">
        <v>0</v>
      </c>
      <c r="E38" s="138">
        <v>0</v>
      </c>
      <c r="F38" s="165"/>
      <c r="G38" s="171">
        <v>0</v>
      </c>
      <c r="H38" s="172">
        <v>0</v>
      </c>
      <c r="I38" s="171">
        <v>0</v>
      </c>
      <c r="J38" s="172">
        <v>0</v>
      </c>
      <c r="K38" s="24">
        <f t="shared" si="0"/>
        <v>0</v>
      </c>
      <c r="L38" s="25">
        <f t="shared" si="1"/>
        <v>0</v>
      </c>
      <c r="M38" s="25">
        <f t="shared" si="2"/>
        <v>0</v>
      </c>
      <c r="N38" s="12"/>
      <c r="O38" s="205"/>
      <c r="P38" s="12"/>
    </row>
    <row r="39" spans="1:16" ht="15" customHeight="1">
      <c r="A39" s="265" t="s">
        <v>258</v>
      </c>
      <c r="B39" s="266"/>
      <c r="C39" s="134">
        <v>214</v>
      </c>
      <c r="D39" s="135">
        <v>0</v>
      </c>
      <c r="E39" s="138">
        <v>0</v>
      </c>
      <c r="F39" s="165"/>
      <c r="G39" s="171">
        <v>0</v>
      </c>
      <c r="H39" s="172">
        <v>0</v>
      </c>
      <c r="I39" s="171">
        <v>0</v>
      </c>
      <c r="J39" s="172">
        <v>0</v>
      </c>
      <c r="K39" s="24">
        <f t="shared" si="0"/>
        <v>0</v>
      </c>
      <c r="L39" s="25">
        <f t="shared" si="1"/>
        <v>0</v>
      </c>
      <c r="M39" s="25">
        <f t="shared" si="2"/>
        <v>0</v>
      </c>
      <c r="N39" s="12"/>
      <c r="O39" s="205"/>
      <c r="P39" s="12"/>
    </row>
    <row r="40" spans="1:16" ht="15" customHeight="1">
      <c r="A40" s="265" t="s">
        <v>259</v>
      </c>
      <c r="B40" s="266"/>
      <c r="C40" s="134">
        <v>775</v>
      </c>
      <c r="D40" s="135">
        <v>775</v>
      </c>
      <c r="E40" s="138">
        <v>0</v>
      </c>
      <c r="F40" s="165"/>
      <c r="G40" s="171">
        <v>0</v>
      </c>
      <c r="H40" s="172">
        <v>0</v>
      </c>
      <c r="I40" s="171">
        <v>0</v>
      </c>
      <c r="J40" s="172">
        <v>0</v>
      </c>
      <c r="K40" s="24">
        <f t="shared" si="0"/>
        <v>0</v>
      </c>
      <c r="L40" s="25">
        <f t="shared" si="1"/>
        <v>0</v>
      </c>
      <c r="M40" s="25">
        <f t="shared" si="2"/>
        <v>0</v>
      </c>
      <c r="N40" s="12"/>
      <c r="O40" s="205"/>
      <c r="P40" s="12"/>
    </row>
    <row r="41" spans="1:16" ht="15" customHeight="1">
      <c r="A41" s="265" t="s">
        <v>260</v>
      </c>
      <c r="B41" s="266"/>
      <c r="C41" s="134">
        <v>350</v>
      </c>
      <c r="D41" s="135">
        <v>350</v>
      </c>
      <c r="E41" s="138">
        <v>0</v>
      </c>
      <c r="F41" s="165"/>
      <c r="G41" s="171">
        <v>0</v>
      </c>
      <c r="H41" s="172">
        <v>0</v>
      </c>
      <c r="I41" s="171">
        <v>0</v>
      </c>
      <c r="J41" s="172">
        <v>0</v>
      </c>
      <c r="K41" s="24">
        <f t="shared" si="0"/>
        <v>0</v>
      </c>
      <c r="L41" s="25">
        <f t="shared" si="1"/>
        <v>0</v>
      </c>
      <c r="M41" s="25">
        <f t="shared" si="2"/>
        <v>0</v>
      </c>
      <c r="N41" s="12"/>
      <c r="O41" s="205"/>
      <c r="P41" s="12"/>
    </row>
    <row r="42" spans="1:16" ht="15" customHeight="1">
      <c r="A42" s="273" t="s">
        <v>261</v>
      </c>
      <c r="B42" s="274"/>
      <c r="C42" s="152">
        <v>250</v>
      </c>
      <c r="D42" s="164">
        <v>250</v>
      </c>
      <c r="E42" s="138">
        <v>0</v>
      </c>
      <c r="F42" s="165"/>
      <c r="G42" s="171">
        <v>0</v>
      </c>
      <c r="H42" s="172">
        <v>0</v>
      </c>
      <c r="I42" s="171">
        <v>0</v>
      </c>
      <c r="J42" s="172">
        <v>0</v>
      </c>
      <c r="K42" s="24">
        <f t="shared" si="0"/>
        <v>0</v>
      </c>
      <c r="L42" s="25">
        <f t="shared" si="1"/>
        <v>0</v>
      </c>
      <c r="M42" s="25">
        <f t="shared" si="2"/>
        <v>0</v>
      </c>
      <c r="N42" s="12"/>
      <c r="O42" s="205"/>
      <c r="P42" s="12"/>
    </row>
    <row r="43" spans="1:16" ht="15" customHeight="1">
      <c r="B43" s="59" t="s">
        <v>262</v>
      </c>
      <c r="C43" s="173"/>
      <c r="D43" s="174"/>
      <c r="E43" s="57">
        <f t="shared" ref="E43:M43" si="3">SUM(E21:E42)</f>
        <v>307</v>
      </c>
      <c r="F43" s="60">
        <f t="shared" si="3"/>
        <v>0</v>
      </c>
      <c r="G43" s="58">
        <f t="shared" si="3"/>
        <v>1417</v>
      </c>
      <c r="H43" s="60">
        <f t="shared" si="3"/>
        <v>526</v>
      </c>
      <c r="I43" s="58">
        <f t="shared" si="3"/>
        <v>1417</v>
      </c>
      <c r="J43" s="60">
        <f t="shared" si="3"/>
        <v>543</v>
      </c>
      <c r="K43" s="66">
        <f t="shared" si="3"/>
        <v>5271964</v>
      </c>
      <c r="L43" s="69">
        <f t="shared" si="3"/>
        <v>2002799</v>
      </c>
      <c r="M43" s="26">
        <f t="shared" si="3"/>
        <v>7274763</v>
      </c>
    </row>
    <row r="44" spans="1:16" ht="2.1" customHeight="1">
      <c r="B44" s="59"/>
      <c r="C44" s="27"/>
      <c r="D44" s="52"/>
      <c r="E44" s="64"/>
      <c r="F44" s="64"/>
      <c r="G44" s="65"/>
      <c r="H44" s="64"/>
      <c r="I44" s="65"/>
      <c r="J44" s="64"/>
    </row>
    <row r="45" spans="1:16" ht="15" customHeight="1">
      <c r="A45" s="54" t="s">
        <v>263</v>
      </c>
      <c r="B45" s="71"/>
      <c r="C45" s="70"/>
      <c r="D45" s="54"/>
      <c r="E45" s="72"/>
      <c r="F45" s="54"/>
      <c r="G45" s="72"/>
      <c r="H45" s="31"/>
    </row>
    <row r="46" spans="1:16">
      <c r="A46" s="73" t="s">
        <v>264</v>
      </c>
      <c r="B46" s="73"/>
      <c r="C46" s="74"/>
      <c r="D46" s="73"/>
      <c r="E46" s="73"/>
      <c r="F46" s="73"/>
      <c r="G46" s="73"/>
      <c r="J46" s="61" t="s">
        <v>265</v>
      </c>
      <c r="K46" s="67">
        <f>(C21-D21)*(E21+G21+I21)+(C22-D22)*(E22+G22+I22)+(C23-D23)*(E23+G23+I23)+(C24-D24)*(E24+G24+I24)+(C25-D25)*(E25+G25+I25)+(C26-D26)*(E26+G26+I26)+(C27-D27)*(E27+G27+I27)+(C32-D32)*(E32+G32+I32)+(C33-D33)*(E33+G33+I33)+(C34-D34)*(E34+G34+I34)+(C35-D35)*(E35+G35+I35)+(C36-D36)*(E36+G36+I36)+(C37-D37)*(E37+G37+I37)+(C38-D38)*(E38+G38+I38)+(C39-D39)*(E39+G39+I39)</f>
        <v>4640676</v>
      </c>
      <c r="L46" s="30">
        <f>D21*(G21+I21)+D22*(G22+I22)+D23*(G23+I23)+D24*(G24+I24)+D25*(G25+I25)+D26*(G26+I26)+D27*(G27+I27)+D34*(E34)+D35*(E35)+D36*(E36)+D37*(E37)</f>
        <v>1259325</v>
      </c>
      <c r="M46" s="62">
        <f>SUM(K46:L46)</f>
        <v>5900001</v>
      </c>
      <c r="O46" s="241"/>
    </row>
    <row r="47" spans="1:16">
      <c r="A47" s="75" t="s">
        <v>266</v>
      </c>
      <c r="B47" s="75"/>
      <c r="C47" s="76"/>
      <c r="D47" s="75"/>
      <c r="E47" s="75"/>
      <c r="F47" s="75"/>
      <c r="G47" s="75"/>
      <c r="J47" s="61" t="s">
        <v>267</v>
      </c>
      <c r="K47" s="68">
        <f>(C21-D21)*(F21+H21+J21)+(C22-D22)*(F22+H22+J22)+(C23-D23)*(F23+H23+J23)+(C24-D24)*(F24+H24+J24)+(C25-D25)*(F25+H25+J25)+(C26-D26)*(F26+H26+J26)+(C27-D27)*(F27+H27+J27)+(C32-D32)*(F32+H32+J32)+(C33-D33)*(F33+H33+J33)+(C34-D34)*(F34+H34+J34)+(C35-D35)*(F35+H35+J35)+(C36-D36)*(F36+H36+J36)+(C37-D37)*(F37+H37+J37)+(C38-D38)*(F38+H38+J38)+(C39-D39)*(F39+H39+J39)</f>
        <v>631288</v>
      </c>
      <c r="L47" s="30">
        <f>D21*(H21+J21)+D22*(H22+J22)+D23*(H23+J23)+D24*(H24+J24)+D25*(H25+J25)+D26*(H26+J26)+D27*(H27+J27)+D28*(H28+J28)+D29*(H29+J29)+D30*(H30+J30)+D31*(H31+J31)+D34*F34+D35*F35+D36*F36+D37*F37+D40*F40+D41*F41+D42*(F42)</f>
        <v>743474</v>
      </c>
      <c r="M47" s="62">
        <f>SUM(K47:L47)</f>
        <v>1374762</v>
      </c>
    </row>
    <row r="48" spans="1:16">
      <c r="K48" s="12" t="s">
        <v>219</v>
      </c>
      <c r="L48" s="12" t="s">
        <v>219</v>
      </c>
    </row>
    <row r="49" spans="1:19">
      <c r="K49" s="12"/>
      <c r="L49" s="12"/>
    </row>
    <row r="50" spans="1:19">
      <c r="A50" s="1" t="s">
        <v>268</v>
      </c>
      <c r="C50" s="46" t="s">
        <v>219</v>
      </c>
      <c r="D50" s="77" t="s">
        <v>219</v>
      </c>
      <c r="E50" s="267" t="s">
        <v>234</v>
      </c>
      <c r="F50" s="268"/>
      <c r="G50" s="267" t="s">
        <v>235</v>
      </c>
      <c r="H50" s="268"/>
      <c r="I50" s="269" t="s">
        <v>236</v>
      </c>
      <c r="J50" s="270"/>
    </row>
    <row r="51" spans="1:19" s="23" customFormat="1" ht="45" customHeight="1">
      <c r="A51" s="271" t="s">
        <v>63</v>
      </c>
      <c r="B51" s="272"/>
      <c r="C51" s="20" t="s">
        <v>269</v>
      </c>
      <c r="D51" s="21" t="s">
        <v>238</v>
      </c>
      <c r="E51" s="55" t="s">
        <v>239</v>
      </c>
      <c r="F51" s="56" t="s">
        <v>240</v>
      </c>
      <c r="G51" s="55" t="s">
        <v>239</v>
      </c>
      <c r="H51" s="56" t="s">
        <v>240</v>
      </c>
      <c r="I51" s="55" t="s">
        <v>239</v>
      </c>
      <c r="J51" s="232" t="s">
        <v>240</v>
      </c>
      <c r="K51" s="22" t="s">
        <v>241</v>
      </c>
      <c r="L51" s="182" t="s">
        <v>270</v>
      </c>
      <c r="M51" s="182" t="s">
        <v>243</v>
      </c>
      <c r="N51" s="184"/>
      <c r="P51" s="183"/>
    </row>
    <row r="52" spans="1:19" ht="15" customHeight="1">
      <c r="A52" s="265" t="s">
        <v>271</v>
      </c>
      <c r="B52" s="266"/>
      <c r="C52" s="227">
        <v>2137</v>
      </c>
      <c r="D52" s="135">
        <f>D21</f>
        <v>200</v>
      </c>
      <c r="E52" s="228"/>
      <c r="F52" s="175"/>
      <c r="G52" s="228">
        <v>124</v>
      </c>
      <c r="H52" s="136">
        <v>38</v>
      </c>
      <c r="I52" s="230">
        <v>124</v>
      </c>
      <c r="J52" s="234">
        <v>41.040000000000006</v>
      </c>
      <c r="K52" s="25">
        <f t="shared" ref="K52:K66" si="4">(C52-D52)*(E52+F52+G52+H52+I52+J52)</f>
        <v>633476.4800000001</v>
      </c>
      <c r="L52" s="25">
        <f>(E52+F52+G52+H52+I52+J52)*D52</f>
        <v>65408.000000000007</v>
      </c>
      <c r="M52" s="25">
        <f>SUM(K52:L52)</f>
        <v>698884.4800000001</v>
      </c>
      <c r="N52" s="238"/>
      <c r="O52" s="205"/>
      <c r="P52" s="153"/>
      <c r="Q52" s="12"/>
      <c r="R52" s="12"/>
      <c r="S52" s="12"/>
    </row>
    <row r="53" spans="1:19" ht="15" customHeight="1">
      <c r="A53" s="265" t="s">
        <v>272</v>
      </c>
      <c r="B53" s="266"/>
      <c r="C53" s="178">
        <v>2190</v>
      </c>
      <c r="D53" s="135">
        <f>D22</f>
        <v>100</v>
      </c>
      <c r="E53" s="138"/>
      <c r="F53" s="176"/>
      <c r="G53" s="138">
        <v>204</v>
      </c>
      <c r="H53" s="137">
        <v>56</v>
      </c>
      <c r="I53" s="231">
        <v>204</v>
      </c>
      <c r="J53" s="235">
        <v>60.480000000000004</v>
      </c>
      <c r="K53" s="25">
        <f t="shared" si="4"/>
        <v>1096163.2</v>
      </c>
      <c r="L53" s="25">
        <f t="shared" ref="L53:L66" si="5">(E53+F53+G53+H53+I53+J53)*D53</f>
        <v>52448</v>
      </c>
      <c r="M53" s="25">
        <f t="shared" ref="M53:M66" si="6">SUM(K53:L53)</f>
        <v>1148611.2</v>
      </c>
      <c r="N53" s="238"/>
      <c r="O53" s="205"/>
      <c r="P53" s="153"/>
      <c r="Q53" s="12"/>
      <c r="R53" s="12"/>
      <c r="S53" s="12"/>
    </row>
    <row r="54" spans="1:19" ht="15" customHeight="1">
      <c r="A54" s="265" t="s">
        <v>273</v>
      </c>
      <c r="B54" s="266"/>
      <c r="C54" s="178">
        <v>1850</v>
      </c>
      <c r="D54" s="135">
        <v>350</v>
      </c>
      <c r="E54" s="138"/>
      <c r="F54" s="176"/>
      <c r="G54" s="138">
        <v>321</v>
      </c>
      <c r="H54" s="137">
        <v>56</v>
      </c>
      <c r="I54" s="231">
        <v>321</v>
      </c>
      <c r="J54" s="235">
        <v>60.480000000000004</v>
      </c>
      <c r="K54" s="25">
        <f t="shared" si="4"/>
        <v>1137720</v>
      </c>
      <c r="L54" s="25">
        <f t="shared" si="5"/>
        <v>265468</v>
      </c>
      <c r="M54" s="25">
        <f t="shared" si="6"/>
        <v>1403188</v>
      </c>
      <c r="N54" s="238"/>
      <c r="O54" s="205"/>
      <c r="P54" s="153"/>
      <c r="Q54" s="12"/>
      <c r="R54" s="12"/>
      <c r="S54" s="12"/>
    </row>
    <row r="55" spans="1:19" ht="15" customHeight="1">
      <c r="A55" s="265" t="s">
        <v>274</v>
      </c>
      <c r="B55" s="266"/>
      <c r="C55" s="178">
        <v>1650</v>
      </c>
      <c r="D55" s="135">
        <v>600</v>
      </c>
      <c r="E55" s="138"/>
      <c r="F55" s="176"/>
      <c r="G55" s="138">
        <v>374</v>
      </c>
      <c r="H55" s="137">
        <v>48</v>
      </c>
      <c r="I55" s="231">
        <v>374</v>
      </c>
      <c r="J55" s="235">
        <v>51.84</v>
      </c>
      <c r="K55" s="25">
        <f t="shared" si="4"/>
        <v>890232</v>
      </c>
      <c r="L55" s="25">
        <f t="shared" si="5"/>
        <v>508704</v>
      </c>
      <c r="M55" s="25">
        <f t="shared" si="6"/>
        <v>1398936</v>
      </c>
      <c r="N55" s="238"/>
      <c r="O55" s="205"/>
      <c r="P55" s="153"/>
      <c r="Q55" s="12"/>
      <c r="R55" s="12"/>
      <c r="S55" s="12"/>
    </row>
    <row r="56" spans="1:19" ht="15" customHeight="1">
      <c r="A56" s="265" t="s">
        <v>275</v>
      </c>
      <c r="B56" s="266"/>
      <c r="C56" s="178">
        <v>1885</v>
      </c>
      <c r="D56" s="135">
        <v>1375</v>
      </c>
      <c r="E56" s="138"/>
      <c r="F56" s="176"/>
      <c r="G56" s="138">
        <v>179</v>
      </c>
      <c r="H56" s="137">
        <v>158</v>
      </c>
      <c r="I56" s="231">
        <v>179</v>
      </c>
      <c r="J56" s="235">
        <v>170.64000000000001</v>
      </c>
      <c r="K56" s="25">
        <f t="shared" si="4"/>
        <v>350186.39999999997</v>
      </c>
      <c r="L56" s="25">
        <f t="shared" si="5"/>
        <v>944130</v>
      </c>
      <c r="M56" s="25">
        <f t="shared" si="6"/>
        <v>1294316.3999999999</v>
      </c>
      <c r="N56" s="238"/>
      <c r="O56" s="205"/>
      <c r="P56" s="153"/>
      <c r="Q56" s="12"/>
      <c r="R56" s="12"/>
      <c r="S56" s="12"/>
    </row>
    <row r="57" spans="1:19" ht="15" customHeight="1">
      <c r="A57" s="265" t="s">
        <v>276</v>
      </c>
      <c r="B57" s="266"/>
      <c r="C57" s="178">
        <v>1574</v>
      </c>
      <c r="D57" s="135">
        <f>+C57</f>
        <v>1574</v>
      </c>
      <c r="E57" s="138"/>
      <c r="F57" s="176"/>
      <c r="G57" s="138">
        <v>0</v>
      </c>
      <c r="H57" s="137">
        <v>144</v>
      </c>
      <c r="I57" s="231">
        <v>0</v>
      </c>
      <c r="J57" s="235">
        <v>155.52000000000001</v>
      </c>
      <c r="K57" s="25">
        <f t="shared" si="4"/>
        <v>0</v>
      </c>
      <c r="L57" s="25">
        <f t="shared" si="5"/>
        <v>471444.47999999998</v>
      </c>
      <c r="M57" s="25">
        <f t="shared" si="6"/>
        <v>471444.47999999998</v>
      </c>
      <c r="N57" s="238"/>
      <c r="O57" s="205"/>
      <c r="P57" s="153"/>
      <c r="Q57" s="12"/>
      <c r="R57" s="12"/>
      <c r="S57" s="12"/>
    </row>
    <row r="58" spans="1:19" ht="15" customHeight="1">
      <c r="A58" s="265" t="s">
        <v>277</v>
      </c>
      <c r="B58" s="266"/>
      <c r="C58" s="178">
        <v>1024</v>
      </c>
      <c r="D58" s="135">
        <f t="shared" ref="D58:D59" si="7">+C58</f>
        <v>1024</v>
      </c>
      <c r="E58" s="138"/>
      <c r="F58" s="176"/>
      <c r="G58" s="138">
        <v>0</v>
      </c>
      <c r="H58" s="137">
        <v>231</v>
      </c>
      <c r="I58" s="231">
        <v>0</v>
      </c>
      <c r="J58" s="235">
        <v>249.48000000000002</v>
      </c>
      <c r="K58" s="25">
        <f t="shared" si="4"/>
        <v>0</v>
      </c>
      <c r="L58" s="25">
        <f t="shared" si="5"/>
        <v>492011.52000000002</v>
      </c>
      <c r="M58" s="25">
        <f t="shared" si="6"/>
        <v>492011.52000000002</v>
      </c>
      <c r="N58" s="238"/>
      <c r="O58" s="205"/>
      <c r="P58" s="153"/>
      <c r="Q58" s="12"/>
      <c r="R58" s="12"/>
      <c r="S58" s="12"/>
    </row>
    <row r="59" spans="1:19" ht="15" customHeight="1">
      <c r="A59" s="265" t="s">
        <v>278</v>
      </c>
      <c r="B59" s="266"/>
      <c r="C59" s="178">
        <v>524</v>
      </c>
      <c r="D59" s="135">
        <f t="shared" si="7"/>
        <v>524</v>
      </c>
      <c r="E59" s="138"/>
      <c r="F59" s="176"/>
      <c r="G59" s="138">
        <v>0</v>
      </c>
      <c r="H59" s="137">
        <v>434</v>
      </c>
      <c r="I59" s="231">
        <v>0</v>
      </c>
      <c r="J59" s="235">
        <v>468.72</v>
      </c>
      <c r="K59" s="25">
        <f t="shared" si="4"/>
        <v>0</v>
      </c>
      <c r="L59" s="25">
        <f t="shared" si="5"/>
        <v>473025.28000000003</v>
      </c>
      <c r="M59" s="25">
        <f t="shared" si="6"/>
        <v>473025.28000000003</v>
      </c>
      <c r="N59" s="238"/>
      <c r="O59" s="205"/>
      <c r="P59" s="153"/>
      <c r="Q59" s="12"/>
      <c r="R59" s="12"/>
      <c r="S59" s="12"/>
    </row>
    <row r="60" spans="1:19" ht="15" customHeight="1">
      <c r="A60" s="265" t="s">
        <v>279</v>
      </c>
      <c r="B60" s="266"/>
      <c r="C60" s="178">
        <v>100</v>
      </c>
      <c r="D60" s="135">
        <v>100</v>
      </c>
      <c r="E60" s="138">
        <v>0</v>
      </c>
      <c r="F60" s="137">
        <v>0</v>
      </c>
      <c r="G60" s="138">
        <v>0</v>
      </c>
      <c r="H60" s="137">
        <v>0</v>
      </c>
      <c r="I60" s="231">
        <v>0</v>
      </c>
      <c r="J60" s="235">
        <f t="shared" ref="J60" si="8">+H60</f>
        <v>0</v>
      </c>
      <c r="K60" s="25">
        <f t="shared" si="4"/>
        <v>0</v>
      </c>
      <c r="L60" s="25">
        <f t="shared" si="5"/>
        <v>0</v>
      </c>
      <c r="M60" s="25">
        <f t="shared" si="6"/>
        <v>0</v>
      </c>
      <c r="N60" s="238"/>
      <c r="O60" s="205"/>
      <c r="P60" s="153"/>
      <c r="Q60" s="12"/>
      <c r="R60" s="12"/>
      <c r="S60" s="12"/>
    </row>
    <row r="61" spans="1:19" ht="15" customHeight="1">
      <c r="A61" s="265" t="s">
        <v>271</v>
      </c>
      <c r="B61" s="266"/>
      <c r="C61" s="178">
        <v>859</v>
      </c>
      <c r="D61" s="135">
        <v>125</v>
      </c>
      <c r="E61" s="138">
        <v>179</v>
      </c>
      <c r="F61" s="137">
        <v>0</v>
      </c>
      <c r="G61" s="138"/>
      <c r="H61" s="176"/>
      <c r="I61" s="231"/>
      <c r="J61" s="236"/>
      <c r="K61" s="25">
        <f t="shared" si="4"/>
        <v>131386</v>
      </c>
      <c r="L61" s="25">
        <f t="shared" si="5"/>
        <v>22375</v>
      </c>
      <c r="M61" s="25">
        <f t="shared" si="6"/>
        <v>153761</v>
      </c>
      <c r="N61" s="238"/>
      <c r="O61" s="205"/>
      <c r="P61" s="153"/>
      <c r="Q61" s="12"/>
      <c r="R61" s="12"/>
      <c r="S61" s="12"/>
    </row>
    <row r="62" spans="1:19" ht="15" customHeight="1">
      <c r="A62" s="265" t="s">
        <v>272</v>
      </c>
      <c r="B62" s="266"/>
      <c r="C62" s="178">
        <v>860</v>
      </c>
      <c r="D62" s="135">
        <v>75</v>
      </c>
      <c r="E62" s="138">
        <v>163</v>
      </c>
      <c r="F62" s="137">
        <v>0</v>
      </c>
      <c r="G62" s="138"/>
      <c r="H62" s="176"/>
      <c r="I62" s="231"/>
      <c r="J62" s="236"/>
      <c r="K62" s="25">
        <f t="shared" si="4"/>
        <v>127955</v>
      </c>
      <c r="L62" s="25">
        <f t="shared" si="5"/>
        <v>12225</v>
      </c>
      <c r="M62" s="25">
        <f t="shared" si="6"/>
        <v>140180</v>
      </c>
      <c r="N62" s="238"/>
      <c r="O62" s="205"/>
      <c r="P62" s="153"/>
      <c r="Q62" s="12"/>
      <c r="R62" s="12"/>
      <c r="S62" s="12"/>
    </row>
    <row r="63" spans="1:19" ht="15" customHeight="1">
      <c r="A63" s="265" t="s">
        <v>280</v>
      </c>
      <c r="B63" s="266"/>
      <c r="C63" s="178">
        <v>655</v>
      </c>
      <c r="D63" s="135">
        <v>0</v>
      </c>
      <c r="E63" s="138">
        <v>0</v>
      </c>
      <c r="F63" s="137"/>
      <c r="G63" s="138"/>
      <c r="H63" s="176"/>
      <c r="I63" s="231"/>
      <c r="J63" s="236"/>
      <c r="K63" s="25">
        <f t="shared" si="4"/>
        <v>0</v>
      </c>
      <c r="L63" s="25">
        <f t="shared" si="5"/>
        <v>0</v>
      </c>
      <c r="M63" s="25">
        <f t="shared" si="6"/>
        <v>0</v>
      </c>
      <c r="N63" s="238"/>
      <c r="O63" s="205"/>
      <c r="P63" s="153"/>
      <c r="Q63" s="12"/>
      <c r="R63" s="12"/>
      <c r="S63" s="12"/>
    </row>
    <row r="64" spans="1:19" ht="15" customHeight="1">
      <c r="A64" s="265" t="s">
        <v>259</v>
      </c>
      <c r="B64" s="266"/>
      <c r="C64" s="178">
        <v>775</v>
      </c>
      <c r="D64" s="135">
        <v>775</v>
      </c>
      <c r="E64" s="138">
        <v>0</v>
      </c>
      <c r="F64" s="137"/>
      <c r="G64" s="138"/>
      <c r="H64" s="176"/>
      <c r="I64" s="231"/>
      <c r="J64" s="236"/>
      <c r="K64" s="25">
        <f t="shared" si="4"/>
        <v>0</v>
      </c>
      <c r="L64" s="25">
        <f t="shared" si="5"/>
        <v>0</v>
      </c>
      <c r="M64" s="25">
        <f t="shared" si="6"/>
        <v>0</v>
      </c>
      <c r="N64" s="238"/>
      <c r="O64" s="205"/>
      <c r="P64" s="153"/>
      <c r="Q64" s="12"/>
      <c r="R64" s="12"/>
      <c r="S64" s="12"/>
    </row>
    <row r="65" spans="1:19" ht="15" customHeight="1">
      <c r="A65" s="265" t="s">
        <v>260</v>
      </c>
      <c r="B65" s="266"/>
      <c r="C65" s="178">
        <v>350</v>
      </c>
      <c r="D65" s="135">
        <v>350</v>
      </c>
      <c r="E65" s="138">
        <v>0</v>
      </c>
      <c r="F65" s="137"/>
      <c r="G65" s="138"/>
      <c r="H65" s="176"/>
      <c r="I65" s="231"/>
      <c r="J65" s="236"/>
      <c r="K65" s="25">
        <f t="shared" si="4"/>
        <v>0</v>
      </c>
      <c r="L65" s="25">
        <f t="shared" si="5"/>
        <v>0</v>
      </c>
      <c r="M65" s="25">
        <f t="shared" si="6"/>
        <v>0</v>
      </c>
      <c r="N65" s="238"/>
      <c r="O65" s="205"/>
      <c r="P65" s="153"/>
      <c r="Q65" s="12"/>
      <c r="R65" s="12"/>
      <c r="S65" s="12"/>
    </row>
    <row r="66" spans="1:19" ht="15" customHeight="1">
      <c r="A66" s="273" t="s">
        <v>261</v>
      </c>
      <c r="B66" s="274"/>
      <c r="C66" s="181">
        <v>250</v>
      </c>
      <c r="D66" s="164">
        <v>250</v>
      </c>
      <c r="E66" s="139">
        <f>E31</f>
        <v>0</v>
      </c>
      <c r="F66" s="137">
        <v>0</v>
      </c>
      <c r="G66" s="139">
        <v>0</v>
      </c>
      <c r="H66" s="176">
        <v>0</v>
      </c>
      <c r="I66" s="233">
        <v>0</v>
      </c>
      <c r="J66" s="237">
        <v>0</v>
      </c>
      <c r="K66" s="25">
        <f t="shared" si="4"/>
        <v>0</v>
      </c>
      <c r="L66" s="25">
        <f t="shared" si="5"/>
        <v>0</v>
      </c>
      <c r="M66" s="25">
        <f t="shared" si="6"/>
        <v>0</v>
      </c>
      <c r="N66" s="238"/>
      <c r="O66" s="205"/>
      <c r="P66" s="153"/>
      <c r="Q66" s="12"/>
      <c r="R66" s="12"/>
      <c r="S66" s="12"/>
    </row>
    <row r="67" spans="1:19" ht="13.5" customHeight="1">
      <c r="B67" s="59" t="s">
        <v>262</v>
      </c>
      <c r="C67" s="179"/>
      <c r="D67" s="180"/>
      <c r="E67" s="57">
        <f t="shared" ref="E67:M67" si="9">SUM(E52:E66)</f>
        <v>342</v>
      </c>
      <c r="F67" s="60">
        <f t="shared" si="9"/>
        <v>0</v>
      </c>
      <c r="G67" s="229">
        <f t="shared" si="9"/>
        <v>1202</v>
      </c>
      <c r="H67" s="60">
        <f t="shared" si="9"/>
        <v>1165</v>
      </c>
      <c r="I67" s="229">
        <f t="shared" si="9"/>
        <v>1202</v>
      </c>
      <c r="J67" s="60">
        <f t="shared" si="9"/>
        <v>1258.2</v>
      </c>
      <c r="K67" s="66">
        <f t="shared" si="9"/>
        <v>4367119.08</v>
      </c>
      <c r="L67" s="26">
        <f t="shared" si="9"/>
        <v>3307239.2800000003</v>
      </c>
      <c r="M67" s="26">
        <f t="shared" si="9"/>
        <v>7674358.3600000003</v>
      </c>
    </row>
    <row r="68" spans="1:19" ht="1.5" hidden="1" customHeight="1">
      <c r="B68" s="59"/>
      <c r="C68" s="27"/>
      <c r="D68" s="52"/>
      <c r="E68" s="64"/>
      <c r="F68" s="64"/>
      <c r="G68" s="65"/>
      <c r="H68" s="64"/>
      <c r="I68" s="65"/>
      <c r="J68" s="64"/>
    </row>
    <row r="69" spans="1:19" ht="15" customHeight="1">
      <c r="B69" s="59"/>
      <c r="C69" s="27"/>
      <c r="D69" s="52"/>
      <c r="E69" s="64"/>
      <c r="F69" s="64"/>
      <c r="G69" s="65"/>
      <c r="H69" s="64"/>
      <c r="I69" s="65"/>
      <c r="J69" s="64"/>
      <c r="K69" s="61" t="s">
        <v>281</v>
      </c>
      <c r="L69" s="188"/>
    </row>
    <row r="70" spans="1:19" ht="15" customHeight="1">
      <c r="B70" s="59"/>
      <c r="C70" s="27"/>
      <c r="D70" s="52"/>
      <c r="E70" s="64"/>
      <c r="F70" s="64"/>
      <c r="G70" s="65"/>
      <c r="H70" s="64"/>
      <c r="I70" s="65"/>
      <c r="J70" s="64"/>
      <c r="K70" s="61" t="s">
        <v>282</v>
      </c>
      <c r="L70" s="160">
        <f>L67-L69</f>
        <v>3307239.2800000003</v>
      </c>
      <c r="N70" s="241"/>
    </row>
    <row r="71" spans="1:19" ht="15" customHeight="1">
      <c r="A71" s="54" t="s">
        <v>263</v>
      </c>
      <c r="B71" s="71"/>
      <c r="C71" s="70"/>
      <c r="D71" s="54"/>
      <c r="E71" s="72"/>
      <c r="F71" s="54"/>
      <c r="G71" s="72"/>
      <c r="H71" s="31"/>
    </row>
    <row r="72" spans="1:19">
      <c r="A72" s="73" t="s">
        <v>264</v>
      </c>
      <c r="B72" s="73"/>
      <c r="C72" s="74"/>
      <c r="D72" s="73"/>
      <c r="E72" s="73"/>
      <c r="F72" s="73"/>
      <c r="G72" s="73"/>
      <c r="J72" s="61" t="s">
        <v>265</v>
      </c>
      <c r="K72" s="67">
        <f>(C52-D52)*(G52+I52)+(C53-D53)*(G53+I53)+(C54-D54)*(G54+I54)+(C55-D55)*(G55+I55)+(C56-D56)*(G56+I56)+(C61-D61)*E61+(C62-D62)*E62+(C63-D63)*E63</f>
        <v>3523417</v>
      </c>
      <c r="L72" s="30">
        <f>D52*(G52+I52)+D53*(G53+I53)+D54*(G54+I54)+D55*(G55+I55)+D56*(G56+I56)+D57*(G57+I57)+D58*(G58+I58)+D59*(G59+I59)+D60*(G60+I60)+D61*E61+D62*E62+D66*(G66+I66)</f>
        <v>1290750</v>
      </c>
      <c r="M72" s="62">
        <f>SUM(K72:L72)</f>
        <v>4814167</v>
      </c>
    </row>
    <row r="73" spans="1:19">
      <c r="A73" s="75" t="s">
        <v>266</v>
      </c>
      <c r="B73" s="75"/>
      <c r="C73" s="76"/>
      <c r="D73" s="75"/>
      <c r="E73" s="75"/>
      <c r="F73" s="75"/>
      <c r="G73" s="75"/>
      <c r="J73" s="61" t="s">
        <v>267</v>
      </c>
      <c r="K73" s="68">
        <f>(C52-D52)*(H52+J52)+(C53-D53)*(H53+J53)+(C54-D54)*(H54+J54)+(C55-D55)*(H55+J55)+(C56-D56)*(H56+J56)+(C61-D61)*F61+(C62-D62)*F62+(C63-D63)*F63</f>
        <v>843702.08000000007</v>
      </c>
      <c r="L73" s="30">
        <f>D52*(H52+J52)+D53*(H53+J53)+D54*(H54+J54)+D55*(H55+J55)+D56*(H56+J56)+D57*(H57+J57)+D58*(H58+J58)+D59*(H59+J59)+D60*(H60+J60)+D61*F61+D62*F62+D64*F64+D65*F65+D66*(F66)</f>
        <v>2016489.28</v>
      </c>
      <c r="M73" s="62">
        <f>SUM(K73:L73)</f>
        <v>2860191.3600000003</v>
      </c>
    </row>
    <row r="76" spans="1:19">
      <c r="A76" s="1" t="s">
        <v>283</v>
      </c>
      <c r="C76" s="46" t="s">
        <v>219</v>
      </c>
      <c r="D76" s="77" t="s">
        <v>219</v>
      </c>
      <c r="E76" s="267" t="s">
        <v>234</v>
      </c>
      <c r="F76" s="268"/>
      <c r="G76" s="267" t="s">
        <v>235</v>
      </c>
      <c r="H76" s="268"/>
      <c r="I76" s="269" t="s">
        <v>236</v>
      </c>
      <c r="J76" s="270"/>
    </row>
    <row r="77" spans="1:19" s="23" customFormat="1" ht="45" customHeight="1">
      <c r="A77" s="271" t="s">
        <v>63</v>
      </c>
      <c r="B77" s="272"/>
      <c r="C77" s="20" t="s">
        <v>284</v>
      </c>
      <c r="D77" s="21" t="s">
        <v>238</v>
      </c>
      <c r="E77" s="55" t="s">
        <v>239</v>
      </c>
      <c r="F77" s="56" t="s">
        <v>240</v>
      </c>
      <c r="G77" s="55" t="s">
        <v>239</v>
      </c>
      <c r="H77" s="56" t="s">
        <v>240</v>
      </c>
      <c r="I77" s="55" t="s">
        <v>239</v>
      </c>
      <c r="J77" s="56" t="s">
        <v>240</v>
      </c>
      <c r="K77" s="22" t="s">
        <v>241</v>
      </c>
      <c r="L77" s="182" t="s">
        <v>270</v>
      </c>
      <c r="M77" s="182" t="s">
        <v>243</v>
      </c>
    </row>
    <row r="78" spans="1:19" ht="15" customHeight="1">
      <c r="A78" s="265" t="s">
        <v>271</v>
      </c>
      <c r="B78" s="266"/>
      <c r="C78" s="227">
        <v>2175.7399999999998</v>
      </c>
      <c r="D78" s="135">
        <v>200</v>
      </c>
      <c r="E78" s="228"/>
      <c r="F78" s="175"/>
      <c r="G78" s="228">
        <v>124</v>
      </c>
      <c r="H78" s="136">
        <v>39</v>
      </c>
      <c r="I78" s="230">
        <v>124</v>
      </c>
      <c r="J78" s="234">
        <v>41</v>
      </c>
      <c r="K78" s="25">
        <f t="shared" ref="K78:K92" si="10">(C78-D78)*(E78+F78+G78+H78+I78+J78)</f>
        <v>648042.72</v>
      </c>
      <c r="L78" s="25">
        <f>(E78+F78+G78+H78+I78+J78)*D78</f>
        <v>65600</v>
      </c>
      <c r="M78" s="25">
        <f>SUM(K78:L78)</f>
        <v>713642.72</v>
      </c>
      <c r="N78" s="12"/>
    </row>
    <row r="79" spans="1:19" ht="15" customHeight="1">
      <c r="A79" s="265" t="s">
        <v>272</v>
      </c>
      <c r="B79" s="266"/>
      <c r="C79" s="178">
        <v>2231.8000000000002</v>
      </c>
      <c r="D79" s="135">
        <v>100</v>
      </c>
      <c r="E79" s="138"/>
      <c r="F79" s="176"/>
      <c r="G79" s="138">
        <v>204</v>
      </c>
      <c r="H79" s="137">
        <v>90</v>
      </c>
      <c r="I79" s="231">
        <v>204</v>
      </c>
      <c r="J79" s="235">
        <v>89</v>
      </c>
      <c r="K79" s="25">
        <f t="shared" si="10"/>
        <v>1251366.6000000001</v>
      </c>
      <c r="L79" s="25">
        <f t="shared" ref="L79:L92" si="11">(E79+F79+G79+H79+I79+J79)*D79</f>
        <v>58700</v>
      </c>
      <c r="M79" s="25">
        <f t="shared" ref="M79:M92" si="12">SUM(K79:L79)</f>
        <v>1310066.6000000001</v>
      </c>
    </row>
    <row r="80" spans="1:19" ht="15" customHeight="1">
      <c r="A80" s="265" t="s">
        <v>273</v>
      </c>
      <c r="B80" s="266"/>
      <c r="C80" s="178">
        <v>1880</v>
      </c>
      <c r="D80" s="135">
        <v>350</v>
      </c>
      <c r="E80" s="138"/>
      <c r="F80" s="176"/>
      <c r="G80" s="138">
        <v>321</v>
      </c>
      <c r="H80" s="137">
        <v>62</v>
      </c>
      <c r="I80" s="231">
        <v>321</v>
      </c>
      <c r="J80" s="235">
        <v>57</v>
      </c>
      <c r="K80" s="25">
        <f t="shared" si="10"/>
        <v>1164330</v>
      </c>
      <c r="L80" s="25">
        <f t="shared" si="11"/>
        <v>266350</v>
      </c>
      <c r="M80" s="25">
        <f t="shared" si="12"/>
        <v>1430680</v>
      </c>
    </row>
    <row r="81" spans="1:14" ht="15" customHeight="1">
      <c r="A81" s="265" t="s">
        <v>274</v>
      </c>
      <c r="B81" s="266"/>
      <c r="C81" s="178">
        <v>1671</v>
      </c>
      <c r="D81" s="135">
        <v>600</v>
      </c>
      <c r="E81" s="138"/>
      <c r="F81" s="176"/>
      <c r="G81" s="138">
        <v>374</v>
      </c>
      <c r="H81" s="137">
        <v>79</v>
      </c>
      <c r="I81" s="231">
        <v>374</v>
      </c>
      <c r="J81" s="235">
        <v>80</v>
      </c>
      <c r="K81" s="25">
        <f t="shared" si="10"/>
        <v>971397</v>
      </c>
      <c r="L81" s="25">
        <f t="shared" si="11"/>
        <v>544200</v>
      </c>
      <c r="M81" s="25">
        <f t="shared" si="12"/>
        <v>1515597</v>
      </c>
    </row>
    <row r="82" spans="1:14" ht="15" customHeight="1">
      <c r="A82" s="265" t="s">
        <v>275</v>
      </c>
      <c r="B82" s="266"/>
      <c r="C82" s="178">
        <v>1895.2</v>
      </c>
      <c r="D82" s="135">
        <v>1375</v>
      </c>
      <c r="E82" s="138"/>
      <c r="F82" s="176"/>
      <c r="G82" s="138">
        <v>179</v>
      </c>
      <c r="H82" s="137">
        <v>237</v>
      </c>
      <c r="I82" s="231">
        <v>179</v>
      </c>
      <c r="J82" s="235">
        <v>238</v>
      </c>
      <c r="K82" s="25">
        <f t="shared" si="10"/>
        <v>433326.60000000003</v>
      </c>
      <c r="L82" s="25">
        <f t="shared" si="11"/>
        <v>1145375</v>
      </c>
      <c r="M82" s="25">
        <f t="shared" si="12"/>
        <v>1578701.6</v>
      </c>
    </row>
    <row r="83" spans="1:14" ht="15" customHeight="1">
      <c r="A83" s="265" t="s">
        <v>285</v>
      </c>
      <c r="B83" s="266"/>
      <c r="C83" s="178">
        <v>1599</v>
      </c>
      <c r="D83" s="135">
        <v>1599</v>
      </c>
      <c r="E83" s="138"/>
      <c r="F83" s="176"/>
      <c r="G83" s="138">
        <v>0</v>
      </c>
      <c r="H83" s="137">
        <v>276</v>
      </c>
      <c r="I83" s="231">
        <v>0</v>
      </c>
      <c r="J83" s="235">
        <v>282</v>
      </c>
      <c r="K83" s="25">
        <f t="shared" si="10"/>
        <v>0</v>
      </c>
      <c r="L83" s="25">
        <f t="shared" si="11"/>
        <v>892242</v>
      </c>
      <c r="M83" s="25">
        <f t="shared" si="12"/>
        <v>892242</v>
      </c>
    </row>
    <row r="84" spans="1:14" ht="15" customHeight="1">
      <c r="A84" s="265" t="s">
        <v>286</v>
      </c>
      <c r="B84" s="266"/>
      <c r="C84" s="178">
        <v>1049</v>
      </c>
      <c r="D84" s="135">
        <v>1049</v>
      </c>
      <c r="E84" s="138"/>
      <c r="F84" s="176"/>
      <c r="G84" s="138">
        <v>0</v>
      </c>
      <c r="H84" s="137">
        <v>256</v>
      </c>
      <c r="I84" s="231">
        <v>0</v>
      </c>
      <c r="J84" s="235">
        <v>277</v>
      </c>
      <c r="K84" s="25">
        <f t="shared" si="10"/>
        <v>0</v>
      </c>
      <c r="L84" s="25">
        <f t="shared" si="11"/>
        <v>559117</v>
      </c>
      <c r="M84" s="25">
        <f t="shared" si="12"/>
        <v>559117</v>
      </c>
    </row>
    <row r="85" spans="1:14" ht="15" customHeight="1">
      <c r="A85" s="265" t="s">
        <v>287</v>
      </c>
      <c r="B85" s="266"/>
      <c r="C85" s="178">
        <v>549</v>
      </c>
      <c r="D85" s="135">
        <v>549</v>
      </c>
      <c r="E85" s="138"/>
      <c r="F85" s="176"/>
      <c r="G85" s="138">
        <v>0</v>
      </c>
      <c r="H85" s="137">
        <v>481</v>
      </c>
      <c r="I85" s="231">
        <v>0</v>
      </c>
      <c r="J85" s="235">
        <v>504</v>
      </c>
      <c r="K85" s="25">
        <f t="shared" si="10"/>
        <v>0</v>
      </c>
      <c r="L85" s="25">
        <f t="shared" si="11"/>
        <v>540765</v>
      </c>
      <c r="M85" s="25">
        <f t="shared" si="12"/>
        <v>540765</v>
      </c>
    </row>
    <row r="86" spans="1:14" ht="15" customHeight="1">
      <c r="A86" s="265" t="s">
        <v>279</v>
      </c>
      <c r="B86" s="266"/>
      <c r="C86" s="178">
        <v>100</v>
      </c>
      <c r="D86" s="135">
        <v>100</v>
      </c>
      <c r="E86" s="138">
        <v>0</v>
      </c>
      <c r="F86" s="137"/>
      <c r="G86" s="138">
        <v>0</v>
      </c>
      <c r="H86" s="137">
        <f t="shared" ref="H86" si="13">+H60*1.05</f>
        <v>0</v>
      </c>
      <c r="I86" s="231">
        <v>0</v>
      </c>
      <c r="J86" s="235">
        <f t="shared" ref="J86" si="14">+J60*1.05</f>
        <v>0</v>
      </c>
      <c r="K86" s="25">
        <f t="shared" si="10"/>
        <v>0</v>
      </c>
      <c r="L86" s="25">
        <f t="shared" si="11"/>
        <v>0</v>
      </c>
      <c r="M86" s="25">
        <f t="shared" si="12"/>
        <v>0</v>
      </c>
    </row>
    <row r="87" spans="1:14" ht="15" customHeight="1">
      <c r="A87" s="265" t="s">
        <v>271</v>
      </c>
      <c r="B87" s="266"/>
      <c r="C87" s="178">
        <v>873.68000000000006</v>
      </c>
      <c r="D87" s="135">
        <v>125</v>
      </c>
      <c r="E87" s="138">
        <v>179</v>
      </c>
      <c r="F87" s="137"/>
      <c r="G87" s="138"/>
      <c r="H87" s="176"/>
      <c r="I87" s="231"/>
      <c r="J87" s="236"/>
      <c r="K87" s="25">
        <f t="shared" si="10"/>
        <v>134013.72</v>
      </c>
      <c r="L87" s="25">
        <f t="shared" si="11"/>
        <v>22375</v>
      </c>
      <c r="M87" s="25">
        <f t="shared" si="12"/>
        <v>156388.72</v>
      </c>
    </row>
    <row r="88" spans="1:14" ht="15" customHeight="1">
      <c r="A88" s="265" t="s">
        <v>272</v>
      </c>
      <c r="B88" s="266"/>
      <c r="C88" s="178">
        <v>874.68000000000006</v>
      </c>
      <c r="D88" s="135">
        <v>75</v>
      </c>
      <c r="E88" s="138">
        <v>163</v>
      </c>
      <c r="F88" s="137"/>
      <c r="G88" s="138"/>
      <c r="H88" s="176"/>
      <c r="I88" s="231"/>
      <c r="J88" s="236"/>
      <c r="K88" s="25">
        <f t="shared" si="10"/>
        <v>130347.84000000001</v>
      </c>
      <c r="L88" s="25">
        <f t="shared" si="11"/>
        <v>12225</v>
      </c>
      <c r="M88" s="25">
        <f t="shared" si="12"/>
        <v>142572.84000000003</v>
      </c>
    </row>
    <row r="89" spans="1:14" ht="15" customHeight="1">
      <c r="A89" s="265" t="s">
        <v>280</v>
      </c>
      <c r="B89" s="266"/>
      <c r="C89" s="178">
        <v>668.1</v>
      </c>
      <c r="D89" s="135">
        <v>0</v>
      </c>
      <c r="E89" s="138">
        <v>0</v>
      </c>
      <c r="F89" s="137"/>
      <c r="G89" s="138"/>
      <c r="H89" s="176"/>
      <c r="I89" s="231"/>
      <c r="J89" s="236"/>
      <c r="K89" s="25">
        <f t="shared" si="10"/>
        <v>0</v>
      </c>
      <c r="L89" s="25">
        <f t="shared" si="11"/>
        <v>0</v>
      </c>
      <c r="M89" s="25">
        <f t="shared" si="12"/>
        <v>0</v>
      </c>
    </row>
    <row r="90" spans="1:14" ht="15" customHeight="1">
      <c r="A90" s="265" t="s">
        <v>259</v>
      </c>
      <c r="B90" s="266"/>
      <c r="C90" s="178">
        <v>775</v>
      </c>
      <c r="D90" s="135">
        <v>775</v>
      </c>
      <c r="E90" s="138">
        <v>0</v>
      </c>
      <c r="F90" s="137"/>
      <c r="G90" s="138"/>
      <c r="H90" s="176"/>
      <c r="I90" s="231"/>
      <c r="J90" s="236"/>
      <c r="K90" s="25">
        <f t="shared" si="10"/>
        <v>0</v>
      </c>
      <c r="L90" s="25">
        <f t="shared" si="11"/>
        <v>0</v>
      </c>
      <c r="M90" s="25">
        <f t="shared" si="12"/>
        <v>0</v>
      </c>
    </row>
    <row r="91" spans="1:14" ht="15" customHeight="1">
      <c r="A91" s="265" t="s">
        <v>260</v>
      </c>
      <c r="B91" s="266"/>
      <c r="C91" s="178">
        <v>350</v>
      </c>
      <c r="D91" s="135">
        <v>350</v>
      </c>
      <c r="E91" s="138">
        <v>0</v>
      </c>
      <c r="F91" s="137"/>
      <c r="G91" s="138"/>
      <c r="H91" s="176"/>
      <c r="I91" s="231"/>
      <c r="J91" s="236"/>
      <c r="K91" s="25">
        <f t="shared" si="10"/>
        <v>0</v>
      </c>
      <c r="L91" s="25">
        <f t="shared" si="11"/>
        <v>0</v>
      </c>
      <c r="M91" s="25">
        <f t="shared" si="12"/>
        <v>0</v>
      </c>
    </row>
    <row r="92" spans="1:14" ht="15" customHeight="1">
      <c r="A92" s="273" t="s">
        <v>261</v>
      </c>
      <c r="B92" s="274"/>
      <c r="C92" s="181">
        <v>250</v>
      </c>
      <c r="D92" s="164">
        <v>250</v>
      </c>
      <c r="E92" s="139">
        <f>E57</f>
        <v>0</v>
      </c>
      <c r="F92" s="137">
        <v>0</v>
      </c>
      <c r="G92" s="139">
        <v>0</v>
      </c>
      <c r="H92" s="176">
        <v>0</v>
      </c>
      <c r="I92" s="233">
        <v>0</v>
      </c>
      <c r="J92" s="237">
        <v>0</v>
      </c>
      <c r="K92" s="25">
        <f t="shared" si="10"/>
        <v>0</v>
      </c>
      <c r="L92" s="25">
        <f t="shared" si="11"/>
        <v>0</v>
      </c>
      <c r="M92" s="25">
        <f t="shared" si="12"/>
        <v>0</v>
      </c>
    </row>
    <row r="93" spans="1:14" ht="15.75" customHeight="1">
      <c r="B93" s="59" t="s">
        <v>262</v>
      </c>
      <c r="C93" s="179"/>
      <c r="D93" s="180"/>
      <c r="E93" s="57">
        <f t="shared" ref="E93:M93" si="15">SUM(E78:E92)</f>
        <v>342</v>
      </c>
      <c r="F93" s="60">
        <f t="shared" si="15"/>
        <v>0</v>
      </c>
      <c r="G93" s="229">
        <f t="shared" si="15"/>
        <v>1202</v>
      </c>
      <c r="H93" s="239">
        <f t="shared" si="15"/>
        <v>1520</v>
      </c>
      <c r="I93" s="229">
        <f t="shared" si="15"/>
        <v>1202</v>
      </c>
      <c r="J93" s="239">
        <f t="shared" si="15"/>
        <v>1568</v>
      </c>
      <c r="K93" s="66">
        <f t="shared" si="15"/>
        <v>4732824.4799999995</v>
      </c>
      <c r="L93" s="26">
        <f t="shared" si="15"/>
        <v>4106949</v>
      </c>
      <c r="M93" s="26">
        <f t="shared" si="15"/>
        <v>8839773.4800000004</v>
      </c>
    </row>
    <row r="94" spans="1:14" ht="15" customHeight="1">
      <c r="B94" s="59"/>
      <c r="C94" s="27"/>
      <c r="D94" s="52"/>
      <c r="E94" s="64"/>
      <c r="F94" s="64"/>
      <c r="G94" s="65"/>
      <c r="H94" s="64"/>
      <c r="I94" s="65"/>
      <c r="J94" s="64"/>
    </row>
    <row r="95" spans="1:14" ht="15" customHeight="1">
      <c r="B95" s="59"/>
      <c r="C95" s="27"/>
      <c r="D95" s="52"/>
      <c r="E95" s="64"/>
      <c r="F95" s="64"/>
      <c r="G95" s="65"/>
      <c r="H95" s="64"/>
      <c r="I95" s="65"/>
      <c r="J95" s="64"/>
      <c r="K95" s="61" t="s">
        <v>281</v>
      </c>
      <c r="L95" s="188">
        <f>L86*0.25</f>
        <v>0</v>
      </c>
    </row>
    <row r="96" spans="1:14" ht="15" customHeight="1">
      <c r="B96" s="59"/>
      <c r="C96" s="27"/>
      <c r="D96" s="52"/>
      <c r="E96" s="64"/>
      <c r="F96" s="64"/>
      <c r="G96" s="65"/>
      <c r="H96" s="64"/>
      <c r="I96" s="65"/>
      <c r="J96" s="64"/>
      <c r="K96" s="61" t="s">
        <v>282</v>
      </c>
      <c r="L96" s="160">
        <f>L93-L95</f>
        <v>4106949</v>
      </c>
      <c r="N96" s="241"/>
    </row>
    <row r="97" spans="1:14">
      <c r="A97" s="54" t="s">
        <v>263</v>
      </c>
      <c r="B97" s="71"/>
      <c r="C97" s="70"/>
      <c r="D97" s="54"/>
      <c r="E97" s="72"/>
      <c r="F97" s="54"/>
      <c r="G97" s="72"/>
      <c r="H97" s="31"/>
    </row>
    <row r="98" spans="1:14">
      <c r="A98" s="73" t="s">
        <v>264</v>
      </c>
      <c r="B98" s="73"/>
      <c r="C98" s="74"/>
      <c r="D98" s="73"/>
      <c r="E98" s="73"/>
      <c r="F98" s="73"/>
      <c r="G98" s="73"/>
      <c r="J98" s="61" t="s">
        <v>265</v>
      </c>
      <c r="K98" s="67">
        <f>(C78-D78)*(G78+I78)+(C79-D79)*(G79+I79)+(C80-D80)*(G80+I80)+(C81-D81)*(G81+I81)+(C82-D82)*(G82+I82)+(C87-D87)*E87+(C88-D88)*E88+(C89-D89)*E89</f>
        <v>3593719.08</v>
      </c>
      <c r="L98" s="30">
        <f>D78*(G78+I78)+D79*(G79+I79)+D80*(G80+I80)+D81*(G81+I81)+D82*(G82+I82)+D83*(G83+I83)+D84*(G84+I84)+D85*(G85+I85)+D86*(G86+I86)+D87*E87+D88*E88+D92*(G92+I92)</f>
        <v>1290750</v>
      </c>
      <c r="M98" s="62">
        <f>SUM(K98:L98)</f>
        <v>4884469.08</v>
      </c>
    </row>
    <row r="99" spans="1:14">
      <c r="A99" s="75" t="s">
        <v>266</v>
      </c>
      <c r="B99" s="75"/>
      <c r="C99" s="76"/>
      <c r="D99" s="75"/>
      <c r="E99" s="75"/>
      <c r="F99" s="75"/>
      <c r="G99" s="75"/>
      <c r="J99" s="61" t="s">
        <v>267</v>
      </c>
      <c r="K99" s="68">
        <f>(C78-D78)*(H78+J78)+(C79-D79)*(H79+J79)+(C80-D80)*(H80+J80)+(C81-D81)*(H81+J81)+(C82-D82)*(H82+J82)+(C87-D87)*F87+(C88-D88)*F88+(C89-D89)*F89</f>
        <v>1139105.4000000001</v>
      </c>
      <c r="L99" s="30">
        <f>D78*(H78+J78)+D79*(H79+J79)+D80*(H80+J80)+D81*(H81+J81)+D82*(H82+J82)+D83*(H83+J83)+D84*(H84+J84)+D85*(H85+J85)+D86*(H86+J86)+D87*F87+D88*F88+D90*F90+D91*F91+D92*(F92)</f>
        <v>2816199</v>
      </c>
      <c r="M99" s="62">
        <f>SUM(K99:L99)</f>
        <v>3955304.4000000004</v>
      </c>
    </row>
    <row r="101" spans="1:14">
      <c r="A101" s="1" t="s">
        <v>288</v>
      </c>
      <c r="C101" s="46" t="s">
        <v>219</v>
      </c>
      <c r="D101" s="77" t="s">
        <v>219</v>
      </c>
      <c r="E101" s="267" t="s">
        <v>234</v>
      </c>
      <c r="F101" s="268"/>
      <c r="G101" s="267" t="s">
        <v>235</v>
      </c>
      <c r="H101" s="268"/>
      <c r="I101" s="269" t="s">
        <v>236</v>
      </c>
      <c r="J101" s="270"/>
    </row>
    <row r="102" spans="1:14" s="23" customFormat="1" ht="45" customHeight="1">
      <c r="A102" s="271" t="s">
        <v>63</v>
      </c>
      <c r="B102" s="272"/>
      <c r="C102" s="20" t="s">
        <v>289</v>
      </c>
      <c r="D102" s="21" t="s">
        <v>238</v>
      </c>
      <c r="E102" s="55" t="s">
        <v>239</v>
      </c>
      <c r="F102" s="56" t="s">
        <v>240</v>
      </c>
      <c r="G102" s="55" t="s">
        <v>239</v>
      </c>
      <c r="H102" s="56" t="s">
        <v>240</v>
      </c>
      <c r="I102" s="55" t="s">
        <v>239</v>
      </c>
      <c r="J102" s="56" t="s">
        <v>240</v>
      </c>
      <c r="K102" s="22" t="s">
        <v>241</v>
      </c>
      <c r="L102" s="182" t="s">
        <v>270</v>
      </c>
      <c r="M102" s="182" t="s">
        <v>243</v>
      </c>
    </row>
    <row r="103" spans="1:14" ht="15" customHeight="1">
      <c r="A103" s="265" t="s">
        <v>271</v>
      </c>
      <c r="B103" s="266"/>
      <c r="C103" s="178">
        <v>2215.2547999999997</v>
      </c>
      <c r="D103" s="135">
        <v>200</v>
      </c>
      <c r="E103" s="228"/>
      <c r="F103" s="175"/>
      <c r="G103" s="228">
        <v>124</v>
      </c>
      <c r="H103" s="136">
        <v>44</v>
      </c>
      <c r="I103" s="228">
        <v>124</v>
      </c>
      <c r="J103" s="136">
        <v>46</v>
      </c>
      <c r="K103" s="24">
        <f>(C103-D103)*(E103+F103+G103+H103+I103+J103)</f>
        <v>681156.12239999988</v>
      </c>
      <c r="L103" s="25">
        <f>(E103+F103+G103+H103+I103+J103)*D103</f>
        <v>67600</v>
      </c>
      <c r="M103" s="25">
        <f>SUM(K103:L103)</f>
        <v>748756.12239999988</v>
      </c>
      <c r="N103" s="12"/>
    </row>
    <row r="104" spans="1:14" ht="15" customHeight="1">
      <c r="A104" s="265" t="s">
        <v>272</v>
      </c>
      <c r="B104" s="266"/>
      <c r="C104" s="178">
        <v>2274.4360000000001</v>
      </c>
      <c r="D104" s="135">
        <v>100</v>
      </c>
      <c r="E104" s="138"/>
      <c r="F104" s="176"/>
      <c r="G104" s="138">
        <v>204</v>
      </c>
      <c r="H104" s="137">
        <v>96</v>
      </c>
      <c r="I104" s="138">
        <v>204</v>
      </c>
      <c r="J104" s="137">
        <v>95</v>
      </c>
      <c r="K104" s="24">
        <f t="shared" ref="K104:K117" si="16">(C104-D104)*(E104+F104+G104+H104+I104+J104)</f>
        <v>1302487.1640000001</v>
      </c>
      <c r="L104" s="25">
        <f t="shared" ref="L104:L117" si="17">(E104+F104+G104+H104+I104+J104)*D104</f>
        <v>59900</v>
      </c>
      <c r="M104" s="25">
        <f t="shared" ref="M104:M117" si="18">SUM(K104:L104)</f>
        <v>1362387.1640000001</v>
      </c>
      <c r="N104" s="12"/>
    </row>
    <row r="105" spans="1:14" ht="15" customHeight="1">
      <c r="A105" s="265" t="s">
        <v>273</v>
      </c>
      <c r="B105" s="266"/>
      <c r="C105" s="178">
        <v>1910.6000000000001</v>
      </c>
      <c r="D105" s="135">
        <v>350</v>
      </c>
      <c r="E105" s="138"/>
      <c r="F105" s="176"/>
      <c r="G105" s="138">
        <v>321</v>
      </c>
      <c r="H105" s="137">
        <v>70</v>
      </c>
      <c r="I105" s="138">
        <v>321</v>
      </c>
      <c r="J105" s="137">
        <v>65</v>
      </c>
      <c r="K105" s="24">
        <f t="shared" si="16"/>
        <v>1212586.2000000002</v>
      </c>
      <c r="L105" s="25">
        <f t="shared" si="17"/>
        <v>271950</v>
      </c>
      <c r="M105" s="25">
        <f t="shared" si="18"/>
        <v>1484536.2000000002</v>
      </c>
      <c r="N105" s="12"/>
    </row>
    <row r="106" spans="1:14" ht="15" customHeight="1">
      <c r="A106" s="265" t="s">
        <v>274</v>
      </c>
      <c r="B106" s="266"/>
      <c r="C106" s="178">
        <v>1692.42</v>
      </c>
      <c r="D106" s="135">
        <v>600</v>
      </c>
      <c r="E106" s="138"/>
      <c r="F106" s="176"/>
      <c r="G106" s="138">
        <v>374</v>
      </c>
      <c r="H106" s="137">
        <v>85</v>
      </c>
      <c r="I106" s="138">
        <v>374</v>
      </c>
      <c r="J106" s="137">
        <v>86</v>
      </c>
      <c r="K106" s="24">
        <f t="shared" si="16"/>
        <v>1003933.9800000001</v>
      </c>
      <c r="L106" s="25">
        <f t="shared" si="17"/>
        <v>551400</v>
      </c>
      <c r="M106" s="25">
        <f t="shared" si="18"/>
        <v>1555333.98</v>
      </c>
      <c r="N106" s="12"/>
    </row>
    <row r="107" spans="1:14" ht="15" customHeight="1">
      <c r="A107" s="265" t="s">
        <v>275</v>
      </c>
      <c r="B107" s="266"/>
      <c r="C107" s="178">
        <v>1905.604</v>
      </c>
      <c r="D107" s="135">
        <v>1375</v>
      </c>
      <c r="E107" s="138"/>
      <c r="F107" s="176"/>
      <c r="G107" s="138">
        <v>179</v>
      </c>
      <c r="H107" s="137">
        <v>258</v>
      </c>
      <c r="I107" s="138">
        <v>179</v>
      </c>
      <c r="J107" s="137">
        <v>259</v>
      </c>
      <c r="K107" s="24">
        <f t="shared" si="16"/>
        <v>464278.50000000006</v>
      </c>
      <c r="L107" s="25">
        <f t="shared" si="17"/>
        <v>1203125</v>
      </c>
      <c r="M107" s="25">
        <f t="shared" si="18"/>
        <v>1667403.5</v>
      </c>
      <c r="N107" s="12"/>
    </row>
    <row r="108" spans="1:14" ht="15" customHeight="1">
      <c r="A108" s="265" t="s">
        <v>290</v>
      </c>
      <c r="B108" s="266"/>
      <c r="C108" s="178">
        <v>1599</v>
      </c>
      <c r="D108" s="135">
        <v>1599</v>
      </c>
      <c r="E108" s="138"/>
      <c r="F108" s="176"/>
      <c r="G108" s="138">
        <v>0</v>
      </c>
      <c r="H108" s="137">
        <v>294</v>
      </c>
      <c r="I108" s="138">
        <v>0</v>
      </c>
      <c r="J108" s="137">
        <v>300</v>
      </c>
      <c r="K108" s="24">
        <f t="shared" si="16"/>
        <v>0</v>
      </c>
      <c r="L108" s="25">
        <f t="shared" si="17"/>
        <v>949806</v>
      </c>
      <c r="M108" s="25">
        <f t="shared" si="18"/>
        <v>949806</v>
      </c>
      <c r="N108" s="12"/>
    </row>
    <row r="109" spans="1:14" ht="15" customHeight="1">
      <c r="A109" s="265" t="s">
        <v>291</v>
      </c>
      <c r="B109" s="266"/>
      <c r="C109" s="178">
        <v>1049</v>
      </c>
      <c r="D109" s="135">
        <v>1049</v>
      </c>
      <c r="E109" s="138"/>
      <c r="F109" s="176"/>
      <c r="G109" s="138">
        <v>0</v>
      </c>
      <c r="H109" s="137">
        <v>286</v>
      </c>
      <c r="I109" s="138">
        <v>0</v>
      </c>
      <c r="J109" s="137">
        <v>307</v>
      </c>
      <c r="K109" s="24">
        <f t="shared" si="16"/>
        <v>0</v>
      </c>
      <c r="L109" s="25">
        <f t="shared" si="17"/>
        <v>622057</v>
      </c>
      <c r="M109" s="25">
        <f t="shared" si="18"/>
        <v>622057</v>
      </c>
      <c r="N109" s="12"/>
    </row>
    <row r="110" spans="1:14" ht="15" customHeight="1">
      <c r="A110" s="265" t="s">
        <v>292</v>
      </c>
      <c r="B110" s="266"/>
      <c r="C110" s="178">
        <v>549</v>
      </c>
      <c r="D110" s="135">
        <v>549</v>
      </c>
      <c r="E110" s="138"/>
      <c r="F110" s="176"/>
      <c r="G110" s="138">
        <v>0</v>
      </c>
      <c r="H110" s="137">
        <v>538</v>
      </c>
      <c r="I110" s="138">
        <v>0</v>
      </c>
      <c r="J110" s="137">
        <v>561</v>
      </c>
      <c r="K110" s="24">
        <f t="shared" si="16"/>
        <v>0</v>
      </c>
      <c r="L110" s="25">
        <f t="shared" si="17"/>
        <v>603351</v>
      </c>
      <c r="M110" s="25">
        <f t="shared" si="18"/>
        <v>603351</v>
      </c>
    </row>
    <row r="111" spans="1:14" ht="15" customHeight="1">
      <c r="A111" s="265" t="s">
        <v>279</v>
      </c>
      <c r="B111" s="266"/>
      <c r="C111" s="178">
        <v>100</v>
      </c>
      <c r="D111" s="135">
        <v>100</v>
      </c>
      <c r="E111" s="138">
        <v>0</v>
      </c>
      <c r="F111" s="137"/>
      <c r="G111" s="138">
        <v>0</v>
      </c>
      <c r="H111" s="137">
        <v>0</v>
      </c>
      <c r="I111" s="138">
        <v>0</v>
      </c>
      <c r="J111" s="137">
        <v>0</v>
      </c>
      <c r="K111" s="24">
        <f t="shared" si="16"/>
        <v>0</v>
      </c>
      <c r="L111" s="25">
        <f t="shared" si="17"/>
        <v>0</v>
      </c>
      <c r="M111" s="25">
        <f t="shared" si="18"/>
        <v>0</v>
      </c>
    </row>
    <row r="112" spans="1:14" ht="15" customHeight="1">
      <c r="A112" s="265" t="s">
        <v>271</v>
      </c>
      <c r="B112" s="266"/>
      <c r="C112" s="178">
        <v>888.6536000000001</v>
      </c>
      <c r="D112" s="135">
        <v>125</v>
      </c>
      <c r="E112" s="138">
        <v>179</v>
      </c>
      <c r="F112" s="137"/>
      <c r="G112" s="168"/>
      <c r="H112" s="176">
        <v>0</v>
      </c>
      <c r="I112" s="168"/>
      <c r="J112" s="176">
        <v>0</v>
      </c>
      <c r="K112" s="24">
        <f t="shared" si="16"/>
        <v>136693.99440000003</v>
      </c>
      <c r="L112" s="25">
        <f t="shared" si="17"/>
        <v>22375</v>
      </c>
      <c r="M112" s="25">
        <f t="shared" si="18"/>
        <v>159068.99440000003</v>
      </c>
    </row>
    <row r="113" spans="1:14" ht="15" customHeight="1">
      <c r="A113" s="265" t="s">
        <v>272</v>
      </c>
      <c r="B113" s="266"/>
      <c r="C113" s="178">
        <v>890.67360000000008</v>
      </c>
      <c r="D113" s="135">
        <v>75</v>
      </c>
      <c r="E113" s="138">
        <v>163</v>
      </c>
      <c r="F113" s="137"/>
      <c r="G113" s="168"/>
      <c r="H113" s="176">
        <v>0</v>
      </c>
      <c r="I113" s="168"/>
      <c r="J113" s="176">
        <v>0</v>
      </c>
      <c r="K113" s="24">
        <f t="shared" si="16"/>
        <v>132954.79680000001</v>
      </c>
      <c r="L113" s="25">
        <f t="shared" si="17"/>
        <v>12225</v>
      </c>
      <c r="M113" s="25">
        <f t="shared" si="18"/>
        <v>145179.79680000001</v>
      </c>
    </row>
    <row r="114" spans="1:14" ht="15" customHeight="1">
      <c r="A114" s="265" t="s">
        <v>280</v>
      </c>
      <c r="B114" s="266"/>
      <c r="C114" s="178">
        <v>681.46199999999999</v>
      </c>
      <c r="D114" s="135">
        <v>0</v>
      </c>
      <c r="E114" s="138">
        <v>0</v>
      </c>
      <c r="F114" s="137"/>
      <c r="G114" s="168"/>
      <c r="H114" s="176"/>
      <c r="I114" s="168"/>
      <c r="J114" s="176"/>
      <c r="K114" s="24">
        <f t="shared" si="16"/>
        <v>0</v>
      </c>
      <c r="L114" s="25">
        <f t="shared" si="17"/>
        <v>0</v>
      </c>
      <c r="M114" s="25">
        <f t="shared" si="18"/>
        <v>0</v>
      </c>
    </row>
    <row r="115" spans="1:14" ht="15" customHeight="1">
      <c r="A115" s="265" t="s">
        <v>259</v>
      </c>
      <c r="B115" s="266"/>
      <c r="C115" s="178">
        <v>775</v>
      </c>
      <c r="D115" s="135">
        <v>775</v>
      </c>
      <c r="E115" s="138">
        <v>0</v>
      </c>
      <c r="F115" s="137"/>
      <c r="G115" s="168"/>
      <c r="H115" s="176"/>
      <c r="I115" s="168"/>
      <c r="J115" s="176"/>
      <c r="K115" s="24">
        <f t="shared" si="16"/>
        <v>0</v>
      </c>
      <c r="L115" s="25">
        <f t="shared" si="17"/>
        <v>0</v>
      </c>
      <c r="M115" s="25">
        <f t="shared" si="18"/>
        <v>0</v>
      </c>
    </row>
    <row r="116" spans="1:14" ht="15" customHeight="1">
      <c r="A116" s="265" t="s">
        <v>260</v>
      </c>
      <c r="B116" s="266"/>
      <c r="C116" s="178">
        <v>350</v>
      </c>
      <c r="D116" s="135">
        <v>350</v>
      </c>
      <c r="E116" s="138">
        <v>0</v>
      </c>
      <c r="F116" s="137"/>
      <c r="G116" s="168"/>
      <c r="H116" s="176"/>
      <c r="I116" s="168"/>
      <c r="J116" s="176"/>
      <c r="K116" s="24">
        <f t="shared" si="16"/>
        <v>0</v>
      </c>
      <c r="L116" s="25">
        <f t="shared" si="17"/>
        <v>0</v>
      </c>
      <c r="M116" s="25">
        <f t="shared" si="18"/>
        <v>0</v>
      </c>
    </row>
    <row r="117" spans="1:14" ht="15" customHeight="1">
      <c r="A117" s="273" t="s">
        <v>261</v>
      </c>
      <c r="B117" s="274"/>
      <c r="C117" s="181">
        <v>250</v>
      </c>
      <c r="D117" s="164">
        <v>250</v>
      </c>
      <c r="E117" s="139">
        <f>E82</f>
        <v>0</v>
      </c>
      <c r="F117" s="137">
        <v>0</v>
      </c>
      <c r="G117" s="177">
        <v>0</v>
      </c>
      <c r="H117" s="176">
        <v>0</v>
      </c>
      <c r="I117" s="177">
        <v>0</v>
      </c>
      <c r="J117" s="176">
        <v>0</v>
      </c>
      <c r="K117" s="24">
        <f t="shared" si="16"/>
        <v>0</v>
      </c>
      <c r="L117" s="25">
        <f t="shared" si="17"/>
        <v>0</v>
      </c>
      <c r="M117" s="25">
        <f t="shared" si="18"/>
        <v>0</v>
      </c>
    </row>
    <row r="118" spans="1:14" ht="15" customHeight="1">
      <c r="B118" s="59" t="s">
        <v>262</v>
      </c>
      <c r="C118" s="179"/>
      <c r="D118" s="180"/>
      <c r="E118" s="57">
        <f t="shared" ref="E118:M118" si="19">SUM(E103:E117)</f>
        <v>342</v>
      </c>
      <c r="F118" s="60">
        <f t="shared" si="19"/>
        <v>0</v>
      </c>
      <c r="G118" s="229">
        <f t="shared" si="19"/>
        <v>1202</v>
      </c>
      <c r="H118" s="239">
        <f t="shared" si="19"/>
        <v>1671</v>
      </c>
      <c r="I118" s="229">
        <f t="shared" si="19"/>
        <v>1202</v>
      </c>
      <c r="J118" s="239">
        <f t="shared" si="19"/>
        <v>1719</v>
      </c>
      <c r="K118" s="66">
        <f t="shared" si="19"/>
        <v>4934090.7576000001</v>
      </c>
      <c r="L118" s="26">
        <f t="shared" si="19"/>
        <v>4363789</v>
      </c>
      <c r="M118" s="26">
        <f t="shared" si="19"/>
        <v>9297879.757600002</v>
      </c>
    </row>
    <row r="119" spans="1:14" ht="15" customHeight="1">
      <c r="B119" s="59"/>
      <c r="C119" s="27"/>
      <c r="D119" s="52"/>
      <c r="E119" s="64"/>
      <c r="F119" s="64"/>
      <c r="G119" s="65"/>
      <c r="H119" s="64"/>
      <c r="I119" s="65"/>
      <c r="J119" s="64"/>
    </row>
    <row r="120" spans="1:14" ht="15.75" customHeight="1">
      <c r="B120" s="59"/>
      <c r="C120" s="27"/>
      <c r="D120" s="52"/>
      <c r="E120" s="64"/>
      <c r="F120" s="64"/>
      <c r="G120" s="65"/>
      <c r="H120" s="64"/>
      <c r="I120" s="65"/>
      <c r="J120" s="64"/>
      <c r="K120" s="61" t="s">
        <v>281</v>
      </c>
      <c r="L120" s="188">
        <f>L111*0.25</f>
        <v>0</v>
      </c>
    </row>
    <row r="121" spans="1:14" ht="15" customHeight="1">
      <c r="B121" s="59"/>
      <c r="C121" s="27"/>
      <c r="D121" s="52"/>
      <c r="E121" s="64"/>
      <c r="F121" s="64"/>
      <c r="G121" s="65"/>
      <c r="H121" s="64"/>
      <c r="I121" s="65"/>
      <c r="J121" s="64"/>
      <c r="K121" s="61" t="s">
        <v>282</v>
      </c>
      <c r="L121" s="160">
        <f>L118-L120</f>
        <v>4363789</v>
      </c>
      <c r="N121" s="241"/>
    </row>
    <row r="122" spans="1:14">
      <c r="A122" s="54" t="s">
        <v>263</v>
      </c>
      <c r="B122" s="71"/>
      <c r="C122" s="70"/>
      <c r="D122" s="54"/>
      <c r="E122" s="72"/>
      <c r="F122" s="54"/>
      <c r="G122" s="72"/>
      <c r="H122" s="31"/>
    </row>
    <row r="123" spans="1:14">
      <c r="A123" s="73" t="s">
        <v>264</v>
      </c>
      <c r="B123" s="73"/>
      <c r="C123" s="74"/>
      <c r="D123" s="73"/>
      <c r="E123" s="73"/>
      <c r="F123" s="73"/>
      <c r="G123" s="73"/>
      <c r="J123" s="61" t="s">
        <v>265</v>
      </c>
      <c r="K123" s="67">
        <f>(C103-D103)*(G103+I103)+(C104-D104)*(G104+I104)+(C105-D105)*(G105+I105)+(C106-D106)*(G106+I106)+(C107-D107)*(G107+I107)+(C112-D112)*E112+(C113-D113)*E113+(C114-D114)*E114</f>
        <v>3665593.4616000005</v>
      </c>
      <c r="L123" s="30">
        <f>D103*(G103+I103)+D104*(G104+I104)+D105*(G105+I105)+D106*(G106+I106)+D107*(G107+I107)+D108*(G108+I108)+D109*(G109+I109)+D110*(G110+I110)+D111*(G111+I111)+D112*E112+D113*E113+D117*(G117+I117)</f>
        <v>1290750</v>
      </c>
      <c r="M123" s="62">
        <f>SUM(K123:L123)</f>
        <v>4956343.4616</v>
      </c>
    </row>
    <row r="124" spans="1:14">
      <c r="A124" s="75" t="s">
        <v>266</v>
      </c>
      <c r="B124" s="75"/>
      <c r="C124" s="76"/>
      <c r="D124" s="75"/>
      <c r="E124" s="75"/>
      <c r="F124" s="75"/>
      <c r="G124" s="75"/>
      <c r="J124" s="61" t="s">
        <v>267</v>
      </c>
      <c r="K124" s="68">
        <f>(C103-D103)*(H103+J103)+(C104-D104)*(H104+J104)+(C105-D105)*(H105+J105)+(C106-D106)*(H106+J106)+(C107-D107)*(H107+J107)+(C112-D112)*F112+(C113-D113)*F113+(C114-D114)*F114</f>
        <v>1268497.2960000001</v>
      </c>
      <c r="L124" s="30">
        <f>D103*(H103+J103)+D104*(H104+J104)+D105*(H105+J105)+D106*(H106+J106)+D107*(H107+J107)+D108*(H108+J108)+D109*(H109+J109)+D110*(H110+J110)+D111*(H111+J111)+D112*F112+D113*F113+D115*F115+D116*F116+D117*(F117)</f>
        <v>3073039</v>
      </c>
      <c r="M124" s="62">
        <f>SUM(K124:L124)</f>
        <v>4341536.2960000001</v>
      </c>
    </row>
    <row r="126" spans="1:14">
      <c r="A126" s="1" t="s">
        <v>293</v>
      </c>
      <c r="C126" s="46" t="s">
        <v>219</v>
      </c>
      <c r="D126" s="77" t="s">
        <v>219</v>
      </c>
      <c r="E126" s="267" t="s">
        <v>234</v>
      </c>
      <c r="F126" s="268"/>
      <c r="G126" s="267" t="s">
        <v>235</v>
      </c>
      <c r="H126" s="268"/>
      <c r="I126" s="269" t="s">
        <v>236</v>
      </c>
      <c r="J126" s="270"/>
    </row>
    <row r="127" spans="1:14" s="23" customFormat="1" ht="45" customHeight="1">
      <c r="A127" s="271" t="s">
        <v>63</v>
      </c>
      <c r="B127" s="272"/>
      <c r="C127" s="20" t="s">
        <v>294</v>
      </c>
      <c r="D127" s="21" t="s">
        <v>238</v>
      </c>
      <c r="E127" s="55" t="s">
        <v>239</v>
      </c>
      <c r="F127" s="56" t="s">
        <v>240</v>
      </c>
      <c r="G127" s="55" t="s">
        <v>239</v>
      </c>
      <c r="H127" s="56" t="s">
        <v>240</v>
      </c>
      <c r="I127" s="55" t="s">
        <v>239</v>
      </c>
      <c r="J127" s="56" t="s">
        <v>240</v>
      </c>
      <c r="K127" s="22" t="s">
        <v>241</v>
      </c>
      <c r="L127" s="182" t="s">
        <v>270</v>
      </c>
      <c r="M127" s="182" t="s">
        <v>243</v>
      </c>
    </row>
    <row r="128" spans="1:14" ht="15" customHeight="1">
      <c r="A128" s="265" t="s">
        <v>271</v>
      </c>
      <c r="B128" s="266"/>
      <c r="C128" s="178">
        <v>2255.5598959999998</v>
      </c>
      <c r="D128" s="135">
        <v>200</v>
      </c>
      <c r="E128" s="228"/>
      <c r="F128" s="175"/>
      <c r="G128" s="228">
        <v>124</v>
      </c>
      <c r="H128" s="136">
        <v>44.88</v>
      </c>
      <c r="I128" s="228">
        <v>124</v>
      </c>
      <c r="J128" s="136">
        <v>46.92</v>
      </c>
      <c r="K128" s="24">
        <f t="shared" ref="K128:K142" si="20">(C128-D128)*(E128+F128+G128+H128+I128+J128)</f>
        <v>698479.25266079989</v>
      </c>
      <c r="L128" s="25">
        <f>(E128+F128+G128+H128+I128+J128)*D128</f>
        <v>67960</v>
      </c>
      <c r="M128" s="25">
        <f>SUM(K128:L128)</f>
        <v>766439.25266079989</v>
      </c>
      <c r="N128" s="12"/>
    </row>
    <row r="129" spans="1:13" ht="15" customHeight="1">
      <c r="A129" s="265" t="s">
        <v>272</v>
      </c>
      <c r="B129" s="266"/>
      <c r="C129" s="178">
        <v>2317.92472</v>
      </c>
      <c r="D129" s="135">
        <v>100</v>
      </c>
      <c r="E129" s="138"/>
      <c r="F129" s="176"/>
      <c r="G129" s="138">
        <v>204</v>
      </c>
      <c r="H129" s="137">
        <v>97.92</v>
      </c>
      <c r="I129" s="138">
        <v>204</v>
      </c>
      <c r="J129" s="137">
        <v>130.9</v>
      </c>
      <c r="K129" s="24">
        <f t="shared" si="20"/>
        <v>1412418.8201904001</v>
      </c>
      <c r="L129" s="25">
        <f t="shared" ref="L129:L142" si="21">(E129+F129+G129+H129+I129+J129)*D129</f>
        <v>63682.000000000007</v>
      </c>
      <c r="M129" s="25">
        <f t="shared" ref="M129:M142" si="22">SUM(K129:L129)</f>
        <v>1476100.8201904001</v>
      </c>
    </row>
    <row r="130" spans="1:13" ht="15" customHeight="1">
      <c r="A130" s="265" t="s">
        <v>273</v>
      </c>
      <c r="B130" s="266"/>
      <c r="C130" s="178">
        <v>1941.8120000000001</v>
      </c>
      <c r="D130" s="135">
        <v>350</v>
      </c>
      <c r="E130" s="138"/>
      <c r="F130" s="176"/>
      <c r="G130" s="138">
        <v>321</v>
      </c>
      <c r="H130" s="137">
        <v>71.400000000000006</v>
      </c>
      <c r="I130" s="138">
        <v>321</v>
      </c>
      <c r="J130" s="137">
        <v>66.3</v>
      </c>
      <c r="K130" s="24">
        <f t="shared" si="20"/>
        <v>1241135.8163999999</v>
      </c>
      <c r="L130" s="25">
        <f t="shared" si="21"/>
        <v>272895</v>
      </c>
      <c r="M130" s="25">
        <f t="shared" si="22"/>
        <v>1514030.8163999999</v>
      </c>
    </row>
    <row r="131" spans="1:13" ht="15" customHeight="1">
      <c r="A131" s="265" t="s">
        <v>274</v>
      </c>
      <c r="B131" s="266"/>
      <c r="C131" s="178">
        <v>1714.2684000000002</v>
      </c>
      <c r="D131" s="135">
        <v>600</v>
      </c>
      <c r="E131" s="138"/>
      <c r="F131" s="176"/>
      <c r="G131" s="138">
        <v>374</v>
      </c>
      <c r="H131" s="137">
        <v>112.7</v>
      </c>
      <c r="I131" s="138">
        <v>374</v>
      </c>
      <c r="J131" s="137">
        <v>113.72</v>
      </c>
      <c r="K131" s="24">
        <f t="shared" si="20"/>
        <v>1085765.4143280003</v>
      </c>
      <c r="L131" s="25">
        <f t="shared" si="21"/>
        <v>584652</v>
      </c>
      <c r="M131" s="25">
        <f t="shared" si="22"/>
        <v>1670417.4143280003</v>
      </c>
    </row>
    <row r="132" spans="1:13" ht="15" customHeight="1">
      <c r="A132" s="265" t="s">
        <v>275</v>
      </c>
      <c r="B132" s="266"/>
      <c r="C132" s="178">
        <v>1916.2160800000001</v>
      </c>
      <c r="D132" s="135">
        <v>1375</v>
      </c>
      <c r="E132" s="138"/>
      <c r="F132" s="176"/>
      <c r="G132" s="138">
        <v>179</v>
      </c>
      <c r="H132" s="137">
        <v>325.16000000000003</v>
      </c>
      <c r="I132" s="138">
        <v>179</v>
      </c>
      <c r="J132" s="137">
        <v>264.18</v>
      </c>
      <c r="K132" s="24">
        <f t="shared" si="20"/>
        <v>512715.64122720022</v>
      </c>
      <c r="L132" s="25">
        <f t="shared" si="21"/>
        <v>1302592.5000000002</v>
      </c>
      <c r="M132" s="25">
        <f t="shared" si="22"/>
        <v>1815308.1412272004</v>
      </c>
    </row>
    <row r="133" spans="1:13" ht="15" customHeight="1">
      <c r="A133" s="265" t="s">
        <v>290</v>
      </c>
      <c r="B133" s="266"/>
      <c r="C133" s="178">
        <v>1599</v>
      </c>
      <c r="D133" s="135">
        <v>1599</v>
      </c>
      <c r="E133" s="138"/>
      <c r="F133" s="176"/>
      <c r="G133" s="138">
        <v>0</v>
      </c>
      <c r="H133" s="137">
        <v>299.88</v>
      </c>
      <c r="I133" s="138">
        <v>0</v>
      </c>
      <c r="J133" s="137">
        <v>306</v>
      </c>
      <c r="K133" s="24">
        <f t="shared" si="20"/>
        <v>0</v>
      </c>
      <c r="L133" s="25">
        <f t="shared" si="21"/>
        <v>968802.12</v>
      </c>
      <c r="M133" s="25">
        <f t="shared" si="22"/>
        <v>968802.12</v>
      </c>
    </row>
    <row r="134" spans="1:13" ht="15" customHeight="1">
      <c r="A134" s="265" t="s">
        <v>291</v>
      </c>
      <c r="B134" s="266"/>
      <c r="C134" s="178">
        <v>1049</v>
      </c>
      <c r="D134" s="135">
        <v>1049</v>
      </c>
      <c r="E134" s="138"/>
      <c r="F134" s="176"/>
      <c r="G134" s="138">
        <v>0</v>
      </c>
      <c r="H134" s="137">
        <v>291.72000000000003</v>
      </c>
      <c r="I134" s="138">
        <v>0</v>
      </c>
      <c r="J134" s="137">
        <v>313.14</v>
      </c>
      <c r="K134" s="24">
        <f t="shared" si="20"/>
        <v>0</v>
      </c>
      <c r="L134" s="25">
        <f t="shared" si="21"/>
        <v>634498.14</v>
      </c>
      <c r="M134" s="25">
        <f t="shared" si="22"/>
        <v>634498.14</v>
      </c>
    </row>
    <row r="135" spans="1:13" ht="15" customHeight="1">
      <c r="A135" s="265" t="s">
        <v>292</v>
      </c>
      <c r="B135" s="266"/>
      <c r="C135" s="178">
        <v>549</v>
      </c>
      <c r="D135" s="135">
        <v>549</v>
      </c>
      <c r="E135" s="138"/>
      <c r="F135" s="176"/>
      <c r="G135" s="138">
        <v>0</v>
      </c>
      <c r="H135" s="137">
        <v>548.76</v>
      </c>
      <c r="I135" s="138">
        <v>0</v>
      </c>
      <c r="J135" s="137">
        <v>572.22</v>
      </c>
      <c r="K135" s="24">
        <f t="shared" si="20"/>
        <v>0</v>
      </c>
      <c r="L135" s="25">
        <f t="shared" si="21"/>
        <v>615418.02</v>
      </c>
      <c r="M135" s="25">
        <f t="shared" si="22"/>
        <v>615418.02</v>
      </c>
    </row>
    <row r="136" spans="1:13" ht="15" customHeight="1">
      <c r="A136" s="265" t="s">
        <v>279</v>
      </c>
      <c r="B136" s="266"/>
      <c r="C136" s="178">
        <v>100</v>
      </c>
      <c r="D136" s="135">
        <v>100</v>
      </c>
      <c r="E136" s="138">
        <v>0</v>
      </c>
      <c r="F136" s="137"/>
      <c r="G136" s="138">
        <v>0</v>
      </c>
      <c r="H136" s="137"/>
      <c r="I136" s="138">
        <v>0</v>
      </c>
      <c r="J136" s="137">
        <v>0</v>
      </c>
      <c r="K136" s="24">
        <f t="shared" si="20"/>
        <v>0</v>
      </c>
      <c r="L136" s="25">
        <f t="shared" si="21"/>
        <v>0</v>
      </c>
      <c r="M136" s="25">
        <f t="shared" si="22"/>
        <v>0</v>
      </c>
    </row>
    <row r="137" spans="1:13" ht="15" customHeight="1">
      <c r="A137" s="265" t="s">
        <v>271</v>
      </c>
      <c r="B137" s="266"/>
      <c r="C137" s="178">
        <v>903.92667200000017</v>
      </c>
      <c r="D137" s="135">
        <v>125</v>
      </c>
      <c r="E137" s="138">
        <v>179</v>
      </c>
      <c r="F137" s="137"/>
      <c r="G137" s="168"/>
      <c r="H137" s="176"/>
      <c r="I137" s="168"/>
      <c r="J137" s="176">
        <v>0</v>
      </c>
      <c r="K137" s="24">
        <f t="shared" si="20"/>
        <v>139427.87428800002</v>
      </c>
      <c r="L137" s="25">
        <f t="shared" si="21"/>
        <v>22375</v>
      </c>
      <c r="M137" s="25">
        <f t="shared" si="22"/>
        <v>161802.87428800002</v>
      </c>
    </row>
    <row r="138" spans="1:13" ht="15" customHeight="1">
      <c r="A138" s="265" t="s">
        <v>272</v>
      </c>
      <c r="B138" s="266"/>
      <c r="C138" s="178">
        <v>906.98707200000013</v>
      </c>
      <c r="D138" s="135">
        <v>75</v>
      </c>
      <c r="E138" s="138">
        <v>163</v>
      </c>
      <c r="F138" s="137"/>
      <c r="G138" s="168"/>
      <c r="H138" s="176"/>
      <c r="I138" s="168"/>
      <c r="J138" s="176"/>
      <c r="K138" s="24">
        <f t="shared" si="20"/>
        <v>135613.89273600001</v>
      </c>
      <c r="L138" s="25">
        <f t="shared" si="21"/>
        <v>12225</v>
      </c>
      <c r="M138" s="25">
        <f t="shared" si="22"/>
        <v>147838.89273600001</v>
      </c>
    </row>
    <row r="139" spans="1:13" ht="15" customHeight="1">
      <c r="A139" s="265" t="s">
        <v>280</v>
      </c>
      <c r="B139" s="266"/>
      <c r="C139" s="178">
        <v>695.09123999999997</v>
      </c>
      <c r="D139" s="135">
        <v>0</v>
      </c>
      <c r="E139" s="138">
        <v>0</v>
      </c>
      <c r="F139" s="137"/>
      <c r="G139" s="168"/>
      <c r="H139" s="176"/>
      <c r="I139" s="168"/>
      <c r="J139" s="176"/>
      <c r="K139" s="24">
        <f t="shared" si="20"/>
        <v>0</v>
      </c>
      <c r="L139" s="25">
        <f t="shared" si="21"/>
        <v>0</v>
      </c>
      <c r="M139" s="25">
        <f t="shared" si="22"/>
        <v>0</v>
      </c>
    </row>
    <row r="140" spans="1:13" ht="15" customHeight="1">
      <c r="A140" s="265" t="s">
        <v>259</v>
      </c>
      <c r="B140" s="266"/>
      <c r="C140" s="178">
        <v>775</v>
      </c>
      <c r="D140" s="135">
        <v>775</v>
      </c>
      <c r="E140" s="138">
        <v>0</v>
      </c>
      <c r="F140" s="137"/>
      <c r="G140" s="168"/>
      <c r="H140" s="176"/>
      <c r="I140" s="168"/>
      <c r="J140" s="176"/>
      <c r="K140" s="24">
        <f t="shared" si="20"/>
        <v>0</v>
      </c>
      <c r="L140" s="25">
        <f t="shared" si="21"/>
        <v>0</v>
      </c>
      <c r="M140" s="25">
        <f t="shared" si="22"/>
        <v>0</v>
      </c>
    </row>
    <row r="141" spans="1:13" ht="15" customHeight="1">
      <c r="A141" s="265" t="s">
        <v>260</v>
      </c>
      <c r="B141" s="266"/>
      <c r="C141" s="178">
        <v>350</v>
      </c>
      <c r="D141" s="135">
        <v>350</v>
      </c>
      <c r="E141" s="138">
        <v>0</v>
      </c>
      <c r="F141" s="137"/>
      <c r="G141" s="168"/>
      <c r="H141" s="176"/>
      <c r="I141" s="168"/>
      <c r="J141" s="176"/>
      <c r="K141" s="24">
        <f t="shared" si="20"/>
        <v>0</v>
      </c>
      <c r="L141" s="25">
        <f t="shared" si="21"/>
        <v>0</v>
      </c>
      <c r="M141" s="25">
        <f t="shared" si="22"/>
        <v>0</v>
      </c>
    </row>
    <row r="142" spans="1:13" ht="15" customHeight="1">
      <c r="A142" s="273" t="s">
        <v>261</v>
      </c>
      <c r="B142" s="274"/>
      <c r="C142" s="181">
        <v>250</v>
      </c>
      <c r="D142" s="164">
        <v>250</v>
      </c>
      <c r="E142" s="139">
        <f>E107</f>
        <v>0</v>
      </c>
      <c r="F142" s="137">
        <v>0</v>
      </c>
      <c r="G142" s="177">
        <v>0</v>
      </c>
      <c r="H142" s="176">
        <v>0</v>
      </c>
      <c r="I142" s="177">
        <v>0</v>
      </c>
      <c r="J142" s="176">
        <v>0</v>
      </c>
      <c r="K142" s="24">
        <f t="shared" si="20"/>
        <v>0</v>
      </c>
      <c r="L142" s="25">
        <f t="shared" si="21"/>
        <v>0</v>
      </c>
      <c r="M142" s="25">
        <f t="shared" si="22"/>
        <v>0</v>
      </c>
    </row>
    <row r="143" spans="1:13" ht="15" customHeight="1">
      <c r="B143" s="59" t="s">
        <v>262</v>
      </c>
      <c r="C143" s="179"/>
      <c r="D143" s="180"/>
      <c r="E143" s="57">
        <f t="shared" ref="E143:M143" si="23">SUM(E128:E142)</f>
        <v>342</v>
      </c>
      <c r="F143" s="60">
        <f t="shared" si="23"/>
        <v>0</v>
      </c>
      <c r="G143" s="229">
        <f t="shared" si="23"/>
        <v>1202</v>
      </c>
      <c r="H143" s="239">
        <f t="shared" si="23"/>
        <v>1792.42</v>
      </c>
      <c r="I143" s="229">
        <f t="shared" si="23"/>
        <v>1202</v>
      </c>
      <c r="J143" s="60">
        <f t="shared" si="23"/>
        <v>1813.3799999999999</v>
      </c>
      <c r="K143" s="66">
        <f t="shared" si="23"/>
        <v>5225556.7118304009</v>
      </c>
      <c r="L143" s="26">
        <f t="shared" si="23"/>
        <v>4545099.78</v>
      </c>
      <c r="M143" s="26">
        <f t="shared" si="23"/>
        <v>9770656.4918304011</v>
      </c>
    </row>
    <row r="144" spans="1:13" ht="13.5" customHeight="1">
      <c r="B144" s="59"/>
      <c r="C144" s="27"/>
      <c r="D144" s="52"/>
      <c r="E144" s="64"/>
      <c r="F144" s="64"/>
      <c r="G144" s="65"/>
      <c r="H144" s="64"/>
      <c r="I144" s="65"/>
      <c r="J144" s="64"/>
    </row>
    <row r="145" spans="1:14" ht="13.5" customHeight="1">
      <c r="B145" s="59"/>
      <c r="C145" s="27"/>
      <c r="D145" s="52"/>
      <c r="E145" s="64"/>
      <c r="F145" s="64"/>
      <c r="G145" s="65"/>
      <c r="H145" s="64"/>
      <c r="I145" s="65"/>
      <c r="J145" s="64"/>
      <c r="K145" s="61" t="s">
        <v>281</v>
      </c>
      <c r="L145" s="188">
        <f>L136*0.25</f>
        <v>0</v>
      </c>
    </row>
    <row r="146" spans="1:14" ht="15" customHeight="1">
      <c r="B146" s="59"/>
      <c r="C146" s="27"/>
      <c r="D146" s="52"/>
      <c r="E146" s="64"/>
      <c r="F146" s="64"/>
      <c r="G146" s="65"/>
      <c r="H146" s="64"/>
      <c r="I146" s="65"/>
      <c r="J146" s="64"/>
      <c r="K146" s="61" t="s">
        <v>282</v>
      </c>
      <c r="L146" s="160">
        <f>L143-L145</f>
        <v>4545099.78</v>
      </c>
      <c r="N146" s="241"/>
    </row>
    <row r="147" spans="1:14">
      <c r="A147" s="54" t="s">
        <v>263</v>
      </c>
      <c r="B147" s="71"/>
      <c r="C147" s="70"/>
      <c r="D147" s="54"/>
      <c r="E147" s="72"/>
      <c r="F147" s="54"/>
      <c r="G147" s="72"/>
      <c r="H147" s="31"/>
    </row>
    <row r="148" spans="1:14">
      <c r="A148" s="73" t="s">
        <v>264</v>
      </c>
      <c r="B148" s="73"/>
      <c r="C148" s="74"/>
      <c r="D148" s="73"/>
      <c r="E148" s="73"/>
      <c r="F148" s="73"/>
      <c r="G148" s="73"/>
      <c r="J148" s="61" t="s">
        <v>265</v>
      </c>
      <c r="K148" s="67">
        <f>(C128-D128)*(G128+I128)+(C129-D129)*(G129+I129)+(C130-D130)*(G130+I130)+(C131-D131)*(G131+I131)+(C132-D132)*(G132+I132)+(C137-D137)*E137+(C138-D138)*E138+(C139-D139)*E139</f>
        <v>3738905.3308319999</v>
      </c>
      <c r="L148" s="30">
        <f>D128*(G128+I128)+D129*(G129+I129)+D130*(G130+I130)+D131*(G131+I131)+D132*(G132+I132)+D133*(G133+I133)+D134*(G134+I134)+D135*(G135+I135)+D136*(G136+I136)+D137*E137+D138*E138+D142*(G142+I142)</f>
        <v>1290750</v>
      </c>
      <c r="M148" s="62">
        <f>SUM(K148:L148)</f>
        <v>5029655.3308319999</v>
      </c>
    </row>
    <row r="149" spans="1:14">
      <c r="A149" s="75" t="s">
        <v>266</v>
      </c>
      <c r="B149" s="75"/>
      <c r="C149" s="76"/>
      <c r="D149" s="75"/>
      <c r="E149" s="75"/>
      <c r="F149" s="75"/>
      <c r="G149" s="75"/>
      <c r="J149" s="61" t="s">
        <v>267</v>
      </c>
      <c r="K149" s="68">
        <f>(C128-D128)*(H128+J128)+(C129-D129)*(H129+J129)+(C130-D130)*(H130+J130)+(C131-D131)*(H131+J131)+(C132-D132)*(H132+J132)+(C137-D137)*F137+(C138-D138)*F138+(C139-D139)*F139</f>
        <v>1486651.3809984</v>
      </c>
      <c r="L149" s="30">
        <f>D128*(H128+J128)+D129*(H129+J129)+D130*(H130+J130)+D131*(H131+J131)+D132*(H132+J132)+D133*(H133+J133)+D134*(H134+J134)+D135*(H135+J135)+D136*(H136+J136)+D137*F137+D138*F138+D140*F140+D141*F141+D142*(F142)</f>
        <v>3254349.7800000003</v>
      </c>
      <c r="M149" s="62">
        <f>SUM(K149:L149)</f>
        <v>4741001.1609984003</v>
      </c>
    </row>
    <row r="151" spans="1:14">
      <c r="A151" s="1" t="s">
        <v>295</v>
      </c>
      <c r="C151" s="46" t="s">
        <v>219</v>
      </c>
      <c r="D151" s="77" t="s">
        <v>219</v>
      </c>
      <c r="E151" s="267" t="s">
        <v>234</v>
      </c>
      <c r="F151" s="268"/>
      <c r="G151" s="267" t="s">
        <v>235</v>
      </c>
      <c r="H151" s="268"/>
      <c r="I151" s="269" t="s">
        <v>236</v>
      </c>
      <c r="J151" s="270"/>
    </row>
    <row r="152" spans="1:14" s="23" customFormat="1" ht="45" customHeight="1">
      <c r="A152" s="271" t="s">
        <v>63</v>
      </c>
      <c r="B152" s="272"/>
      <c r="C152" s="20" t="s">
        <v>296</v>
      </c>
      <c r="D152" s="21" t="s">
        <v>238</v>
      </c>
      <c r="E152" s="55" t="s">
        <v>239</v>
      </c>
      <c r="F152" s="56" t="s">
        <v>240</v>
      </c>
      <c r="G152" s="55" t="s">
        <v>239</v>
      </c>
      <c r="H152" s="56" t="s">
        <v>240</v>
      </c>
      <c r="I152" s="55" t="s">
        <v>239</v>
      </c>
      <c r="J152" s="56" t="s">
        <v>240</v>
      </c>
      <c r="K152" s="22" t="s">
        <v>241</v>
      </c>
      <c r="L152" s="182" t="s">
        <v>270</v>
      </c>
      <c r="M152" s="182" t="s">
        <v>243</v>
      </c>
    </row>
    <row r="153" spans="1:14" ht="15" customHeight="1">
      <c r="A153" s="265" t="s">
        <v>271</v>
      </c>
      <c r="B153" s="266"/>
      <c r="C153" s="227">
        <f>+C128*1.02</f>
        <v>2300.6710939199997</v>
      </c>
      <c r="D153" s="135">
        <v>200</v>
      </c>
      <c r="E153" s="228"/>
      <c r="F153" s="175"/>
      <c r="G153" s="228">
        <v>124</v>
      </c>
      <c r="H153" s="136">
        <f>+H128*1.02</f>
        <v>45.777600000000007</v>
      </c>
      <c r="I153" s="228">
        <v>124</v>
      </c>
      <c r="J153" s="136">
        <f>+J128*1.02</f>
        <v>47.858400000000003</v>
      </c>
      <c r="K153" s="24">
        <f t="shared" ref="K153:K167" si="24">(C153-D153)*(E153+F153+G153+H153+I153+J153)</f>
        <v>717664.86984245304</v>
      </c>
      <c r="L153" s="25">
        <f>(E153+F153+G153+H153+I153+J153)*D153</f>
        <v>68327.200000000012</v>
      </c>
      <c r="M153" s="25">
        <f>SUM(K153:L153)</f>
        <v>785992.06984245311</v>
      </c>
      <c r="N153" s="12"/>
    </row>
    <row r="154" spans="1:14" ht="15" customHeight="1">
      <c r="A154" s="265" t="s">
        <v>272</v>
      </c>
      <c r="B154" s="266"/>
      <c r="C154" s="178">
        <f t="shared" ref="C154:C167" si="25">+C129*1.02</f>
        <v>2364.2832143999999</v>
      </c>
      <c r="D154" s="135">
        <v>100</v>
      </c>
      <c r="E154" s="138"/>
      <c r="F154" s="176"/>
      <c r="G154" s="138">
        <v>204</v>
      </c>
      <c r="H154" s="137">
        <f t="shared" ref="H154:H160" si="26">+H129*1.02</f>
        <v>99.878399999999999</v>
      </c>
      <c r="I154" s="138">
        <v>204</v>
      </c>
      <c r="J154" s="137">
        <f t="shared" ref="J154:J160" si="27">+J129*1.02</f>
        <v>133.518</v>
      </c>
      <c r="K154" s="24">
        <f t="shared" si="24"/>
        <v>1452303.102296588</v>
      </c>
      <c r="L154" s="25">
        <f t="shared" ref="L154:L167" si="28">(E154+F154+G154+H154+I154+J154)*D154</f>
        <v>64139.64</v>
      </c>
      <c r="M154" s="25">
        <f t="shared" ref="M154:M167" si="29">SUM(K154:L154)</f>
        <v>1516442.7422965879</v>
      </c>
    </row>
    <row r="155" spans="1:14" ht="15" customHeight="1">
      <c r="A155" s="265" t="s">
        <v>273</v>
      </c>
      <c r="B155" s="266"/>
      <c r="C155" s="178">
        <f t="shared" si="25"/>
        <v>1980.6482400000002</v>
      </c>
      <c r="D155" s="135">
        <v>350</v>
      </c>
      <c r="E155" s="138"/>
      <c r="F155" s="176"/>
      <c r="G155" s="138">
        <v>321</v>
      </c>
      <c r="H155" s="137">
        <f t="shared" si="26"/>
        <v>72.828000000000003</v>
      </c>
      <c r="I155" s="138">
        <v>321</v>
      </c>
      <c r="J155" s="137">
        <f t="shared" si="27"/>
        <v>67.626000000000005</v>
      </c>
      <c r="K155" s="24">
        <f t="shared" si="24"/>
        <v>1275907.2379809602</v>
      </c>
      <c r="L155" s="25">
        <f t="shared" si="28"/>
        <v>273858.89999999997</v>
      </c>
      <c r="M155" s="25">
        <f t="shared" si="29"/>
        <v>1549766.1379809601</v>
      </c>
    </row>
    <row r="156" spans="1:14" ht="15" customHeight="1">
      <c r="A156" s="265" t="s">
        <v>274</v>
      </c>
      <c r="B156" s="266"/>
      <c r="C156" s="178">
        <f t="shared" si="25"/>
        <v>1748.5537680000002</v>
      </c>
      <c r="D156" s="135">
        <v>600</v>
      </c>
      <c r="E156" s="138"/>
      <c r="F156" s="176"/>
      <c r="G156" s="138">
        <v>374</v>
      </c>
      <c r="H156" s="137">
        <f t="shared" si="26"/>
        <v>114.95400000000001</v>
      </c>
      <c r="I156" s="138">
        <v>374</v>
      </c>
      <c r="J156" s="137">
        <f t="shared" si="27"/>
        <v>115.9944</v>
      </c>
      <c r="K156" s="24">
        <f t="shared" si="24"/>
        <v>1124374.8734975713</v>
      </c>
      <c r="L156" s="25">
        <f t="shared" si="28"/>
        <v>587369.04</v>
      </c>
      <c r="M156" s="25">
        <f t="shared" si="29"/>
        <v>1711743.9134975714</v>
      </c>
    </row>
    <row r="157" spans="1:14" ht="15" customHeight="1">
      <c r="A157" s="265" t="s">
        <v>275</v>
      </c>
      <c r="B157" s="266"/>
      <c r="C157" s="178">
        <f t="shared" si="25"/>
        <v>1954.5404016000002</v>
      </c>
      <c r="D157" s="135">
        <v>1375</v>
      </c>
      <c r="E157" s="138"/>
      <c r="F157" s="176"/>
      <c r="G157" s="138">
        <v>179</v>
      </c>
      <c r="H157" s="137">
        <f t="shared" si="26"/>
        <v>331.66320000000002</v>
      </c>
      <c r="I157" s="138">
        <v>179</v>
      </c>
      <c r="J157" s="137">
        <f t="shared" si="27"/>
        <v>269.46359999999999</v>
      </c>
      <c r="K157" s="24">
        <f t="shared" si="24"/>
        <v>555852.73085732304</v>
      </c>
      <c r="L157" s="25">
        <f t="shared" si="28"/>
        <v>1318799.3500000001</v>
      </c>
      <c r="M157" s="25">
        <f t="shared" si="29"/>
        <v>1874652.080857323</v>
      </c>
    </row>
    <row r="158" spans="1:14" ht="15" customHeight="1">
      <c r="A158" s="265" t="s">
        <v>290</v>
      </c>
      <c r="B158" s="266"/>
      <c r="C158" s="178">
        <v>1599</v>
      </c>
      <c r="D158" s="135">
        <v>1599</v>
      </c>
      <c r="E158" s="138"/>
      <c r="F158" s="176"/>
      <c r="G158" s="138">
        <v>0</v>
      </c>
      <c r="H158" s="137">
        <f t="shared" si="26"/>
        <v>305.87759999999997</v>
      </c>
      <c r="I158" s="138">
        <v>0</v>
      </c>
      <c r="J158" s="137">
        <f t="shared" si="27"/>
        <v>312.12</v>
      </c>
      <c r="K158" s="24">
        <f t="shared" si="24"/>
        <v>0</v>
      </c>
      <c r="L158" s="25">
        <f t="shared" si="28"/>
        <v>988178.16239999991</v>
      </c>
      <c r="M158" s="25">
        <f t="shared" si="29"/>
        <v>988178.16239999991</v>
      </c>
    </row>
    <row r="159" spans="1:14" ht="15" customHeight="1">
      <c r="A159" s="265" t="s">
        <v>291</v>
      </c>
      <c r="B159" s="266"/>
      <c r="C159" s="178">
        <v>1049</v>
      </c>
      <c r="D159" s="135">
        <v>1049</v>
      </c>
      <c r="E159" s="138"/>
      <c r="F159" s="176"/>
      <c r="G159" s="138">
        <v>0</v>
      </c>
      <c r="H159" s="137">
        <f t="shared" si="26"/>
        <v>297.55440000000004</v>
      </c>
      <c r="I159" s="138">
        <v>0</v>
      </c>
      <c r="J159" s="137">
        <f t="shared" si="27"/>
        <v>319.40280000000001</v>
      </c>
      <c r="K159" s="24">
        <f t="shared" si="24"/>
        <v>0</v>
      </c>
      <c r="L159" s="25">
        <f t="shared" si="28"/>
        <v>647188.10280000011</v>
      </c>
      <c r="M159" s="25">
        <f t="shared" si="29"/>
        <v>647188.10280000011</v>
      </c>
    </row>
    <row r="160" spans="1:14" ht="15" customHeight="1">
      <c r="A160" s="265" t="s">
        <v>292</v>
      </c>
      <c r="B160" s="266"/>
      <c r="C160" s="178">
        <v>549</v>
      </c>
      <c r="D160" s="135">
        <v>549</v>
      </c>
      <c r="E160" s="138"/>
      <c r="F160" s="176"/>
      <c r="G160" s="138">
        <v>0</v>
      </c>
      <c r="H160" s="137">
        <f t="shared" si="26"/>
        <v>559.73519999999996</v>
      </c>
      <c r="I160" s="138">
        <v>0</v>
      </c>
      <c r="J160" s="137">
        <f t="shared" si="27"/>
        <v>583.6644</v>
      </c>
      <c r="K160" s="24">
        <f t="shared" si="24"/>
        <v>0</v>
      </c>
      <c r="L160" s="25">
        <f t="shared" si="28"/>
        <v>627726.38040000002</v>
      </c>
      <c r="M160" s="25">
        <f t="shared" si="29"/>
        <v>627726.38040000002</v>
      </c>
    </row>
    <row r="161" spans="1:14" ht="15" customHeight="1">
      <c r="A161" s="265" t="s">
        <v>279</v>
      </c>
      <c r="B161" s="266"/>
      <c r="C161" s="178">
        <f t="shared" si="25"/>
        <v>102</v>
      </c>
      <c r="D161" s="135">
        <v>100</v>
      </c>
      <c r="E161" s="138">
        <v>0</v>
      </c>
      <c r="F161" s="137"/>
      <c r="G161" s="138">
        <v>0</v>
      </c>
      <c r="H161" s="137">
        <v>0</v>
      </c>
      <c r="I161" s="138">
        <v>0</v>
      </c>
      <c r="J161" s="137"/>
      <c r="K161" s="24">
        <f t="shared" si="24"/>
        <v>0</v>
      </c>
      <c r="L161" s="25">
        <f t="shared" si="28"/>
        <v>0</v>
      </c>
      <c r="M161" s="25">
        <f t="shared" si="29"/>
        <v>0</v>
      </c>
    </row>
    <row r="162" spans="1:14" ht="15" customHeight="1">
      <c r="A162" s="265" t="s">
        <v>271</v>
      </c>
      <c r="B162" s="266"/>
      <c r="C162" s="178">
        <f t="shared" si="25"/>
        <v>922.00520544000017</v>
      </c>
      <c r="D162" s="135">
        <v>125</v>
      </c>
      <c r="E162" s="138">
        <v>179</v>
      </c>
      <c r="F162" s="137"/>
      <c r="G162" s="168"/>
      <c r="H162" s="176"/>
      <c r="I162" s="168"/>
      <c r="J162" s="176"/>
      <c r="K162" s="24">
        <f t="shared" si="24"/>
        <v>142663.93177376004</v>
      </c>
      <c r="L162" s="25">
        <f t="shared" si="28"/>
        <v>22375</v>
      </c>
      <c r="M162" s="25">
        <f t="shared" si="29"/>
        <v>165038.93177376004</v>
      </c>
    </row>
    <row r="163" spans="1:14" ht="15" customHeight="1">
      <c r="A163" s="265" t="s">
        <v>272</v>
      </c>
      <c r="B163" s="266"/>
      <c r="C163" s="178">
        <f t="shared" si="25"/>
        <v>925.12681344000009</v>
      </c>
      <c r="D163" s="135">
        <v>75</v>
      </c>
      <c r="E163" s="138">
        <v>163</v>
      </c>
      <c r="F163" s="137"/>
      <c r="G163" s="168"/>
      <c r="H163" s="176"/>
      <c r="I163" s="168"/>
      <c r="J163" s="176"/>
      <c r="K163" s="24">
        <f t="shared" si="24"/>
        <v>138570.67059072002</v>
      </c>
      <c r="L163" s="25">
        <f t="shared" si="28"/>
        <v>12225</v>
      </c>
      <c r="M163" s="25">
        <f t="shared" si="29"/>
        <v>150795.67059072002</v>
      </c>
    </row>
    <row r="164" spans="1:14" ht="15" customHeight="1">
      <c r="A164" s="265" t="s">
        <v>280</v>
      </c>
      <c r="B164" s="266"/>
      <c r="C164" s="178">
        <f t="shared" si="25"/>
        <v>708.99306479999996</v>
      </c>
      <c r="D164" s="135">
        <v>0</v>
      </c>
      <c r="E164" s="138">
        <v>0</v>
      </c>
      <c r="F164" s="137"/>
      <c r="G164" s="168"/>
      <c r="H164" s="176"/>
      <c r="I164" s="168"/>
      <c r="J164" s="176"/>
      <c r="K164" s="24">
        <f t="shared" si="24"/>
        <v>0</v>
      </c>
      <c r="L164" s="25">
        <f t="shared" si="28"/>
        <v>0</v>
      </c>
      <c r="M164" s="25">
        <f t="shared" si="29"/>
        <v>0</v>
      </c>
    </row>
    <row r="165" spans="1:14" ht="15" customHeight="1">
      <c r="A165" s="265" t="s">
        <v>259</v>
      </c>
      <c r="B165" s="266"/>
      <c r="C165" s="178">
        <f t="shared" si="25"/>
        <v>790.5</v>
      </c>
      <c r="D165" s="135">
        <v>775</v>
      </c>
      <c r="E165" s="138">
        <v>0</v>
      </c>
      <c r="F165" s="137"/>
      <c r="G165" s="168"/>
      <c r="H165" s="176"/>
      <c r="I165" s="168"/>
      <c r="J165" s="176"/>
      <c r="K165" s="24">
        <f t="shared" si="24"/>
        <v>0</v>
      </c>
      <c r="L165" s="25">
        <f t="shared" si="28"/>
        <v>0</v>
      </c>
      <c r="M165" s="25">
        <f t="shared" si="29"/>
        <v>0</v>
      </c>
    </row>
    <row r="166" spans="1:14" ht="15" customHeight="1">
      <c r="A166" s="265" t="s">
        <v>260</v>
      </c>
      <c r="B166" s="266"/>
      <c r="C166" s="178">
        <f t="shared" si="25"/>
        <v>357</v>
      </c>
      <c r="D166" s="135">
        <v>350</v>
      </c>
      <c r="E166" s="138">
        <v>0</v>
      </c>
      <c r="F166" s="137"/>
      <c r="G166" s="168"/>
      <c r="H166" s="176"/>
      <c r="I166" s="168"/>
      <c r="J166" s="176"/>
      <c r="K166" s="24">
        <f t="shared" si="24"/>
        <v>0</v>
      </c>
      <c r="L166" s="25">
        <f t="shared" si="28"/>
        <v>0</v>
      </c>
      <c r="M166" s="25">
        <f t="shared" si="29"/>
        <v>0</v>
      </c>
    </row>
    <row r="167" spans="1:14" ht="15" customHeight="1">
      <c r="A167" s="273" t="s">
        <v>261</v>
      </c>
      <c r="B167" s="274"/>
      <c r="C167" s="181">
        <f t="shared" si="25"/>
        <v>255</v>
      </c>
      <c r="D167" s="164">
        <v>250</v>
      </c>
      <c r="E167" s="139">
        <v>0</v>
      </c>
      <c r="F167" s="137">
        <v>0</v>
      </c>
      <c r="G167" s="177">
        <v>0</v>
      </c>
      <c r="H167" s="176">
        <v>0</v>
      </c>
      <c r="I167" s="177">
        <v>0</v>
      </c>
      <c r="J167" s="176">
        <v>0</v>
      </c>
      <c r="K167" s="24">
        <f t="shared" si="24"/>
        <v>0</v>
      </c>
      <c r="L167" s="25">
        <f t="shared" si="28"/>
        <v>0</v>
      </c>
      <c r="M167" s="25">
        <f t="shared" si="29"/>
        <v>0</v>
      </c>
    </row>
    <row r="168" spans="1:14" ht="15" customHeight="1">
      <c r="B168" s="59" t="s">
        <v>262</v>
      </c>
      <c r="C168" s="179"/>
      <c r="D168" s="180"/>
      <c r="E168" s="57">
        <f t="shared" ref="E168:M168" si="30">SUM(E153:E167)</f>
        <v>342</v>
      </c>
      <c r="F168" s="60">
        <f t="shared" si="30"/>
        <v>0</v>
      </c>
      <c r="G168" s="58">
        <f t="shared" si="30"/>
        <v>1202</v>
      </c>
      <c r="H168" s="60">
        <f t="shared" si="30"/>
        <v>1828.2683999999999</v>
      </c>
      <c r="I168" s="58">
        <f t="shared" si="30"/>
        <v>1202</v>
      </c>
      <c r="J168" s="60">
        <f t="shared" si="30"/>
        <v>1849.6475999999998</v>
      </c>
      <c r="K168" s="66">
        <f t="shared" si="30"/>
        <v>5407337.4168393752</v>
      </c>
      <c r="L168" s="26">
        <f t="shared" si="30"/>
        <v>4610186.7755999994</v>
      </c>
      <c r="M168" s="26">
        <f t="shared" si="30"/>
        <v>10017524.192439375</v>
      </c>
    </row>
    <row r="169" spans="1:14" ht="15" customHeight="1">
      <c r="B169" s="59"/>
      <c r="C169" s="27"/>
      <c r="D169" s="52"/>
      <c r="E169" s="64"/>
      <c r="F169" s="64"/>
      <c r="G169" s="65"/>
      <c r="H169" s="64"/>
      <c r="I169" s="65"/>
      <c r="J169" s="64"/>
    </row>
    <row r="170" spans="1:14" ht="14.25" customHeight="1">
      <c r="B170" s="59"/>
      <c r="C170" s="27"/>
      <c r="D170" s="52"/>
      <c r="E170" s="64"/>
      <c r="F170" s="64"/>
      <c r="G170" s="65"/>
      <c r="H170" s="64"/>
      <c r="I170" s="65"/>
      <c r="J170" s="64"/>
      <c r="K170" s="61" t="s">
        <v>281</v>
      </c>
      <c r="L170" s="188">
        <f>L161*0.25</f>
        <v>0</v>
      </c>
    </row>
    <row r="171" spans="1:14" ht="15" customHeight="1">
      <c r="B171" s="59"/>
      <c r="C171" s="27"/>
      <c r="D171" s="52"/>
      <c r="E171" s="64"/>
      <c r="F171" s="64"/>
      <c r="G171" s="65"/>
      <c r="H171" s="64"/>
      <c r="I171" s="65"/>
      <c r="J171" s="64"/>
      <c r="K171" s="61" t="s">
        <v>282</v>
      </c>
      <c r="L171" s="160">
        <f>L168-L170</f>
        <v>4610186.7755999994</v>
      </c>
      <c r="N171" s="241"/>
    </row>
    <row r="172" spans="1:14">
      <c r="A172" s="54" t="s">
        <v>263</v>
      </c>
      <c r="B172" s="71"/>
      <c r="C172" s="70"/>
      <c r="D172" s="54"/>
      <c r="E172" s="72"/>
      <c r="F172" s="54"/>
      <c r="G172" s="72"/>
      <c r="H172" s="31"/>
    </row>
    <row r="173" spans="1:14">
      <c r="A173" s="73" t="s">
        <v>264</v>
      </c>
      <c r="B173" s="73"/>
      <c r="C173" s="74"/>
      <c r="D173" s="73"/>
      <c r="E173" s="73"/>
      <c r="F173" s="73"/>
      <c r="G173" s="73"/>
      <c r="J173" s="61" t="s">
        <v>265</v>
      </c>
      <c r="K173" s="67">
        <f>(C153-D153)*(G153+I153)+(C154-D154)*(G154+I154)+(C155-D155)*(G155+I155)+(C156-D156)*(G156+I156)+(C157-D157)*(G157+I157)+(C162-D162)*E162+(C163-D163)*E163+(C164-D164)*E164</f>
        <v>3839498.4374486404</v>
      </c>
      <c r="L173" s="30">
        <f>D153*(G153+I153)+D154*(G154+I154)+D155*(G155+I155)+D156*(G156+I156)+D157*(G157+I157)+D158*(G158+I158)+D159*(G159+I159)+D160*(G160+I160)+D161*(G161+I161)+D162*E162+D163*E163+D167*(G167+I167)</f>
        <v>1290750</v>
      </c>
      <c r="M173" s="62">
        <f>SUM(K173:L173)</f>
        <v>5130248.4374486404</v>
      </c>
    </row>
    <row r="174" spans="1:14">
      <c r="A174" s="75" t="s">
        <v>266</v>
      </c>
      <c r="B174" s="75"/>
      <c r="C174" s="76"/>
      <c r="D174" s="75"/>
      <c r="E174" s="75"/>
      <c r="F174" s="75"/>
      <c r="G174" s="75"/>
      <c r="J174" s="61" t="s">
        <v>267</v>
      </c>
      <c r="K174" s="68">
        <f>(C153-D153)*(H153+J153)+(C154-D154)*(H154+J154)+(C155-D155)*(H155+J155)+(C156-D156)*(H156+J156)+(C157-D157)*(H157+J157)+(C162-D162)*F162+(C163-D163)*F163+(C164-D164)*F164</f>
        <v>1567838.9793907353</v>
      </c>
      <c r="L174" s="30">
        <f>D153*(H153+J153)+D154*(H154+J154)+D155*(H155+J155)+D156*(H156+J156)+D157*(H157+J157)+D158*(H158+J158)+D159*(H159+J159)+D160*(H160+J160)+D161*(H161+J161)+D162*F162+D163*F163+D165*F165+D166*F166+D167*(F167)</f>
        <v>3319436.7755999998</v>
      </c>
      <c r="M174" s="62">
        <f>SUM(K174:L174)</f>
        <v>4887275.7549907351</v>
      </c>
    </row>
    <row r="176" spans="1:14">
      <c r="A176" s="1" t="s">
        <v>297</v>
      </c>
      <c r="C176" s="46" t="s">
        <v>219</v>
      </c>
      <c r="D176" s="77" t="s">
        <v>219</v>
      </c>
      <c r="E176" s="267" t="s">
        <v>234</v>
      </c>
      <c r="F176" s="268"/>
      <c r="G176" s="267" t="s">
        <v>235</v>
      </c>
      <c r="H176" s="268"/>
      <c r="I176" s="269" t="s">
        <v>236</v>
      </c>
      <c r="J176" s="270"/>
    </row>
    <row r="177" spans="1:14" s="23" customFormat="1" ht="45" customHeight="1">
      <c r="A177" s="271" t="s">
        <v>63</v>
      </c>
      <c r="B177" s="272"/>
      <c r="C177" s="20" t="s">
        <v>298</v>
      </c>
      <c r="D177" s="21" t="s">
        <v>238</v>
      </c>
      <c r="E177" s="55" t="s">
        <v>239</v>
      </c>
      <c r="F177" s="56" t="s">
        <v>240</v>
      </c>
      <c r="G177" s="55" t="s">
        <v>239</v>
      </c>
      <c r="H177" s="56" t="s">
        <v>240</v>
      </c>
      <c r="I177" s="55" t="s">
        <v>239</v>
      </c>
      <c r="J177" s="56" t="s">
        <v>240</v>
      </c>
      <c r="K177" s="22" t="s">
        <v>241</v>
      </c>
      <c r="L177" s="182" t="s">
        <v>270</v>
      </c>
      <c r="M177" s="182" t="s">
        <v>243</v>
      </c>
    </row>
    <row r="178" spans="1:14" ht="15" customHeight="1">
      <c r="A178" s="265" t="s">
        <v>271</v>
      </c>
      <c r="B178" s="266"/>
      <c r="C178" s="227">
        <f>+C153*1.02</f>
        <v>2346.6845157983998</v>
      </c>
      <c r="D178" s="135">
        <v>200</v>
      </c>
      <c r="E178" s="228"/>
      <c r="F178" s="175"/>
      <c r="G178" s="228">
        <v>124</v>
      </c>
      <c r="H178" s="136">
        <f>+H153*1.02</f>
        <v>46.693152000000005</v>
      </c>
      <c r="I178" s="228">
        <v>124</v>
      </c>
      <c r="J178" s="136">
        <f>+J153*1.02</f>
        <v>48.815568000000006</v>
      </c>
      <c r="K178" s="24">
        <f t="shared" ref="K178:K192" si="31">(C178-D178)*(E178+F178+G178+H178+I178+J178)</f>
        <v>737404.85026572808</v>
      </c>
      <c r="L178" s="25">
        <f>(E178+F178+G178+H178+I178+J178)*D178</f>
        <v>68701.743999999992</v>
      </c>
      <c r="M178" s="25">
        <f>SUM(K178:L178)</f>
        <v>806106.59426572802</v>
      </c>
      <c r="N178" s="12"/>
    </row>
    <row r="179" spans="1:14" ht="15" customHeight="1">
      <c r="A179" s="265" t="s">
        <v>272</v>
      </c>
      <c r="B179" s="266"/>
      <c r="C179" s="178">
        <f t="shared" ref="C179:C192" si="32">+C154*1.02</f>
        <v>2411.568878688</v>
      </c>
      <c r="D179" s="135">
        <v>100</v>
      </c>
      <c r="E179" s="138"/>
      <c r="F179" s="176"/>
      <c r="G179" s="138">
        <v>204</v>
      </c>
      <c r="H179" s="137">
        <f t="shared" ref="H179:J186" si="33">+H154*1.02</f>
        <v>101.875968</v>
      </c>
      <c r="I179" s="138">
        <v>204</v>
      </c>
      <c r="J179" s="137">
        <f t="shared" si="33"/>
        <v>136.18836000000002</v>
      </c>
      <c r="K179" s="24">
        <f t="shared" si="31"/>
        <v>1493422.1942352764</v>
      </c>
      <c r="L179" s="25">
        <f t="shared" ref="L179:L192" si="34">(E179+F179+G179+H179+I179+J179)*D179</f>
        <v>64606.432800000002</v>
      </c>
      <c r="M179" s="25">
        <f t="shared" ref="M179:M192" si="35">SUM(K179:L179)</f>
        <v>1558028.6270352765</v>
      </c>
      <c r="N179" s="12"/>
    </row>
    <row r="180" spans="1:14" ht="15" customHeight="1">
      <c r="A180" s="265" t="s">
        <v>273</v>
      </c>
      <c r="B180" s="266"/>
      <c r="C180" s="178">
        <f t="shared" si="32"/>
        <v>2020.2612048000003</v>
      </c>
      <c r="D180" s="135">
        <v>350</v>
      </c>
      <c r="E180" s="138"/>
      <c r="F180" s="176"/>
      <c r="G180" s="138">
        <v>321</v>
      </c>
      <c r="H180" s="137">
        <f t="shared" si="33"/>
        <v>74.284559999999999</v>
      </c>
      <c r="I180" s="138">
        <v>321</v>
      </c>
      <c r="J180" s="137">
        <f t="shared" si="33"/>
        <v>68.978520000000003</v>
      </c>
      <c r="K180" s="24">
        <f t="shared" si="31"/>
        <v>1311594.4580857591</v>
      </c>
      <c r="L180" s="25">
        <f t="shared" si="34"/>
        <v>274842.07800000004</v>
      </c>
      <c r="M180" s="25">
        <f t="shared" si="35"/>
        <v>1586436.5360857591</v>
      </c>
      <c r="N180" s="12"/>
    </row>
    <row r="181" spans="1:14" ht="15" customHeight="1">
      <c r="A181" s="265" t="s">
        <v>274</v>
      </c>
      <c r="B181" s="266"/>
      <c r="C181" s="178">
        <f t="shared" si="32"/>
        <v>1783.5248433600002</v>
      </c>
      <c r="D181" s="135">
        <v>600</v>
      </c>
      <c r="E181" s="138"/>
      <c r="F181" s="176"/>
      <c r="G181" s="138">
        <v>374</v>
      </c>
      <c r="H181" s="137">
        <f t="shared" si="33"/>
        <v>117.25308000000001</v>
      </c>
      <c r="I181" s="138">
        <v>374</v>
      </c>
      <c r="J181" s="137">
        <f t="shared" si="33"/>
        <v>118.314288</v>
      </c>
      <c r="K181" s="24">
        <f t="shared" si="31"/>
        <v>1164076.4151462077</v>
      </c>
      <c r="L181" s="25">
        <f t="shared" si="34"/>
        <v>590140.42079999996</v>
      </c>
      <c r="M181" s="25">
        <f t="shared" si="35"/>
        <v>1754216.8359462076</v>
      </c>
      <c r="N181" s="12"/>
    </row>
    <row r="182" spans="1:14" ht="15" customHeight="1">
      <c r="A182" s="265" t="s">
        <v>275</v>
      </c>
      <c r="B182" s="266"/>
      <c r="C182" s="178">
        <f t="shared" si="32"/>
        <v>1993.6312096320003</v>
      </c>
      <c r="D182" s="135">
        <v>1375</v>
      </c>
      <c r="E182" s="138"/>
      <c r="F182" s="176"/>
      <c r="G182" s="138">
        <v>179</v>
      </c>
      <c r="H182" s="137">
        <f t="shared" si="33"/>
        <v>338.29646400000001</v>
      </c>
      <c r="I182" s="138">
        <v>179</v>
      </c>
      <c r="J182" s="137">
        <f t="shared" si="33"/>
        <v>274.85287199999999</v>
      </c>
      <c r="K182" s="24">
        <f t="shared" si="31"/>
        <v>600783.28846299381</v>
      </c>
      <c r="L182" s="25">
        <f t="shared" si="34"/>
        <v>1335330.3369999998</v>
      </c>
      <c r="M182" s="25">
        <f t="shared" si="35"/>
        <v>1936113.6254629935</v>
      </c>
      <c r="N182" s="12"/>
    </row>
    <row r="183" spans="1:14" ht="15" customHeight="1">
      <c r="A183" s="265" t="s">
        <v>290</v>
      </c>
      <c r="B183" s="266"/>
      <c r="C183" s="178">
        <v>1599</v>
      </c>
      <c r="D183" s="135">
        <v>1599</v>
      </c>
      <c r="E183" s="138"/>
      <c r="F183" s="176"/>
      <c r="G183" s="138">
        <v>0</v>
      </c>
      <c r="H183" s="137">
        <f t="shared" si="33"/>
        <v>311.99515199999996</v>
      </c>
      <c r="I183" s="138">
        <v>0</v>
      </c>
      <c r="J183" s="137">
        <f t="shared" si="33"/>
        <v>318.36240000000004</v>
      </c>
      <c r="K183" s="24">
        <f t="shared" si="31"/>
        <v>0</v>
      </c>
      <c r="L183" s="25">
        <f t="shared" si="34"/>
        <v>1007941.7256479999</v>
      </c>
      <c r="M183" s="25">
        <f t="shared" si="35"/>
        <v>1007941.7256479999</v>
      </c>
      <c r="N183" s="12"/>
    </row>
    <row r="184" spans="1:14" ht="15" customHeight="1">
      <c r="A184" s="265" t="s">
        <v>291</v>
      </c>
      <c r="B184" s="266"/>
      <c r="C184" s="178">
        <v>1049</v>
      </c>
      <c r="D184" s="135">
        <v>1049</v>
      </c>
      <c r="E184" s="138"/>
      <c r="F184" s="176"/>
      <c r="G184" s="138">
        <v>0</v>
      </c>
      <c r="H184" s="137">
        <f t="shared" si="33"/>
        <v>303.50548800000007</v>
      </c>
      <c r="I184" s="138">
        <v>0</v>
      </c>
      <c r="J184" s="137">
        <f t="shared" si="33"/>
        <v>325.79085600000002</v>
      </c>
      <c r="K184" s="24">
        <f t="shared" si="31"/>
        <v>0</v>
      </c>
      <c r="L184" s="25">
        <f t="shared" si="34"/>
        <v>660131.86485600006</v>
      </c>
      <c r="M184" s="25">
        <f t="shared" si="35"/>
        <v>660131.86485600006</v>
      </c>
      <c r="N184" s="12"/>
    </row>
    <row r="185" spans="1:14" ht="15" customHeight="1">
      <c r="A185" s="265" t="s">
        <v>292</v>
      </c>
      <c r="B185" s="266"/>
      <c r="C185" s="178">
        <v>549</v>
      </c>
      <c r="D185" s="135">
        <v>549</v>
      </c>
      <c r="E185" s="138"/>
      <c r="F185" s="176"/>
      <c r="G185" s="138">
        <v>0</v>
      </c>
      <c r="H185" s="137">
        <f t="shared" si="33"/>
        <v>570.92990399999996</v>
      </c>
      <c r="I185" s="138">
        <v>0</v>
      </c>
      <c r="J185" s="137">
        <f t="shared" si="33"/>
        <v>595.33768799999996</v>
      </c>
      <c r="K185" s="24">
        <f t="shared" si="31"/>
        <v>0</v>
      </c>
      <c r="L185" s="25">
        <f t="shared" si="34"/>
        <v>640280.908008</v>
      </c>
      <c r="M185" s="25">
        <f t="shared" si="35"/>
        <v>640280.908008</v>
      </c>
    </row>
    <row r="186" spans="1:14" ht="15" customHeight="1">
      <c r="A186" s="265" t="s">
        <v>279</v>
      </c>
      <c r="B186" s="266"/>
      <c r="C186" s="178">
        <f t="shared" si="32"/>
        <v>104.04</v>
      </c>
      <c r="D186" s="135">
        <v>100</v>
      </c>
      <c r="E186" s="138">
        <v>0</v>
      </c>
      <c r="F186" s="137"/>
      <c r="G186" s="138">
        <v>0</v>
      </c>
      <c r="H186" s="137">
        <f t="shared" si="33"/>
        <v>0</v>
      </c>
      <c r="I186" s="138">
        <v>0</v>
      </c>
      <c r="J186" s="137">
        <f t="shared" si="33"/>
        <v>0</v>
      </c>
      <c r="K186" s="24">
        <f t="shared" si="31"/>
        <v>0</v>
      </c>
      <c r="L186" s="25">
        <f t="shared" si="34"/>
        <v>0</v>
      </c>
      <c r="M186" s="25">
        <f t="shared" si="35"/>
        <v>0</v>
      </c>
    </row>
    <row r="187" spans="1:14" ht="15" customHeight="1">
      <c r="A187" s="265" t="s">
        <v>271</v>
      </c>
      <c r="B187" s="266"/>
      <c r="C187" s="178">
        <f t="shared" si="32"/>
        <v>940.4453095488002</v>
      </c>
      <c r="D187" s="135">
        <v>125</v>
      </c>
      <c r="E187" s="138">
        <v>179</v>
      </c>
      <c r="F187" s="137"/>
      <c r="G187" s="168"/>
      <c r="H187" s="176"/>
      <c r="I187" s="168"/>
      <c r="J187" s="176"/>
      <c r="K187" s="24">
        <f t="shared" si="31"/>
        <v>145964.71040923524</v>
      </c>
      <c r="L187" s="25">
        <f t="shared" si="34"/>
        <v>22375</v>
      </c>
      <c r="M187" s="25">
        <f t="shared" si="35"/>
        <v>168339.71040923524</v>
      </c>
    </row>
    <row r="188" spans="1:14" ht="15" customHeight="1">
      <c r="A188" s="265" t="s">
        <v>272</v>
      </c>
      <c r="B188" s="266"/>
      <c r="C188" s="178">
        <f t="shared" si="32"/>
        <v>943.62934970880008</v>
      </c>
      <c r="D188" s="135">
        <v>75</v>
      </c>
      <c r="E188" s="138">
        <v>163</v>
      </c>
      <c r="F188" s="137"/>
      <c r="G188" s="168"/>
      <c r="H188" s="176"/>
      <c r="I188" s="168"/>
      <c r="J188" s="176"/>
      <c r="K188" s="24">
        <f t="shared" si="31"/>
        <v>141586.58400253442</v>
      </c>
      <c r="L188" s="25">
        <f t="shared" si="34"/>
        <v>12225</v>
      </c>
      <c r="M188" s="25">
        <f t="shared" si="35"/>
        <v>153811.58400253442</v>
      </c>
    </row>
    <row r="189" spans="1:14" ht="15" customHeight="1">
      <c r="A189" s="265" t="s">
        <v>280</v>
      </c>
      <c r="B189" s="266"/>
      <c r="C189" s="178">
        <f t="shared" si="32"/>
        <v>723.17292609599997</v>
      </c>
      <c r="D189" s="135">
        <v>0</v>
      </c>
      <c r="E189" s="138">
        <v>0</v>
      </c>
      <c r="F189" s="137"/>
      <c r="G189" s="168"/>
      <c r="H189" s="176"/>
      <c r="I189" s="168"/>
      <c r="J189" s="176"/>
      <c r="K189" s="24">
        <f t="shared" si="31"/>
        <v>0</v>
      </c>
      <c r="L189" s="25">
        <f t="shared" si="34"/>
        <v>0</v>
      </c>
      <c r="M189" s="25">
        <f t="shared" si="35"/>
        <v>0</v>
      </c>
    </row>
    <row r="190" spans="1:14" ht="15" customHeight="1">
      <c r="A190" s="265" t="s">
        <v>259</v>
      </c>
      <c r="B190" s="266"/>
      <c r="C190" s="178">
        <f t="shared" si="32"/>
        <v>806.31000000000006</v>
      </c>
      <c r="D190" s="135">
        <v>775</v>
      </c>
      <c r="E190" s="138">
        <v>0</v>
      </c>
      <c r="F190" s="137"/>
      <c r="G190" s="168"/>
      <c r="H190" s="176"/>
      <c r="I190" s="168"/>
      <c r="J190" s="176"/>
      <c r="K190" s="24">
        <f t="shared" si="31"/>
        <v>0</v>
      </c>
      <c r="L190" s="25">
        <f t="shared" si="34"/>
        <v>0</v>
      </c>
      <c r="M190" s="25">
        <f t="shared" si="35"/>
        <v>0</v>
      </c>
    </row>
    <row r="191" spans="1:14" ht="15" customHeight="1">
      <c r="A191" s="265" t="s">
        <v>260</v>
      </c>
      <c r="B191" s="266"/>
      <c r="C191" s="178">
        <f t="shared" si="32"/>
        <v>364.14</v>
      </c>
      <c r="D191" s="135">
        <v>350</v>
      </c>
      <c r="E191" s="138">
        <v>0</v>
      </c>
      <c r="F191" s="137"/>
      <c r="G191" s="168"/>
      <c r="H191" s="176"/>
      <c r="I191" s="168"/>
      <c r="J191" s="176"/>
      <c r="K191" s="24">
        <f t="shared" si="31"/>
        <v>0</v>
      </c>
      <c r="L191" s="25">
        <f t="shared" si="34"/>
        <v>0</v>
      </c>
      <c r="M191" s="25">
        <f t="shared" si="35"/>
        <v>0</v>
      </c>
    </row>
    <row r="192" spans="1:14" ht="15" customHeight="1">
      <c r="A192" s="273" t="s">
        <v>261</v>
      </c>
      <c r="B192" s="274"/>
      <c r="C192" s="181">
        <f t="shared" si="32"/>
        <v>260.10000000000002</v>
      </c>
      <c r="D192" s="164">
        <v>250</v>
      </c>
      <c r="E192" s="139">
        <v>0</v>
      </c>
      <c r="F192" s="137">
        <v>0</v>
      </c>
      <c r="G192" s="177">
        <v>0</v>
      </c>
      <c r="H192" s="176">
        <v>0</v>
      </c>
      <c r="I192" s="177">
        <v>0</v>
      </c>
      <c r="J192" s="176">
        <v>0</v>
      </c>
      <c r="K192" s="24">
        <f t="shared" si="31"/>
        <v>0</v>
      </c>
      <c r="L192" s="25">
        <f t="shared" si="34"/>
        <v>0</v>
      </c>
      <c r="M192" s="25">
        <f t="shared" si="35"/>
        <v>0</v>
      </c>
    </row>
    <row r="193" spans="1:14" ht="15" customHeight="1">
      <c r="B193" s="59" t="s">
        <v>262</v>
      </c>
      <c r="C193" s="179"/>
      <c r="D193" s="180"/>
      <c r="E193" s="57">
        <f t="shared" ref="E193:M193" si="36">SUM(E178:E192)</f>
        <v>342</v>
      </c>
      <c r="F193" s="60">
        <f t="shared" si="36"/>
        <v>0</v>
      </c>
      <c r="G193" s="58">
        <f t="shared" si="36"/>
        <v>1202</v>
      </c>
      <c r="H193" s="60">
        <f t="shared" si="36"/>
        <v>1864.833768</v>
      </c>
      <c r="I193" s="58">
        <f t="shared" si="36"/>
        <v>1202</v>
      </c>
      <c r="J193" s="60">
        <f t="shared" si="36"/>
        <v>1886.6405519999998</v>
      </c>
      <c r="K193" s="66">
        <f t="shared" si="36"/>
        <v>5594832.5006077355</v>
      </c>
      <c r="L193" s="26">
        <f t="shared" si="36"/>
        <v>4676575.5111119999</v>
      </c>
      <c r="M193" s="26">
        <f t="shared" si="36"/>
        <v>10271408.011719733</v>
      </c>
    </row>
    <row r="194" spans="1:14" ht="15" customHeight="1">
      <c r="B194" s="59"/>
      <c r="C194" s="27"/>
      <c r="D194" s="52"/>
      <c r="E194" s="64"/>
      <c r="F194" s="64"/>
      <c r="G194" s="65"/>
      <c r="H194" s="64"/>
      <c r="I194" s="65"/>
      <c r="J194" s="64"/>
    </row>
    <row r="195" spans="1:14" ht="15.75" customHeight="1">
      <c r="B195" s="59"/>
      <c r="C195" s="27"/>
      <c r="D195" s="52"/>
      <c r="E195" s="64"/>
      <c r="F195" s="64"/>
      <c r="G195" s="65"/>
      <c r="H195" s="64"/>
      <c r="I195" s="65"/>
      <c r="J195" s="64"/>
      <c r="K195" s="61" t="s">
        <v>281</v>
      </c>
      <c r="L195" s="188">
        <f>L186*0.25</f>
        <v>0</v>
      </c>
    </row>
    <row r="196" spans="1:14" ht="15" customHeight="1">
      <c r="B196" s="59"/>
      <c r="C196" s="27"/>
      <c r="D196" s="52"/>
      <c r="E196" s="64"/>
      <c r="F196" s="64"/>
      <c r="G196" s="65"/>
      <c r="H196" s="64"/>
      <c r="I196" s="65"/>
      <c r="J196" s="64"/>
      <c r="K196" s="61" t="s">
        <v>282</v>
      </c>
      <c r="L196" s="160">
        <f>L193-L195</f>
        <v>4676575.5111119999</v>
      </c>
      <c r="N196" s="241"/>
    </row>
    <row r="197" spans="1:14">
      <c r="A197" s="54" t="s">
        <v>263</v>
      </c>
      <c r="B197" s="71"/>
      <c r="C197" s="70"/>
      <c r="D197" s="54"/>
      <c r="E197" s="72"/>
      <c r="F197" s="54"/>
      <c r="G197" s="72"/>
      <c r="H197" s="31"/>
    </row>
    <row r="198" spans="1:14">
      <c r="A198" s="73" t="s">
        <v>264</v>
      </c>
      <c r="B198" s="73"/>
      <c r="C198" s="74"/>
      <c r="D198" s="73"/>
      <c r="E198" s="73"/>
      <c r="F198" s="73"/>
      <c r="G198" s="73"/>
      <c r="J198" s="61" t="s">
        <v>265</v>
      </c>
      <c r="K198" s="67">
        <f>(C178-D178)*(G178+I178)+(C179-D179)*(G179+I179)+(C180-D180)*(G180+I180)+(C181-D181)*(G181+I181)+(C182-D182)*(G182+I182)+(C187-D187)*E187+(C188-D188)*E188+(C189-D189)*E189</f>
        <v>3942103.4061976136</v>
      </c>
      <c r="L198" s="30">
        <f>D178*(G178+I178)+D179*(G179+I179)+D180*(G180+I180)+D181*(G181+I181)+D182*(G182+I182)+D183*(G183+I183)+D184*(G184+I184)+D185*(G185+I185)+D186*(G186+I186)+D187*E187+D188*E188+D192*(G192+I192)</f>
        <v>1290750</v>
      </c>
      <c r="M198" s="62">
        <f>SUM(K198:L198)</f>
        <v>5232853.4061976131</v>
      </c>
    </row>
    <row r="199" spans="1:14">
      <c r="A199" s="75" t="s">
        <v>266</v>
      </c>
      <c r="B199" s="75"/>
      <c r="C199" s="76"/>
      <c r="D199" s="75"/>
      <c r="E199" s="75"/>
      <c r="F199" s="75"/>
      <c r="G199" s="75"/>
      <c r="J199" s="61" t="s">
        <v>267</v>
      </c>
      <c r="K199" s="68">
        <f>(C178-D178)*(H178+J178)+(C179-D179)*(H179+J179)+(C180-D180)*(H180+J180)+(C181-D181)*(H181+J181)+(C182-D182)*(H182+J182)+(C187-D187)*F187+(C188-D188)*F188+(C189-D189)*F189</f>
        <v>1652729.0944101212</v>
      </c>
      <c r="L199" s="30">
        <f>D178*(H178+J178)+D179*(H179+J179)+D180*(H180+J180)+D181*(H181+J181)+D182*(H182+J182)+D183*(H183+J183)+D184*(H184+J184)+D185*(H185+J185)+D186*(H186+J186)+D187*F187+D188*F188+D190*F190+D191*F191+D192*(F192)</f>
        <v>3385825.5111119999</v>
      </c>
      <c r="M199" s="62">
        <f>SUM(K199:L199)</f>
        <v>5038554.6055221213</v>
      </c>
    </row>
    <row r="201" spans="1:14">
      <c r="A201" s="1" t="s">
        <v>299</v>
      </c>
      <c r="C201" s="46" t="s">
        <v>219</v>
      </c>
      <c r="D201" s="77" t="s">
        <v>219</v>
      </c>
      <c r="E201" s="267" t="s">
        <v>234</v>
      </c>
      <c r="F201" s="268"/>
      <c r="G201" s="267" t="s">
        <v>235</v>
      </c>
      <c r="H201" s="268"/>
      <c r="I201" s="269" t="s">
        <v>236</v>
      </c>
      <c r="J201" s="270"/>
    </row>
    <row r="202" spans="1:14" s="23" customFormat="1" ht="45" customHeight="1">
      <c r="A202" s="271" t="s">
        <v>63</v>
      </c>
      <c r="B202" s="272"/>
      <c r="C202" s="20" t="s">
        <v>300</v>
      </c>
      <c r="D202" s="21" t="s">
        <v>238</v>
      </c>
      <c r="E202" s="55" t="s">
        <v>239</v>
      </c>
      <c r="F202" s="56" t="s">
        <v>240</v>
      </c>
      <c r="G202" s="55" t="s">
        <v>239</v>
      </c>
      <c r="H202" s="56" t="s">
        <v>240</v>
      </c>
      <c r="I202" s="55" t="s">
        <v>239</v>
      </c>
      <c r="J202" s="56" t="s">
        <v>240</v>
      </c>
      <c r="K202" s="22" t="s">
        <v>241</v>
      </c>
      <c r="L202" s="182" t="s">
        <v>270</v>
      </c>
      <c r="M202" s="182" t="s">
        <v>243</v>
      </c>
    </row>
    <row r="203" spans="1:14" ht="15" customHeight="1">
      <c r="A203" s="265" t="s">
        <v>271</v>
      </c>
      <c r="B203" s="266"/>
      <c r="C203" s="227">
        <f>+C178*1.02</f>
        <v>2393.6182061143677</v>
      </c>
      <c r="D203" s="135">
        <v>200</v>
      </c>
      <c r="E203" s="228"/>
      <c r="F203" s="175"/>
      <c r="G203" s="228">
        <v>124</v>
      </c>
      <c r="H203" s="136">
        <f>+H178*1.01</f>
        <v>47.160083520000008</v>
      </c>
      <c r="I203" s="228">
        <v>124</v>
      </c>
      <c r="J203" s="136">
        <f>+J178*1.01</f>
        <v>49.303723680000004</v>
      </c>
      <c r="K203" s="24">
        <f t="shared" ref="K203:K217" si="37">(C203-D203)*(E203+F203+G203+H203+I203+J203)</f>
        <v>755622.07882138947</v>
      </c>
      <c r="L203" s="25">
        <f>(E203+F203+G203+H203+I203+J203)*D203</f>
        <v>68892.761440000002</v>
      </c>
      <c r="M203" s="25">
        <f>SUM(K203:L203)</f>
        <v>824514.8402613895</v>
      </c>
      <c r="N203" s="12"/>
    </row>
    <row r="204" spans="1:14" ht="15" customHeight="1">
      <c r="A204" s="265" t="s">
        <v>272</v>
      </c>
      <c r="B204" s="266"/>
      <c r="C204" s="178">
        <f t="shared" ref="C204:C217" si="38">+C179*1.02</f>
        <v>2459.8002562617603</v>
      </c>
      <c r="D204" s="135">
        <v>100</v>
      </c>
      <c r="E204" s="138"/>
      <c r="F204" s="176"/>
      <c r="G204" s="138">
        <v>204</v>
      </c>
      <c r="H204" s="137">
        <f t="shared" ref="H204:H210" si="39">+H179*1.01</f>
        <v>102.89472768</v>
      </c>
      <c r="I204" s="138">
        <v>204</v>
      </c>
      <c r="J204" s="137">
        <f t="shared" ref="J204" si="40">+J179*1.01</f>
        <v>137.55024360000002</v>
      </c>
      <c r="K204" s="24">
        <f t="shared" si="37"/>
        <v>1530200.6093981939</v>
      </c>
      <c r="L204" s="25">
        <f t="shared" ref="L204:L217" si="41">(E204+F204+G204+H204+I204+J204)*D204</f>
        <v>64844.497128000003</v>
      </c>
      <c r="M204" s="25">
        <f t="shared" ref="M204:M217" si="42">SUM(K204:L204)</f>
        <v>1595045.1065261939</v>
      </c>
      <c r="N204" s="12"/>
    </row>
    <row r="205" spans="1:14" ht="15" customHeight="1">
      <c r="A205" s="265" t="s">
        <v>273</v>
      </c>
      <c r="B205" s="266"/>
      <c r="C205" s="178">
        <f t="shared" si="38"/>
        <v>2060.6664288960005</v>
      </c>
      <c r="D205" s="135">
        <v>350</v>
      </c>
      <c r="E205" s="138"/>
      <c r="F205" s="176"/>
      <c r="G205" s="138">
        <v>321</v>
      </c>
      <c r="H205" s="137">
        <f t="shared" si="39"/>
        <v>75.027405599999994</v>
      </c>
      <c r="I205" s="138">
        <v>321</v>
      </c>
      <c r="J205" s="137">
        <f t="shared" ref="J205" si="43">+J180*1.01</f>
        <v>69.668305200000006</v>
      </c>
      <c r="K205" s="24">
        <f t="shared" si="37"/>
        <v>1345773.9422220369</v>
      </c>
      <c r="L205" s="25">
        <f t="shared" si="41"/>
        <v>275343.49878000002</v>
      </c>
      <c r="M205" s="25">
        <f t="shared" si="42"/>
        <v>1621117.4410020369</v>
      </c>
      <c r="N205" s="12"/>
    </row>
    <row r="206" spans="1:14" ht="15" customHeight="1">
      <c r="A206" s="265" t="s">
        <v>274</v>
      </c>
      <c r="B206" s="266"/>
      <c r="C206" s="178">
        <f t="shared" si="38"/>
        <v>1819.1953402272002</v>
      </c>
      <c r="D206" s="135">
        <v>600</v>
      </c>
      <c r="E206" s="138"/>
      <c r="F206" s="176"/>
      <c r="G206" s="138">
        <v>374</v>
      </c>
      <c r="H206" s="137">
        <f t="shared" si="39"/>
        <v>118.42561080000002</v>
      </c>
      <c r="I206" s="138">
        <v>374</v>
      </c>
      <c r="J206" s="137">
        <f t="shared" ref="J206" si="44">+J181*1.01</f>
        <v>119.49743088000001</v>
      </c>
      <c r="K206" s="24">
        <f t="shared" si="37"/>
        <v>1202032.7782388837</v>
      </c>
      <c r="L206" s="25">
        <f t="shared" si="41"/>
        <v>591553.82500800001</v>
      </c>
      <c r="M206" s="25">
        <f t="shared" si="42"/>
        <v>1793586.6032468837</v>
      </c>
      <c r="N206" s="12"/>
    </row>
    <row r="207" spans="1:14" ht="15" customHeight="1">
      <c r="A207" s="265" t="s">
        <v>275</v>
      </c>
      <c r="B207" s="266"/>
      <c r="C207" s="178">
        <f t="shared" si="38"/>
        <v>2033.5038338246402</v>
      </c>
      <c r="D207" s="135">
        <v>1375</v>
      </c>
      <c r="E207" s="138"/>
      <c r="F207" s="176"/>
      <c r="G207" s="138">
        <v>179</v>
      </c>
      <c r="H207" s="137">
        <f t="shared" si="39"/>
        <v>341.67942864000003</v>
      </c>
      <c r="I207" s="138">
        <v>179</v>
      </c>
      <c r="J207" s="137">
        <f t="shared" ref="J207" si="45">+J182*1.01</f>
        <v>277.60140072000002</v>
      </c>
      <c r="K207" s="24">
        <f t="shared" si="37"/>
        <v>643543.17285688396</v>
      </c>
      <c r="L207" s="25">
        <f t="shared" si="41"/>
        <v>1343761.1403699999</v>
      </c>
      <c r="M207" s="25">
        <f t="shared" si="42"/>
        <v>1987304.3132268838</v>
      </c>
      <c r="N207" s="12"/>
    </row>
    <row r="208" spans="1:14" ht="15" customHeight="1">
      <c r="A208" s="265" t="s">
        <v>290</v>
      </c>
      <c r="B208" s="266"/>
      <c r="C208" s="178">
        <v>1599</v>
      </c>
      <c r="D208" s="135">
        <v>1599</v>
      </c>
      <c r="E208" s="138"/>
      <c r="F208" s="176"/>
      <c r="G208" s="138">
        <v>0</v>
      </c>
      <c r="H208" s="137">
        <f t="shared" si="39"/>
        <v>315.11510351999999</v>
      </c>
      <c r="I208" s="138">
        <v>0</v>
      </c>
      <c r="J208" s="137">
        <f t="shared" ref="J208" si="46">+J183*1.01</f>
        <v>321.54602400000005</v>
      </c>
      <c r="K208" s="24">
        <f t="shared" si="37"/>
        <v>0</v>
      </c>
      <c r="L208" s="25">
        <f t="shared" si="41"/>
        <v>1018021.1429044801</v>
      </c>
      <c r="M208" s="25">
        <f t="shared" si="42"/>
        <v>1018021.1429044801</v>
      </c>
      <c r="N208" s="12"/>
    </row>
    <row r="209" spans="1:14" ht="15" customHeight="1">
      <c r="A209" s="265" t="s">
        <v>291</v>
      </c>
      <c r="B209" s="266"/>
      <c r="C209" s="178">
        <v>1049</v>
      </c>
      <c r="D209" s="135">
        <v>1049</v>
      </c>
      <c r="E209" s="138"/>
      <c r="F209" s="176"/>
      <c r="G209" s="138">
        <v>0</v>
      </c>
      <c r="H209" s="137">
        <f t="shared" si="39"/>
        <v>306.54054288000009</v>
      </c>
      <c r="I209" s="138">
        <v>0</v>
      </c>
      <c r="J209" s="137">
        <f t="shared" ref="J209" si="47">+J184*1.01</f>
        <v>329.04876456</v>
      </c>
      <c r="K209" s="24">
        <f t="shared" si="37"/>
        <v>0</v>
      </c>
      <c r="L209" s="25">
        <f t="shared" si="41"/>
        <v>666733.18350456003</v>
      </c>
      <c r="M209" s="25">
        <f t="shared" si="42"/>
        <v>666733.18350456003</v>
      </c>
      <c r="N209" s="12"/>
    </row>
    <row r="210" spans="1:14" ht="15" customHeight="1">
      <c r="A210" s="265" t="s">
        <v>292</v>
      </c>
      <c r="B210" s="266"/>
      <c r="C210" s="178">
        <v>549</v>
      </c>
      <c r="D210" s="135">
        <v>549</v>
      </c>
      <c r="E210" s="138"/>
      <c r="F210" s="176"/>
      <c r="G210" s="138">
        <v>0</v>
      </c>
      <c r="H210" s="137">
        <f t="shared" si="39"/>
        <v>576.63920303999998</v>
      </c>
      <c r="I210" s="138">
        <v>0</v>
      </c>
      <c r="J210" s="137">
        <f t="shared" ref="J210" si="48">+J185*1.01</f>
        <v>601.29106487999991</v>
      </c>
      <c r="K210" s="24">
        <f t="shared" si="37"/>
        <v>0</v>
      </c>
      <c r="L210" s="25">
        <f t="shared" si="41"/>
        <v>646683.71708808001</v>
      </c>
      <c r="M210" s="25">
        <f t="shared" si="42"/>
        <v>646683.71708808001</v>
      </c>
    </row>
    <row r="211" spans="1:14" ht="15" customHeight="1">
      <c r="A211" s="265" t="s">
        <v>279</v>
      </c>
      <c r="B211" s="266"/>
      <c r="C211" s="178">
        <f t="shared" si="38"/>
        <v>106.1208</v>
      </c>
      <c r="D211" s="135">
        <v>100</v>
      </c>
      <c r="E211" s="138">
        <v>0</v>
      </c>
      <c r="F211" s="137"/>
      <c r="G211" s="138">
        <v>0</v>
      </c>
      <c r="H211" s="137"/>
      <c r="I211" s="138">
        <v>0</v>
      </c>
      <c r="J211" s="137"/>
      <c r="K211" s="24">
        <f t="shared" si="37"/>
        <v>0</v>
      </c>
      <c r="L211" s="25">
        <f t="shared" si="41"/>
        <v>0</v>
      </c>
      <c r="M211" s="25">
        <f t="shared" si="42"/>
        <v>0</v>
      </c>
    </row>
    <row r="212" spans="1:14" ht="15" customHeight="1">
      <c r="A212" s="265" t="s">
        <v>271</v>
      </c>
      <c r="B212" s="266"/>
      <c r="C212" s="178">
        <f t="shared" si="38"/>
        <v>959.25421573977621</v>
      </c>
      <c r="D212" s="135">
        <v>125</v>
      </c>
      <c r="E212" s="138">
        <v>179</v>
      </c>
      <c r="F212" s="137"/>
      <c r="G212" s="168"/>
      <c r="H212" s="176"/>
      <c r="I212" s="168"/>
      <c r="J212" s="176"/>
      <c r="K212" s="24">
        <f t="shared" si="37"/>
        <v>149331.50461741994</v>
      </c>
      <c r="L212" s="25">
        <f t="shared" si="41"/>
        <v>22375</v>
      </c>
      <c r="M212" s="25">
        <f t="shared" si="42"/>
        <v>171706.50461741994</v>
      </c>
    </row>
    <row r="213" spans="1:14" ht="15" customHeight="1">
      <c r="A213" s="265" t="s">
        <v>272</v>
      </c>
      <c r="B213" s="266"/>
      <c r="C213" s="178">
        <f t="shared" si="38"/>
        <v>962.50193670297608</v>
      </c>
      <c r="D213" s="135">
        <v>75</v>
      </c>
      <c r="E213" s="138">
        <v>163</v>
      </c>
      <c r="F213" s="137"/>
      <c r="G213" s="168"/>
      <c r="H213" s="176"/>
      <c r="I213" s="168"/>
      <c r="J213" s="176"/>
      <c r="K213" s="24">
        <f t="shared" si="37"/>
        <v>144662.81568258509</v>
      </c>
      <c r="L213" s="25">
        <f t="shared" si="41"/>
        <v>12225</v>
      </c>
      <c r="M213" s="25">
        <f t="shared" si="42"/>
        <v>156887.81568258509</v>
      </c>
    </row>
    <row r="214" spans="1:14" ht="15" customHeight="1">
      <c r="A214" s="265" t="s">
        <v>280</v>
      </c>
      <c r="B214" s="266"/>
      <c r="C214" s="178">
        <f t="shared" si="38"/>
        <v>737.63638461791993</v>
      </c>
      <c r="D214" s="135">
        <v>0</v>
      </c>
      <c r="E214" s="138">
        <v>0</v>
      </c>
      <c r="F214" s="137"/>
      <c r="G214" s="168"/>
      <c r="H214" s="176"/>
      <c r="I214" s="168"/>
      <c r="J214" s="176"/>
      <c r="K214" s="24">
        <f t="shared" si="37"/>
        <v>0</v>
      </c>
      <c r="L214" s="25">
        <f t="shared" si="41"/>
        <v>0</v>
      </c>
      <c r="M214" s="25">
        <f t="shared" si="42"/>
        <v>0</v>
      </c>
    </row>
    <row r="215" spans="1:14" ht="15" customHeight="1">
      <c r="A215" s="265" t="s">
        <v>259</v>
      </c>
      <c r="B215" s="266"/>
      <c r="C215" s="178">
        <f t="shared" si="38"/>
        <v>822.4362000000001</v>
      </c>
      <c r="D215" s="135">
        <v>775</v>
      </c>
      <c r="E215" s="138">
        <v>0</v>
      </c>
      <c r="F215" s="137"/>
      <c r="G215" s="168"/>
      <c r="H215" s="176"/>
      <c r="I215" s="168"/>
      <c r="J215" s="176"/>
      <c r="K215" s="24">
        <f t="shared" si="37"/>
        <v>0</v>
      </c>
      <c r="L215" s="25">
        <f t="shared" si="41"/>
        <v>0</v>
      </c>
      <c r="M215" s="25">
        <f t="shared" si="42"/>
        <v>0</v>
      </c>
    </row>
    <row r="216" spans="1:14" ht="15" customHeight="1">
      <c r="A216" s="265" t="s">
        <v>260</v>
      </c>
      <c r="B216" s="266"/>
      <c r="C216" s="178">
        <f t="shared" si="38"/>
        <v>371.4228</v>
      </c>
      <c r="D216" s="135">
        <v>350</v>
      </c>
      <c r="E216" s="138">
        <v>0</v>
      </c>
      <c r="F216" s="137"/>
      <c r="G216" s="168"/>
      <c r="H216" s="176"/>
      <c r="I216" s="168"/>
      <c r="J216" s="176"/>
      <c r="K216" s="24">
        <f t="shared" si="37"/>
        <v>0</v>
      </c>
      <c r="L216" s="25">
        <f t="shared" si="41"/>
        <v>0</v>
      </c>
      <c r="M216" s="25">
        <f t="shared" si="42"/>
        <v>0</v>
      </c>
    </row>
    <row r="217" spans="1:14" ht="15" customHeight="1">
      <c r="A217" s="273" t="s">
        <v>261</v>
      </c>
      <c r="B217" s="274"/>
      <c r="C217" s="181">
        <f t="shared" si="38"/>
        <v>265.30200000000002</v>
      </c>
      <c r="D217" s="164">
        <v>250</v>
      </c>
      <c r="E217" s="139">
        <v>0</v>
      </c>
      <c r="F217" s="137">
        <v>0</v>
      </c>
      <c r="G217" s="177">
        <v>0</v>
      </c>
      <c r="H217" s="176">
        <v>0</v>
      </c>
      <c r="I217" s="177">
        <v>0</v>
      </c>
      <c r="J217" s="176">
        <v>0</v>
      </c>
      <c r="K217" s="24">
        <f t="shared" si="37"/>
        <v>0</v>
      </c>
      <c r="L217" s="25">
        <f t="shared" si="41"/>
        <v>0</v>
      </c>
      <c r="M217" s="25">
        <f t="shared" si="42"/>
        <v>0</v>
      </c>
    </row>
    <row r="218" spans="1:14" ht="15" customHeight="1">
      <c r="B218" s="59" t="s">
        <v>262</v>
      </c>
      <c r="C218" s="179"/>
      <c r="D218" s="180"/>
      <c r="E218" s="57">
        <f t="shared" ref="E218:M218" si="49">SUM(E203:E217)</f>
        <v>342</v>
      </c>
      <c r="F218" s="60">
        <f t="shared" si="49"/>
        <v>0</v>
      </c>
      <c r="G218" s="58">
        <f t="shared" si="49"/>
        <v>1202</v>
      </c>
      <c r="H218" s="60">
        <f t="shared" si="49"/>
        <v>1883.4821056800004</v>
      </c>
      <c r="I218" s="58">
        <f t="shared" si="49"/>
        <v>1202</v>
      </c>
      <c r="J218" s="60">
        <f t="shared" si="49"/>
        <v>1905.50695752</v>
      </c>
      <c r="K218" s="66">
        <f t="shared" si="49"/>
        <v>5771166.9018373936</v>
      </c>
      <c r="L218" s="26">
        <f t="shared" si="49"/>
        <v>4710433.7662231196</v>
      </c>
      <c r="M218" s="26">
        <f t="shared" si="49"/>
        <v>10481600.668060513</v>
      </c>
    </row>
    <row r="219" spans="1:14" ht="15" customHeight="1">
      <c r="B219" s="59"/>
      <c r="C219" s="27"/>
      <c r="D219" s="52"/>
      <c r="E219" s="64"/>
      <c r="F219" s="64"/>
      <c r="G219" s="65"/>
      <c r="H219" s="64"/>
      <c r="I219" s="65"/>
      <c r="J219" s="64"/>
    </row>
    <row r="220" spans="1:14" ht="15" customHeight="1">
      <c r="B220" s="59"/>
      <c r="C220" s="27"/>
      <c r="D220" s="52"/>
      <c r="E220" s="64"/>
      <c r="F220" s="64"/>
      <c r="G220" s="65"/>
      <c r="H220" s="64"/>
      <c r="I220" s="65"/>
      <c r="J220" s="64"/>
      <c r="K220" s="61" t="s">
        <v>281</v>
      </c>
      <c r="L220" s="188">
        <f>L211*0.25</f>
        <v>0</v>
      </c>
    </row>
    <row r="221" spans="1:14" ht="15" customHeight="1">
      <c r="B221" s="59"/>
      <c r="C221" s="27"/>
      <c r="D221" s="52"/>
      <c r="E221" s="64"/>
      <c r="F221" s="64"/>
      <c r="G221" s="65"/>
      <c r="H221" s="64"/>
      <c r="I221" s="65"/>
      <c r="J221" s="64"/>
      <c r="K221" s="61" t="s">
        <v>282</v>
      </c>
      <c r="L221" s="160">
        <f>L218-L220</f>
        <v>4710433.7662231196</v>
      </c>
      <c r="N221" s="241"/>
    </row>
    <row r="222" spans="1:14">
      <c r="A222" s="54" t="s">
        <v>263</v>
      </c>
      <c r="B222" s="71"/>
      <c r="C222" s="70"/>
      <c r="D222" s="54"/>
      <c r="E222" s="72"/>
      <c r="F222" s="54"/>
      <c r="G222" s="72"/>
      <c r="H222" s="31"/>
    </row>
    <row r="223" spans="1:14">
      <c r="A223" s="73" t="s">
        <v>264</v>
      </c>
      <c r="B223" s="73"/>
      <c r="C223" s="74"/>
      <c r="D223" s="73"/>
      <c r="E223" s="73"/>
      <c r="F223" s="73"/>
      <c r="G223" s="73"/>
      <c r="J223" s="61" t="s">
        <v>265</v>
      </c>
      <c r="K223" s="67">
        <f>(C203-D203)*(G203+I203)+(C204-D204)*(G204+I204)+(C205-D205)*(G205+I205)+(C206-D206)*(G206+I206)+(C207-D207)*(G207+I207)+(C212-D212)*E212+(C213-D213)*E213+(C214-D214)*E214</f>
        <v>4046760.4743215656</v>
      </c>
      <c r="L223" s="30">
        <f>D203*(G203+I203)+D204*(G204+I204)+D205*(G205+I205)+D206*(G206+I206)+D207*(G207+I207)+D208*(G208+I208)+D209*(G209+I209)+D210*(G210+I210)+D211*(G211+I211)+D212*E212+D213*E213+D217*(G217+I217)</f>
        <v>1290750</v>
      </c>
      <c r="M223" s="62">
        <f>SUM(K223:L223)</f>
        <v>5337510.4743215656</v>
      </c>
    </row>
    <row r="224" spans="1:14">
      <c r="A224" s="75" t="s">
        <v>266</v>
      </c>
      <c r="B224" s="75"/>
      <c r="C224" s="76"/>
      <c r="D224" s="75"/>
      <c r="E224" s="75"/>
      <c r="F224" s="75"/>
      <c r="G224" s="75"/>
      <c r="J224" s="61" t="s">
        <v>267</v>
      </c>
      <c r="K224" s="68">
        <f>(C203-D203)*(H203+J203)+(C204-D204)*(H204+J204)+(C205-D205)*(H205+J205)+(C206-D206)*(H206+J206)+(C207-D207)*(H207+J207)+(C212-D212)*F212+(C213-D213)*F213+(C214-D214)*F214</f>
        <v>1724406.4275158271</v>
      </c>
      <c r="L224" s="30">
        <f>D203*(H203+J203)+D204*(H204+J204)+D205*(H205+J205)+D206*(H206+J206)+D207*(H207+J207)+D208*(H208+J208)+D209*(H209+J209)+D210*(H210+J210)+D211*(H211+J211)+D212*F212+D213*F213+D215*F215+D216*F216+D217*(F217)</f>
        <v>3419683.7662231205</v>
      </c>
      <c r="M224" s="62">
        <f>SUM(K224:L224)</f>
        <v>5144090.1937389476</v>
      </c>
    </row>
    <row r="226" spans="1:14">
      <c r="A226" s="1" t="s">
        <v>301</v>
      </c>
      <c r="C226" s="46" t="s">
        <v>219</v>
      </c>
      <c r="D226" s="77" t="s">
        <v>219</v>
      </c>
      <c r="E226" s="267" t="s">
        <v>234</v>
      </c>
      <c r="F226" s="268"/>
      <c r="G226" s="267" t="s">
        <v>235</v>
      </c>
      <c r="H226" s="268"/>
      <c r="I226" s="269" t="s">
        <v>236</v>
      </c>
      <c r="J226" s="270"/>
    </row>
    <row r="227" spans="1:14" s="23" customFormat="1" ht="45" customHeight="1">
      <c r="A227" s="271" t="s">
        <v>63</v>
      </c>
      <c r="B227" s="272"/>
      <c r="C227" s="20" t="s">
        <v>302</v>
      </c>
      <c r="D227" s="21" t="s">
        <v>238</v>
      </c>
      <c r="E227" s="55" t="s">
        <v>239</v>
      </c>
      <c r="F227" s="56" t="s">
        <v>240</v>
      </c>
      <c r="G227" s="55" t="s">
        <v>239</v>
      </c>
      <c r="H227" s="56" t="s">
        <v>240</v>
      </c>
      <c r="I227" s="55" t="s">
        <v>239</v>
      </c>
      <c r="J227" s="56" t="s">
        <v>240</v>
      </c>
      <c r="K227" s="22" t="s">
        <v>241</v>
      </c>
      <c r="L227" s="182" t="s">
        <v>270</v>
      </c>
      <c r="M227" s="182" t="s">
        <v>243</v>
      </c>
    </row>
    <row r="228" spans="1:14" ht="15" customHeight="1">
      <c r="A228" s="265" t="s">
        <v>271</v>
      </c>
      <c r="B228" s="266"/>
      <c r="C228" s="227">
        <f>+C203*1.02</f>
        <v>2441.490570236655</v>
      </c>
      <c r="D228" s="135">
        <v>200</v>
      </c>
      <c r="E228" s="228"/>
      <c r="F228" s="175"/>
      <c r="G228" s="228">
        <v>124</v>
      </c>
      <c r="H228" s="136">
        <f>+H203*1.01</f>
        <v>47.631684355200008</v>
      </c>
      <c r="I228" s="228">
        <v>124</v>
      </c>
      <c r="J228" s="136">
        <f>+J203*1.01</f>
        <v>49.796760916800004</v>
      </c>
      <c r="K228" s="24">
        <f t="shared" ref="K228:K242" si="50">(C228-D228)*(E228+F228+G228+H228+I228+J228)</f>
        <v>774274.6027686965</v>
      </c>
      <c r="L228" s="25">
        <f>(E228+F228+G228+H228+I228+J228)*D228</f>
        <v>69085.689054400005</v>
      </c>
      <c r="M228" s="25">
        <f>SUM(K228:L228)</f>
        <v>843360.29182309646</v>
      </c>
      <c r="N228" s="12"/>
    </row>
    <row r="229" spans="1:14" ht="15" customHeight="1">
      <c r="A229" s="265" t="s">
        <v>272</v>
      </c>
      <c r="B229" s="266"/>
      <c r="C229" s="178">
        <f t="shared" ref="C229:C242" si="51">+C204*1.02</f>
        <v>2508.9962613869957</v>
      </c>
      <c r="D229" s="135">
        <v>100</v>
      </c>
      <c r="E229" s="138"/>
      <c r="F229" s="176"/>
      <c r="G229" s="138">
        <v>204</v>
      </c>
      <c r="H229" s="137">
        <f t="shared" ref="H229:J236" si="52">+H204*1.01</f>
        <v>103.9236749568</v>
      </c>
      <c r="I229" s="138">
        <v>204</v>
      </c>
      <c r="J229" s="137">
        <f t="shared" si="52"/>
        <v>138.92574603600002</v>
      </c>
      <c r="K229" s="24">
        <f t="shared" si="50"/>
        <v>1567893.8218975463</v>
      </c>
      <c r="L229" s="25">
        <f t="shared" ref="L229:L242" si="53">(E229+F229+G229+H229+I229+J229)*D229</f>
        <v>65084.942099280008</v>
      </c>
      <c r="M229" s="25">
        <f t="shared" ref="M229:M242" si="54">SUM(K229:L229)</f>
        <v>1632978.7639968263</v>
      </c>
    </row>
    <row r="230" spans="1:14" ht="15" customHeight="1">
      <c r="A230" s="265" t="s">
        <v>273</v>
      </c>
      <c r="B230" s="266"/>
      <c r="C230" s="178">
        <f t="shared" si="51"/>
        <v>2101.8797574739206</v>
      </c>
      <c r="D230" s="135">
        <v>350</v>
      </c>
      <c r="E230" s="138"/>
      <c r="F230" s="176"/>
      <c r="G230" s="138">
        <v>321</v>
      </c>
      <c r="H230" s="137">
        <f t="shared" si="52"/>
        <v>75.777679655999989</v>
      </c>
      <c r="I230" s="138">
        <v>321</v>
      </c>
      <c r="J230" s="137">
        <f t="shared" si="52"/>
        <v>70.364988252000003</v>
      </c>
      <c r="K230" s="24">
        <f t="shared" si="50"/>
        <v>1380731.1859095155</v>
      </c>
      <c r="L230" s="25">
        <f t="shared" si="53"/>
        <v>275849.93376779999</v>
      </c>
      <c r="M230" s="25">
        <f t="shared" si="54"/>
        <v>1656581.1196773155</v>
      </c>
    </row>
    <row r="231" spans="1:14" ht="15" customHeight="1">
      <c r="A231" s="265" t="s">
        <v>274</v>
      </c>
      <c r="B231" s="266"/>
      <c r="C231" s="178">
        <f t="shared" si="51"/>
        <v>1855.5792470317442</v>
      </c>
      <c r="D231" s="135">
        <v>600</v>
      </c>
      <c r="E231" s="138"/>
      <c r="F231" s="176"/>
      <c r="G231" s="138">
        <v>374</v>
      </c>
      <c r="H231" s="137">
        <f t="shared" si="52"/>
        <v>119.60986690800001</v>
      </c>
      <c r="I231" s="138">
        <v>374</v>
      </c>
      <c r="J231" s="137">
        <f t="shared" si="52"/>
        <v>120.69240518880001</v>
      </c>
      <c r="K231" s="24">
        <f t="shared" si="50"/>
        <v>1240891.8226390621</v>
      </c>
      <c r="L231" s="25">
        <f t="shared" si="53"/>
        <v>592981.36325807997</v>
      </c>
      <c r="M231" s="25">
        <f t="shared" si="54"/>
        <v>1833873.1858971422</v>
      </c>
    </row>
    <row r="232" spans="1:14" ht="15" customHeight="1">
      <c r="A232" s="265" t="s">
        <v>275</v>
      </c>
      <c r="B232" s="266"/>
      <c r="C232" s="178">
        <f t="shared" si="51"/>
        <v>2074.1739105011329</v>
      </c>
      <c r="D232" s="135">
        <v>1375</v>
      </c>
      <c r="E232" s="138"/>
      <c r="F232" s="176"/>
      <c r="G232" s="138">
        <v>179</v>
      </c>
      <c r="H232" s="137">
        <f t="shared" si="52"/>
        <v>345.0962229264</v>
      </c>
      <c r="I232" s="138">
        <v>179</v>
      </c>
      <c r="J232" s="137">
        <f t="shared" si="52"/>
        <v>280.37741472720001</v>
      </c>
      <c r="K232" s="24">
        <f t="shared" si="50"/>
        <v>687619.10911304178</v>
      </c>
      <c r="L232" s="25">
        <f t="shared" si="53"/>
        <v>1352276.2517737001</v>
      </c>
      <c r="M232" s="25">
        <f t="shared" si="54"/>
        <v>2039895.3608867419</v>
      </c>
    </row>
    <row r="233" spans="1:14" ht="15" customHeight="1">
      <c r="A233" s="265" t="s">
        <v>290</v>
      </c>
      <c r="B233" s="266"/>
      <c r="C233" s="178">
        <v>1599</v>
      </c>
      <c r="D233" s="135">
        <v>1599</v>
      </c>
      <c r="E233" s="138"/>
      <c r="F233" s="176"/>
      <c r="G233" s="138">
        <v>0</v>
      </c>
      <c r="H233" s="137">
        <f t="shared" si="52"/>
        <v>318.26625455520002</v>
      </c>
      <c r="I233" s="138">
        <v>0</v>
      </c>
      <c r="J233" s="137">
        <f t="shared" si="52"/>
        <v>324.76148424000007</v>
      </c>
      <c r="K233" s="24">
        <f t="shared" si="50"/>
        <v>0</v>
      </c>
      <c r="L233" s="25">
        <f t="shared" si="53"/>
        <v>1028201.3543335249</v>
      </c>
      <c r="M233" s="25">
        <f t="shared" si="54"/>
        <v>1028201.3543335249</v>
      </c>
    </row>
    <row r="234" spans="1:14" ht="15" customHeight="1">
      <c r="A234" s="265" t="s">
        <v>291</v>
      </c>
      <c r="B234" s="266"/>
      <c r="C234" s="178">
        <v>1049</v>
      </c>
      <c r="D234" s="135">
        <v>1049</v>
      </c>
      <c r="E234" s="138"/>
      <c r="F234" s="176"/>
      <c r="G234" s="138">
        <v>0</v>
      </c>
      <c r="H234" s="137">
        <f t="shared" si="52"/>
        <v>309.60594830880007</v>
      </c>
      <c r="I234" s="138">
        <v>0</v>
      </c>
      <c r="J234" s="137">
        <f t="shared" si="52"/>
        <v>332.33925220560002</v>
      </c>
      <c r="K234" s="24">
        <f t="shared" si="50"/>
        <v>0</v>
      </c>
      <c r="L234" s="25">
        <f t="shared" si="53"/>
        <v>673400.51533960574</v>
      </c>
      <c r="M234" s="25">
        <f t="shared" si="54"/>
        <v>673400.51533960574</v>
      </c>
    </row>
    <row r="235" spans="1:14" ht="15" customHeight="1">
      <c r="A235" s="265" t="s">
        <v>292</v>
      </c>
      <c r="B235" s="266"/>
      <c r="C235" s="178">
        <v>549</v>
      </c>
      <c r="D235" s="135">
        <v>549</v>
      </c>
      <c r="E235" s="138"/>
      <c r="F235" s="176"/>
      <c r="G235" s="138">
        <v>0</v>
      </c>
      <c r="H235" s="137">
        <f t="shared" si="52"/>
        <v>582.40559507039995</v>
      </c>
      <c r="I235" s="138">
        <v>0</v>
      </c>
      <c r="J235" s="137">
        <f t="shared" si="52"/>
        <v>607.30397552879992</v>
      </c>
      <c r="K235" s="24">
        <f t="shared" si="50"/>
        <v>0</v>
      </c>
      <c r="L235" s="25">
        <f t="shared" si="53"/>
        <v>653150.55425896076</v>
      </c>
      <c r="M235" s="25">
        <f t="shared" si="54"/>
        <v>653150.55425896076</v>
      </c>
    </row>
    <row r="236" spans="1:14" ht="15" customHeight="1">
      <c r="A236" s="265" t="s">
        <v>279</v>
      </c>
      <c r="B236" s="266"/>
      <c r="C236" s="178">
        <f t="shared" si="51"/>
        <v>108.243216</v>
      </c>
      <c r="D236" s="135">
        <v>100</v>
      </c>
      <c r="E236" s="138">
        <v>0</v>
      </c>
      <c r="F236" s="137"/>
      <c r="G236" s="138">
        <v>0</v>
      </c>
      <c r="H236" s="137">
        <f t="shared" si="52"/>
        <v>0</v>
      </c>
      <c r="I236" s="138">
        <v>0</v>
      </c>
      <c r="J236" s="137">
        <f t="shared" si="52"/>
        <v>0</v>
      </c>
      <c r="K236" s="24">
        <f t="shared" si="50"/>
        <v>0</v>
      </c>
      <c r="L236" s="25">
        <f t="shared" si="53"/>
        <v>0</v>
      </c>
      <c r="M236" s="25">
        <f t="shared" si="54"/>
        <v>0</v>
      </c>
    </row>
    <row r="237" spans="1:14" ht="15" customHeight="1">
      <c r="A237" s="265" t="s">
        <v>271</v>
      </c>
      <c r="B237" s="266"/>
      <c r="C237" s="178">
        <f t="shared" si="51"/>
        <v>978.43930005457173</v>
      </c>
      <c r="D237" s="135">
        <v>125</v>
      </c>
      <c r="E237" s="138">
        <v>179</v>
      </c>
      <c r="F237" s="137"/>
      <c r="G237" s="168"/>
      <c r="H237" s="176"/>
      <c r="I237" s="168"/>
      <c r="J237" s="176"/>
      <c r="K237" s="24">
        <f t="shared" si="50"/>
        <v>152765.63470976835</v>
      </c>
      <c r="L237" s="25">
        <f t="shared" si="53"/>
        <v>22375</v>
      </c>
      <c r="M237" s="25">
        <f t="shared" si="54"/>
        <v>175140.63470976835</v>
      </c>
    </row>
    <row r="238" spans="1:14" ht="15" customHeight="1">
      <c r="A238" s="265" t="s">
        <v>272</v>
      </c>
      <c r="B238" s="266"/>
      <c r="C238" s="178">
        <f t="shared" si="51"/>
        <v>981.75197543703564</v>
      </c>
      <c r="D238" s="135">
        <v>75</v>
      </c>
      <c r="E238" s="138">
        <v>163</v>
      </c>
      <c r="F238" s="137"/>
      <c r="G238" s="168"/>
      <c r="H238" s="176"/>
      <c r="I238" s="168"/>
      <c r="J238" s="176"/>
      <c r="K238" s="24">
        <f t="shared" si="50"/>
        <v>147800.5719962368</v>
      </c>
      <c r="L238" s="25">
        <f t="shared" si="53"/>
        <v>12225</v>
      </c>
      <c r="M238" s="25">
        <f t="shared" si="54"/>
        <v>160025.5719962368</v>
      </c>
    </row>
    <row r="239" spans="1:14" ht="15" customHeight="1">
      <c r="A239" s="265" t="s">
        <v>280</v>
      </c>
      <c r="B239" s="266"/>
      <c r="C239" s="178">
        <f t="shared" si="51"/>
        <v>752.38911231027839</v>
      </c>
      <c r="D239" s="135">
        <v>0</v>
      </c>
      <c r="E239" s="138">
        <v>0</v>
      </c>
      <c r="F239" s="137"/>
      <c r="G239" s="168"/>
      <c r="H239" s="176"/>
      <c r="I239" s="168"/>
      <c r="J239" s="176"/>
      <c r="K239" s="24">
        <f t="shared" si="50"/>
        <v>0</v>
      </c>
      <c r="L239" s="25">
        <f t="shared" si="53"/>
        <v>0</v>
      </c>
      <c r="M239" s="25">
        <f t="shared" si="54"/>
        <v>0</v>
      </c>
    </row>
    <row r="240" spans="1:14" ht="15" customHeight="1">
      <c r="A240" s="265" t="s">
        <v>259</v>
      </c>
      <c r="B240" s="266"/>
      <c r="C240" s="178">
        <f t="shared" si="51"/>
        <v>838.88492400000007</v>
      </c>
      <c r="D240" s="135">
        <v>775</v>
      </c>
      <c r="E240" s="138">
        <v>0</v>
      </c>
      <c r="F240" s="137"/>
      <c r="G240" s="168"/>
      <c r="H240" s="176"/>
      <c r="I240" s="168"/>
      <c r="J240" s="176"/>
      <c r="K240" s="24">
        <f t="shared" si="50"/>
        <v>0</v>
      </c>
      <c r="L240" s="25">
        <f t="shared" si="53"/>
        <v>0</v>
      </c>
      <c r="M240" s="25">
        <f t="shared" si="54"/>
        <v>0</v>
      </c>
    </row>
    <row r="241" spans="1:14" ht="15" customHeight="1">
      <c r="A241" s="265" t="s">
        <v>260</v>
      </c>
      <c r="B241" s="266"/>
      <c r="C241" s="178">
        <f t="shared" si="51"/>
        <v>378.85125599999998</v>
      </c>
      <c r="D241" s="135">
        <v>350</v>
      </c>
      <c r="E241" s="138">
        <v>0</v>
      </c>
      <c r="F241" s="137"/>
      <c r="G241" s="168"/>
      <c r="H241" s="176"/>
      <c r="I241" s="168"/>
      <c r="J241" s="176"/>
      <c r="K241" s="24">
        <f t="shared" si="50"/>
        <v>0</v>
      </c>
      <c r="L241" s="25">
        <f t="shared" si="53"/>
        <v>0</v>
      </c>
      <c r="M241" s="25">
        <f t="shared" si="54"/>
        <v>0</v>
      </c>
    </row>
    <row r="242" spans="1:14" ht="15" customHeight="1">
      <c r="A242" s="273" t="s">
        <v>261</v>
      </c>
      <c r="B242" s="274"/>
      <c r="C242" s="181">
        <f t="shared" si="51"/>
        <v>270.60804000000002</v>
      </c>
      <c r="D242" s="164">
        <v>250</v>
      </c>
      <c r="E242" s="139">
        <v>0</v>
      </c>
      <c r="F242" s="137">
        <v>0</v>
      </c>
      <c r="G242" s="177">
        <v>0</v>
      </c>
      <c r="H242" s="176">
        <v>0</v>
      </c>
      <c r="I242" s="177">
        <v>0</v>
      </c>
      <c r="J242" s="176">
        <v>0</v>
      </c>
      <c r="K242" s="24">
        <f t="shared" si="50"/>
        <v>0</v>
      </c>
      <c r="L242" s="25">
        <f t="shared" si="53"/>
        <v>0</v>
      </c>
      <c r="M242" s="25">
        <f t="shared" si="54"/>
        <v>0</v>
      </c>
    </row>
    <row r="243" spans="1:14" ht="15" customHeight="1">
      <c r="B243" s="59" t="s">
        <v>262</v>
      </c>
      <c r="C243" s="179"/>
      <c r="D243" s="180"/>
      <c r="E243" s="57">
        <f t="shared" ref="E243:M243" si="55">SUM(E228:E242)</f>
        <v>342</v>
      </c>
      <c r="F243" s="60">
        <f t="shared" si="55"/>
        <v>0</v>
      </c>
      <c r="G243" s="58">
        <f t="shared" si="55"/>
        <v>1202</v>
      </c>
      <c r="H243" s="60">
        <f t="shared" si="55"/>
        <v>1902.3169267368003</v>
      </c>
      <c r="I243" s="58">
        <f t="shared" si="55"/>
        <v>1202</v>
      </c>
      <c r="J243" s="60">
        <f t="shared" si="55"/>
        <v>1924.5620270951999</v>
      </c>
      <c r="K243" s="66">
        <f t="shared" si="55"/>
        <v>5951976.7490338674</v>
      </c>
      <c r="L243" s="26">
        <f t="shared" si="55"/>
        <v>4744630.6038853526</v>
      </c>
      <c r="M243" s="26">
        <f t="shared" si="55"/>
        <v>10696607.352919219</v>
      </c>
    </row>
    <row r="244" spans="1:14" ht="15.75" customHeight="1">
      <c r="B244" s="59"/>
      <c r="C244" s="27"/>
      <c r="D244" s="52"/>
      <c r="E244" s="64"/>
      <c r="F244" s="64"/>
      <c r="G244" s="65"/>
      <c r="H244" s="64"/>
      <c r="I244" s="65"/>
      <c r="J244" s="64"/>
    </row>
    <row r="245" spans="1:14" ht="15.75" customHeight="1">
      <c r="B245" s="59"/>
      <c r="C245" s="27"/>
      <c r="D245" s="52"/>
      <c r="E245" s="64"/>
      <c r="F245" s="64"/>
      <c r="G245" s="65"/>
      <c r="H245" s="64"/>
      <c r="I245" s="65"/>
      <c r="J245" s="64"/>
      <c r="K245" s="61" t="s">
        <v>281</v>
      </c>
      <c r="L245" s="188">
        <f>L236*0.25</f>
        <v>0</v>
      </c>
    </row>
    <row r="246" spans="1:14" ht="15" customHeight="1">
      <c r="B246" s="59"/>
      <c r="C246" s="27"/>
      <c r="D246" s="52"/>
      <c r="E246" s="64"/>
      <c r="F246" s="64"/>
      <c r="G246" s="65"/>
      <c r="H246" s="64"/>
      <c r="I246" s="65"/>
      <c r="J246" s="64"/>
      <c r="K246" s="61" t="s">
        <v>282</v>
      </c>
      <c r="L246" s="160">
        <f>L243-L245</f>
        <v>4744630.6038853526</v>
      </c>
      <c r="N246" s="241"/>
    </row>
    <row r="247" spans="1:14">
      <c r="A247" s="54" t="s">
        <v>263</v>
      </c>
      <c r="B247" s="71"/>
      <c r="C247" s="70"/>
      <c r="D247" s="54"/>
      <c r="E247" s="72"/>
      <c r="F247" s="54"/>
      <c r="G247" s="72"/>
      <c r="H247" s="31"/>
    </row>
    <row r="248" spans="1:14">
      <c r="A248" s="73" t="s">
        <v>264</v>
      </c>
      <c r="B248" s="73"/>
      <c r="C248" s="74"/>
      <c r="D248" s="73"/>
      <c r="E248" s="73"/>
      <c r="F248" s="73"/>
      <c r="G248" s="73"/>
      <c r="J248" s="61" t="s">
        <v>265</v>
      </c>
      <c r="K248" s="67">
        <f>(C228-D228)*(G228+I228)+(C229-D229)*(G229+I229)+(C230-D230)*(G230+I230)+(C231-D231)*(G231+I231)+(C232-D232)*(G232+I232)+(C237-D237)*E237+(C238-D238)*E238+(C239-D239)*E239</f>
        <v>4153510.6838079975</v>
      </c>
      <c r="L248" s="30">
        <f>D228*(G228+I228)+D229*(G229+I229)+D230*(G230+I230)+D231*(G231+I231)+D232*(G232+I232)+D233*(G233+I233)+D234*(G234+I234)+D235*(G235+I235)+D236*(G236+I236)+D237*E237+D238*E238+D242*(G242+I242)</f>
        <v>1290750</v>
      </c>
      <c r="M248" s="62">
        <f>SUM(K248:L248)</f>
        <v>5444260.683807997</v>
      </c>
    </row>
    <row r="249" spans="1:14">
      <c r="A249" s="75" t="s">
        <v>266</v>
      </c>
      <c r="B249" s="75"/>
      <c r="C249" s="76"/>
      <c r="D249" s="75"/>
      <c r="E249" s="75"/>
      <c r="F249" s="75"/>
      <c r="G249" s="75"/>
      <c r="J249" s="61" t="s">
        <v>267</v>
      </c>
      <c r="K249" s="68">
        <f>(C228-D228)*(H228+J228)+(C229-D229)*(H229+J229)+(C230-D230)*(H230+J230)+(C231-D231)*(H231+J231)+(C232-D232)*(H232+J232)+(C237-D237)*F237+(C238-D238)*F238+(C239-D239)*F239</f>
        <v>1798466.0652258703</v>
      </c>
      <c r="L249" s="30">
        <f>D228*(H228+J228)+D229*(H229+J229)+D230*(H230+J230)+D231*(H231+J231)+D232*(H232+J232)+D233*(H233+J233)+D234*(H234+J234)+D235*(H235+J235)+D236*(H236+J236)+D237*F237+D238*F238+D240*F240+D241*F241+D242*(F242)</f>
        <v>3453880.6038853512</v>
      </c>
      <c r="M249" s="62">
        <f>SUM(K249:L249)</f>
        <v>5252346.669111222</v>
      </c>
    </row>
    <row r="251" spans="1:14">
      <c r="A251" s="1" t="s">
        <v>303</v>
      </c>
      <c r="C251" s="46" t="s">
        <v>219</v>
      </c>
      <c r="D251" s="77" t="s">
        <v>219</v>
      </c>
      <c r="E251" s="267" t="s">
        <v>234</v>
      </c>
      <c r="F251" s="268"/>
      <c r="G251" s="267" t="s">
        <v>235</v>
      </c>
      <c r="H251" s="268"/>
      <c r="I251" s="269" t="s">
        <v>236</v>
      </c>
      <c r="J251" s="270"/>
    </row>
    <row r="252" spans="1:14" s="23" customFormat="1" ht="45" customHeight="1">
      <c r="A252" s="271" t="s">
        <v>63</v>
      </c>
      <c r="B252" s="272"/>
      <c r="C252" s="20" t="s">
        <v>304</v>
      </c>
      <c r="D252" s="21" t="s">
        <v>238</v>
      </c>
      <c r="E252" s="55" t="s">
        <v>239</v>
      </c>
      <c r="F252" s="56" t="s">
        <v>240</v>
      </c>
      <c r="G252" s="55" t="s">
        <v>239</v>
      </c>
      <c r="H252" s="56" t="s">
        <v>240</v>
      </c>
      <c r="I252" s="55" t="s">
        <v>239</v>
      </c>
      <c r="J252" s="56" t="s">
        <v>240</v>
      </c>
      <c r="K252" s="22" t="s">
        <v>241</v>
      </c>
      <c r="L252" s="182" t="s">
        <v>270</v>
      </c>
      <c r="M252" s="182" t="s">
        <v>243</v>
      </c>
    </row>
    <row r="253" spans="1:14" ht="15" customHeight="1">
      <c r="A253" s="265" t="s">
        <v>271</v>
      </c>
      <c r="B253" s="266"/>
      <c r="C253" s="227">
        <f>+C228*1.02</f>
        <v>2490.3203816413879</v>
      </c>
      <c r="D253" s="135">
        <v>200</v>
      </c>
      <c r="E253" s="228"/>
      <c r="F253" s="175"/>
      <c r="G253" s="228">
        <v>124</v>
      </c>
      <c r="H253" s="136">
        <f>+H228*1.01</f>
        <v>48.108001198752007</v>
      </c>
      <c r="I253" s="228">
        <v>124</v>
      </c>
      <c r="J253" s="136">
        <f>+J228*1.01</f>
        <v>50.294728525968004</v>
      </c>
      <c r="K253" s="24">
        <f t="shared" ref="K253:K267" si="56">(C253-D253)*(E253+F253+G253+H253+I253+J253)</f>
        <v>793373.23214473936</v>
      </c>
      <c r="L253" s="25">
        <f>(E253+F253+G253+H253+I253+J253)*D253</f>
        <v>69280.54594494401</v>
      </c>
      <c r="M253" s="25">
        <f>SUM(K253:L253)</f>
        <v>862653.77808968339</v>
      </c>
      <c r="N253" s="12"/>
    </row>
    <row r="254" spans="1:14" ht="15" customHeight="1">
      <c r="A254" s="265" t="s">
        <v>272</v>
      </c>
      <c r="B254" s="266"/>
      <c r="C254" s="178">
        <f t="shared" ref="C254:C267" si="57">+C229*1.02</f>
        <v>2559.1761866147358</v>
      </c>
      <c r="D254" s="135">
        <v>100</v>
      </c>
      <c r="E254" s="138"/>
      <c r="F254" s="176"/>
      <c r="G254" s="138">
        <v>204</v>
      </c>
      <c r="H254" s="137">
        <f t="shared" ref="H254" si="58">+H229*1.01</f>
        <v>104.962911706368</v>
      </c>
      <c r="I254" s="138">
        <v>204</v>
      </c>
      <c r="J254" s="137">
        <f t="shared" ref="J254" si="59">+J229*1.01</f>
        <v>140.31500349636002</v>
      </c>
      <c r="K254" s="24">
        <f t="shared" si="56"/>
        <v>1606525.4923078695</v>
      </c>
      <c r="L254" s="25">
        <f t="shared" ref="L254:L267" si="60">(E254+F254+G254+H254+I254+J254)*D254</f>
        <v>65327.791520272811</v>
      </c>
      <c r="M254" s="25">
        <f t="shared" ref="M254:M267" si="61">SUM(K254:L254)</f>
        <v>1671853.2838281423</v>
      </c>
      <c r="N254" s="12"/>
    </row>
    <row r="255" spans="1:14" ht="15" customHeight="1">
      <c r="A255" s="265" t="s">
        <v>273</v>
      </c>
      <c r="B255" s="266"/>
      <c r="C255" s="178">
        <f t="shared" si="57"/>
        <v>2143.917352623399</v>
      </c>
      <c r="D255" s="135">
        <v>350</v>
      </c>
      <c r="E255" s="138"/>
      <c r="F255" s="176"/>
      <c r="G255" s="138">
        <v>321</v>
      </c>
      <c r="H255" s="137">
        <f t="shared" ref="H255" si="62">+H230*1.01</f>
        <v>76.535456452559984</v>
      </c>
      <c r="I255" s="138">
        <v>321</v>
      </c>
      <c r="J255" s="137">
        <f t="shared" ref="J255" si="63">+J230*1.01</f>
        <v>71.06863813452</v>
      </c>
      <c r="K255" s="24">
        <f t="shared" si="56"/>
        <v>1416484.4869822506</v>
      </c>
      <c r="L255" s="25">
        <f t="shared" si="60"/>
        <v>276361.43310547801</v>
      </c>
      <c r="M255" s="25">
        <f t="shared" si="61"/>
        <v>1692845.9200877286</v>
      </c>
      <c r="N255" s="12"/>
    </row>
    <row r="256" spans="1:14" ht="15" customHeight="1">
      <c r="A256" s="265" t="s">
        <v>274</v>
      </c>
      <c r="B256" s="266"/>
      <c r="C256" s="178">
        <f t="shared" si="57"/>
        <v>1892.6908319723791</v>
      </c>
      <c r="D256" s="135">
        <v>600</v>
      </c>
      <c r="E256" s="138"/>
      <c r="F256" s="176"/>
      <c r="G256" s="138">
        <v>374</v>
      </c>
      <c r="H256" s="137">
        <f t="shared" ref="H256" si="64">+H231*1.01</f>
        <v>120.80596557708002</v>
      </c>
      <c r="I256" s="138">
        <v>374</v>
      </c>
      <c r="J256" s="137">
        <f t="shared" ref="J256" si="65">+J231*1.01</f>
        <v>121.899329240688</v>
      </c>
      <c r="K256" s="24">
        <f t="shared" si="56"/>
        <v>1280675.6517974217</v>
      </c>
      <c r="L256" s="25">
        <f t="shared" si="60"/>
        <v>594423.17689066078</v>
      </c>
      <c r="M256" s="25">
        <f t="shared" si="61"/>
        <v>1875098.8286880825</v>
      </c>
      <c r="N256" s="12"/>
    </row>
    <row r="257" spans="1:14" ht="15" customHeight="1">
      <c r="A257" s="265" t="s">
        <v>275</v>
      </c>
      <c r="B257" s="266"/>
      <c r="C257" s="178">
        <f t="shared" si="57"/>
        <v>2115.6573887111558</v>
      </c>
      <c r="D257" s="135">
        <v>1375</v>
      </c>
      <c r="E257" s="138"/>
      <c r="F257" s="176"/>
      <c r="G257" s="138">
        <v>179</v>
      </c>
      <c r="H257" s="137">
        <f t="shared" ref="H257" si="66">+H232*1.01</f>
        <v>348.54718515566401</v>
      </c>
      <c r="I257" s="138">
        <v>179</v>
      </c>
      <c r="J257" s="137">
        <f t="shared" ref="J257" si="67">+J232*1.01</f>
        <v>283.18118887447201</v>
      </c>
      <c r="K257" s="24">
        <f t="shared" si="56"/>
        <v>733049.63304249872</v>
      </c>
      <c r="L257" s="25">
        <f t="shared" si="60"/>
        <v>1360876.5142914371</v>
      </c>
      <c r="M257" s="25">
        <f t="shared" si="61"/>
        <v>2093926.1473339358</v>
      </c>
      <c r="N257" s="12"/>
    </row>
    <row r="258" spans="1:14" ht="15" customHeight="1">
      <c r="A258" s="265" t="s">
        <v>290</v>
      </c>
      <c r="B258" s="266"/>
      <c r="C258" s="178">
        <v>1599</v>
      </c>
      <c r="D258" s="135">
        <v>1599</v>
      </c>
      <c r="E258" s="138"/>
      <c r="F258" s="176"/>
      <c r="G258" s="138">
        <v>0</v>
      </c>
      <c r="H258" s="137">
        <f t="shared" ref="H258" si="68">+H233*1.01</f>
        <v>321.448917100752</v>
      </c>
      <c r="I258" s="138">
        <v>0</v>
      </c>
      <c r="J258" s="137">
        <f t="shared" ref="J258" si="69">+J233*1.01</f>
        <v>328.0090990824001</v>
      </c>
      <c r="K258" s="24">
        <f t="shared" si="56"/>
        <v>0</v>
      </c>
      <c r="L258" s="25">
        <f t="shared" si="60"/>
        <v>1038483.3678768601</v>
      </c>
      <c r="M258" s="25">
        <f t="shared" si="61"/>
        <v>1038483.3678768601</v>
      </c>
      <c r="N258" s="12"/>
    </row>
    <row r="259" spans="1:14" ht="15" customHeight="1">
      <c r="A259" s="265" t="s">
        <v>291</v>
      </c>
      <c r="B259" s="266"/>
      <c r="C259" s="178">
        <v>1049</v>
      </c>
      <c r="D259" s="135">
        <v>1049</v>
      </c>
      <c r="E259" s="138"/>
      <c r="F259" s="176"/>
      <c r="G259" s="138">
        <v>0</v>
      </c>
      <c r="H259" s="137">
        <f t="shared" ref="H259" si="70">+H234*1.01</f>
        <v>312.70200779188809</v>
      </c>
      <c r="I259" s="138">
        <v>0</v>
      </c>
      <c r="J259" s="137">
        <f t="shared" ref="J259" si="71">+J234*1.01</f>
        <v>335.66264472765602</v>
      </c>
      <c r="K259" s="24">
        <f t="shared" si="56"/>
        <v>0</v>
      </c>
      <c r="L259" s="25">
        <f t="shared" si="60"/>
        <v>680134.52049300168</v>
      </c>
      <c r="M259" s="25">
        <f t="shared" si="61"/>
        <v>680134.52049300168</v>
      </c>
      <c r="N259" s="12"/>
    </row>
    <row r="260" spans="1:14" ht="15" customHeight="1">
      <c r="A260" s="265" t="s">
        <v>292</v>
      </c>
      <c r="B260" s="266"/>
      <c r="C260" s="178">
        <v>549</v>
      </c>
      <c r="D260" s="135">
        <v>549</v>
      </c>
      <c r="E260" s="138"/>
      <c r="F260" s="176"/>
      <c r="G260" s="138">
        <v>0</v>
      </c>
      <c r="H260" s="137">
        <f t="shared" ref="H260" si="72">+H235*1.01</f>
        <v>588.2296510211039</v>
      </c>
      <c r="I260" s="138">
        <v>0</v>
      </c>
      <c r="J260" s="137">
        <f t="shared" ref="J260" si="73">+J235*1.01</f>
        <v>613.37701528408797</v>
      </c>
      <c r="K260" s="24">
        <f t="shared" si="56"/>
        <v>0</v>
      </c>
      <c r="L260" s="25">
        <f t="shared" si="60"/>
        <v>659682.05980155035</v>
      </c>
      <c r="M260" s="25">
        <f t="shared" si="61"/>
        <v>659682.05980155035</v>
      </c>
    </row>
    <row r="261" spans="1:14" ht="15" customHeight="1">
      <c r="A261" s="265" t="s">
        <v>279</v>
      </c>
      <c r="B261" s="266"/>
      <c r="C261" s="178">
        <f t="shared" si="57"/>
        <v>110.40808032000001</v>
      </c>
      <c r="D261" s="135">
        <v>100</v>
      </c>
      <c r="E261" s="138">
        <v>0</v>
      </c>
      <c r="F261" s="137"/>
      <c r="G261" s="138">
        <v>0</v>
      </c>
      <c r="H261" s="137">
        <f t="shared" ref="H261" si="74">+H236*1.01</f>
        <v>0</v>
      </c>
      <c r="I261" s="138">
        <v>0</v>
      </c>
      <c r="J261" s="137">
        <f t="shared" ref="J261" si="75">+J236*1.01</f>
        <v>0</v>
      </c>
      <c r="K261" s="24">
        <f t="shared" si="56"/>
        <v>0</v>
      </c>
      <c r="L261" s="25">
        <f t="shared" si="60"/>
        <v>0</v>
      </c>
      <c r="M261" s="25">
        <f t="shared" si="61"/>
        <v>0</v>
      </c>
    </row>
    <row r="262" spans="1:14" ht="15" customHeight="1">
      <c r="A262" s="265" t="s">
        <v>271</v>
      </c>
      <c r="B262" s="266"/>
      <c r="C262" s="178">
        <f t="shared" si="57"/>
        <v>998.00808605566317</v>
      </c>
      <c r="D262" s="135">
        <v>125</v>
      </c>
      <c r="E262" s="138">
        <v>179</v>
      </c>
      <c r="F262" s="137"/>
      <c r="G262" s="168"/>
      <c r="H262" s="176"/>
      <c r="I262" s="168"/>
      <c r="J262" s="176"/>
      <c r="K262" s="24">
        <f t="shared" si="56"/>
        <v>156268.44740396371</v>
      </c>
      <c r="L262" s="25">
        <f t="shared" si="60"/>
        <v>22375</v>
      </c>
      <c r="M262" s="25">
        <f t="shared" si="61"/>
        <v>178643.44740396371</v>
      </c>
    </row>
    <row r="263" spans="1:14" ht="15" customHeight="1">
      <c r="A263" s="265" t="s">
        <v>272</v>
      </c>
      <c r="B263" s="266"/>
      <c r="C263" s="178">
        <f t="shared" si="57"/>
        <v>1001.3870149457764</v>
      </c>
      <c r="D263" s="135">
        <v>75</v>
      </c>
      <c r="E263" s="138">
        <v>163</v>
      </c>
      <c r="F263" s="137"/>
      <c r="G263" s="168"/>
      <c r="H263" s="176"/>
      <c r="I263" s="168"/>
      <c r="J263" s="176"/>
      <c r="K263" s="24">
        <f t="shared" si="56"/>
        <v>151001.08343616154</v>
      </c>
      <c r="L263" s="25">
        <f t="shared" si="60"/>
        <v>12225</v>
      </c>
      <c r="M263" s="25">
        <f t="shared" si="61"/>
        <v>163226.08343616154</v>
      </c>
    </row>
    <row r="264" spans="1:14" ht="15" customHeight="1">
      <c r="A264" s="265" t="s">
        <v>280</v>
      </c>
      <c r="B264" s="266"/>
      <c r="C264" s="178">
        <f t="shared" si="57"/>
        <v>767.43689455648394</v>
      </c>
      <c r="D264" s="135">
        <v>0</v>
      </c>
      <c r="E264" s="138">
        <v>0</v>
      </c>
      <c r="F264" s="137"/>
      <c r="G264" s="168"/>
      <c r="H264" s="176"/>
      <c r="I264" s="168"/>
      <c r="J264" s="176"/>
      <c r="K264" s="24">
        <f t="shared" si="56"/>
        <v>0</v>
      </c>
      <c r="L264" s="25">
        <f t="shared" si="60"/>
        <v>0</v>
      </c>
      <c r="M264" s="25">
        <f t="shared" si="61"/>
        <v>0</v>
      </c>
    </row>
    <row r="265" spans="1:14" ht="15" customHeight="1">
      <c r="A265" s="265" t="s">
        <v>259</v>
      </c>
      <c r="B265" s="266"/>
      <c r="C265" s="178">
        <f t="shared" si="57"/>
        <v>855.6626224800001</v>
      </c>
      <c r="D265" s="135">
        <v>775</v>
      </c>
      <c r="E265" s="138">
        <v>0</v>
      </c>
      <c r="F265" s="137"/>
      <c r="G265" s="168"/>
      <c r="H265" s="176"/>
      <c r="I265" s="168"/>
      <c r="J265" s="176"/>
      <c r="K265" s="24">
        <f t="shared" si="56"/>
        <v>0</v>
      </c>
      <c r="L265" s="25">
        <f t="shared" si="60"/>
        <v>0</v>
      </c>
      <c r="M265" s="25">
        <f t="shared" si="61"/>
        <v>0</v>
      </c>
    </row>
    <row r="266" spans="1:14" ht="15" customHeight="1">
      <c r="A266" s="265" t="s">
        <v>260</v>
      </c>
      <c r="B266" s="266"/>
      <c r="C266" s="178">
        <f t="shared" si="57"/>
        <v>386.42828112000001</v>
      </c>
      <c r="D266" s="135">
        <v>350</v>
      </c>
      <c r="E266" s="138">
        <v>0</v>
      </c>
      <c r="F266" s="137"/>
      <c r="G266" s="168"/>
      <c r="H266" s="176"/>
      <c r="I266" s="168"/>
      <c r="J266" s="176"/>
      <c r="K266" s="24">
        <f t="shared" si="56"/>
        <v>0</v>
      </c>
      <c r="L266" s="25">
        <f t="shared" si="60"/>
        <v>0</v>
      </c>
      <c r="M266" s="25">
        <f t="shared" si="61"/>
        <v>0</v>
      </c>
    </row>
    <row r="267" spans="1:14" ht="15" customHeight="1">
      <c r="A267" s="273" t="s">
        <v>261</v>
      </c>
      <c r="B267" s="274"/>
      <c r="C267" s="181">
        <f t="shared" si="57"/>
        <v>276.0202008</v>
      </c>
      <c r="D267" s="164">
        <v>250</v>
      </c>
      <c r="E267" s="139">
        <v>0</v>
      </c>
      <c r="F267" s="137">
        <v>0</v>
      </c>
      <c r="G267" s="177">
        <v>0</v>
      </c>
      <c r="H267" s="176">
        <v>0</v>
      </c>
      <c r="I267" s="177">
        <v>0</v>
      </c>
      <c r="J267" s="176">
        <v>0</v>
      </c>
      <c r="K267" s="24">
        <f t="shared" si="56"/>
        <v>0</v>
      </c>
      <c r="L267" s="25">
        <f t="shared" si="60"/>
        <v>0</v>
      </c>
      <c r="M267" s="25">
        <f t="shared" si="61"/>
        <v>0</v>
      </c>
    </row>
    <row r="268" spans="1:14" ht="15" customHeight="1">
      <c r="B268" s="59" t="s">
        <v>262</v>
      </c>
      <c r="C268" s="179"/>
      <c r="D268" s="180"/>
      <c r="E268" s="57">
        <f t="shared" ref="E268:M268" si="76">SUM(E253:E267)</f>
        <v>342</v>
      </c>
      <c r="F268" s="60">
        <f t="shared" si="76"/>
        <v>0</v>
      </c>
      <c r="G268" s="58">
        <f t="shared" si="76"/>
        <v>1202</v>
      </c>
      <c r="H268" s="60">
        <f t="shared" si="76"/>
        <v>1921.3400960041681</v>
      </c>
      <c r="I268" s="58">
        <f t="shared" si="76"/>
        <v>1202</v>
      </c>
      <c r="J268" s="60">
        <f t="shared" si="76"/>
        <v>1943.8076473661522</v>
      </c>
      <c r="K268" s="66">
        <f t="shared" si="76"/>
        <v>6137378.0271149045</v>
      </c>
      <c r="L268" s="26">
        <f t="shared" si="76"/>
        <v>4779169.4099242054</v>
      </c>
      <c r="M268" s="26">
        <f t="shared" si="76"/>
        <v>10916547.437039109</v>
      </c>
    </row>
    <row r="269" spans="1:14" ht="16.5" customHeight="1">
      <c r="B269" s="59"/>
      <c r="C269" s="27"/>
      <c r="D269" s="52"/>
      <c r="E269" s="64"/>
      <c r="F269" s="64"/>
      <c r="G269" s="65"/>
      <c r="H269" s="64"/>
      <c r="I269" s="65"/>
      <c r="J269" s="64"/>
    </row>
    <row r="270" spans="1:14" ht="16.5" customHeight="1">
      <c r="B270" s="59"/>
      <c r="C270" s="27"/>
      <c r="D270" s="52"/>
      <c r="E270" s="64"/>
      <c r="F270" s="64"/>
      <c r="G270" s="65"/>
      <c r="H270" s="64"/>
      <c r="I270" s="65"/>
      <c r="J270" s="64"/>
      <c r="K270" s="61" t="s">
        <v>281</v>
      </c>
      <c r="L270" s="188">
        <f>L261*0.25</f>
        <v>0</v>
      </c>
    </row>
    <row r="271" spans="1:14" ht="15" customHeight="1">
      <c r="B271" s="59"/>
      <c r="C271" s="27"/>
      <c r="D271" s="52"/>
      <c r="E271" s="64"/>
      <c r="F271" s="64"/>
      <c r="G271" s="65"/>
      <c r="H271" s="64"/>
      <c r="I271" s="65"/>
      <c r="J271" s="64"/>
      <c r="K271" s="61" t="s">
        <v>282</v>
      </c>
      <c r="L271" s="160">
        <f>L268-L270</f>
        <v>4779169.4099242054</v>
      </c>
      <c r="N271" s="241"/>
    </row>
    <row r="272" spans="1:14">
      <c r="A272" s="54" t="s">
        <v>263</v>
      </c>
      <c r="B272" s="71"/>
      <c r="C272" s="70"/>
      <c r="D272" s="54"/>
      <c r="E272" s="72"/>
      <c r="F272" s="54"/>
      <c r="G272" s="72"/>
      <c r="H272" s="31"/>
    </row>
    <row r="273" spans="1:13">
      <c r="A273" s="73" t="s">
        <v>264</v>
      </c>
      <c r="B273" s="73"/>
      <c r="C273" s="74"/>
      <c r="D273" s="73"/>
      <c r="E273" s="73"/>
      <c r="F273" s="73"/>
      <c r="G273" s="73"/>
      <c r="J273" s="61" t="s">
        <v>265</v>
      </c>
      <c r="K273" s="67">
        <f>(C253-D253)*(G253+I253)+(C254-D254)*(G254+I254)+(C255-D255)*(G255+I255)+(C256-D256)*(G256+I256)+(C257-D257)*(G257+I257)+(C262-D262)*E262+(C263-D263)*E263+(C264-D264)*E264</f>
        <v>4262395.8974841572</v>
      </c>
      <c r="L273" s="30">
        <f>D253*(G253+I253)+D254*(G254+I254)+D255*(G255+I255)+D256*(G256+I256)+D257*(G257+I257)+D258*(G258+I258)+D259*(G259+I259)+D260*(G260+I260)+D261*(G261+I261)+D262*E262+D263*E263+D267*(G267+I267)</f>
        <v>1290750</v>
      </c>
      <c r="M273" s="62">
        <f>SUM(K273:L273)</f>
        <v>5553145.8974841572</v>
      </c>
    </row>
    <row r="274" spans="1:13">
      <c r="A274" s="75" t="s">
        <v>266</v>
      </c>
      <c r="B274" s="75"/>
      <c r="C274" s="76"/>
      <c r="D274" s="75"/>
      <c r="E274" s="75"/>
      <c r="F274" s="75"/>
      <c r="G274" s="75"/>
      <c r="J274" s="61" t="s">
        <v>267</v>
      </c>
      <c r="K274" s="68">
        <f>(C253-D253)*(H253+J253)+(C254-D254)*(H254+J254)+(C255-D255)*(H255+J255)+(C256-D256)*(H256+J256)+(C257-D257)*(H257+J257)+(C262-D262)*F262+(C263-D263)*F263+(C264-D264)*F264</f>
        <v>1874982.1296307477</v>
      </c>
      <c r="L274" s="30">
        <f>D253*(H253+J253)+D254*(H254+J254)+D255*(H255+J255)+D256*(H256+J256)+D257*(H257+J257)+D258*(H258+J258)+D259*(H259+J259)+D260*(H260+J260)+D261*(H261+J261)+D262*F262+D263*F263+D265*F265+D266*F266+D267*(F267)</f>
        <v>3488419.4099242045</v>
      </c>
      <c r="M274" s="62">
        <f>SUM(K274:L274)</f>
        <v>5363401.5395549517</v>
      </c>
    </row>
  </sheetData>
  <mergeCells count="197">
    <mergeCell ref="A266:B266"/>
    <mergeCell ref="A267:B267"/>
    <mergeCell ref="A260:B260"/>
    <mergeCell ref="A261:B261"/>
    <mergeCell ref="A262:B262"/>
    <mergeCell ref="A263:B263"/>
    <mergeCell ref="A264:B264"/>
    <mergeCell ref="A265:B265"/>
    <mergeCell ref="A254:B254"/>
    <mergeCell ref="A255:B255"/>
    <mergeCell ref="A256:B256"/>
    <mergeCell ref="A257:B257"/>
    <mergeCell ref="A258:B258"/>
    <mergeCell ref="A259:B259"/>
    <mergeCell ref="A242:B242"/>
    <mergeCell ref="E251:F251"/>
    <mergeCell ref="G251:H251"/>
    <mergeCell ref="I251:J251"/>
    <mergeCell ref="A252:B252"/>
    <mergeCell ref="A253:B253"/>
    <mergeCell ref="A236:B236"/>
    <mergeCell ref="A237:B237"/>
    <mergeCell ref="A238:B238"/>
    <mergeCell ref="A239:B239"/>
    <mergeCell ref="A240:B240"/>
    <mergeCell ref="A241:B241"/>
    <mergeCell ref="A230:B230"/>
    <mergeCell ref="A231:B231"/>
    <mergeCell ref="A232:B232"/>
    <mergeCell ref="A233:B233"/>
    <mergeCell ref="A234:B234"/>
    <mergeCell ref="A235:B235"/>
    <mergeCell ref="E226:F226"/>
    <mergeCell ref="G226:H226"/>
    <mergeCell ref="I226:J226"/>
    <mergeCell ref="A227:B227"/>
    <mergeCell ref="A228:B228"/>
    <mergeCell ref="A229:B229"/>
    <mergeCell ref="A212:B212"/>
    <mergeCell ref="A213:B213"/>
    <mergeCell ref="A214:B214"/>
    <mergeCell ref="A215:B215"/>
    <mergeCell ref="A216:B216"/>
    <mergeCell ref="A217:B217"/>
    <mergeCell ref="A206:B206"/>
    <mergeCell ref="A207:B207"/>
    <mergeCell ref="A208:B208"/>
    <mergeCell ref="A209:B209"/>
    <mergeCell ref="A210:B210"/>
    <mergeCell ref="A211:B211"/>
    <mergeCell ref="G201:H201"/>
    <mergeCell ref="I201:J201"/>
    <mergeCell ref="A202:B202"/>
    <mergeCell ref="A203:B203"/>
    <mergeCell ref="A204:B204"/>
    <mergeCell ref="A205:B205"/>
    <mergeCell ref="A188:B188"/>
    <mergeCell ref="A189:B189"/>
    <mergeCell ref="A190:B190"/>
    <mergeCell ref="A191:B191"/>
    <mergeCell ref="A192:B192"/>
    <mergeCell ref="E201:F201"/>
    <mergeCell ref="A182:B182"/>
    <mergeCell ref="A183:B183"/>
    <mergeCell ref="A184:B184"/>
    <mergeCell ref="A185:B185"/>
    <mergeCell ref="A186:B186"/>
    <mergeCell ref="A187:B187"/>
    <mergeCell ref="I176:J176"/>
    <mergeCell ref="A177:B177"/>
    <mergeCell ref="A178:B178"/>
    <mergeCell ref="A179:B179"/>
    <mergeCell ref="A180:B180"/>
    <mergeCell ref="A181:B181"/>
    <mergeCell ref="A164:B164"/>
    <mergeCell ref="A165:B165"/>
    <mergeCell ref="A166:B166"/>
    <mergeCell ref="A167:B167"/>
    <mergeCell ref="E176:F176"/>
    <mergeCell ref="G176:H176"/>
    <mergeCell ref="A158:B158"/>
    <mergeCell ref="A159:B159"/>
    <mergeCell ref="A160:B160"/>
    <mergeCell ref="A161:B161"/>
    <mergeCell ref="A162:B162"/>
    <mergeCell ref="A163:B163"/>
    <mergeCell ref="A152:B152"/>
    <mergeCell ref="A153:B153"/>
    <mergeCell ref="A154:B154"/>
    <mergeCell ref="A155:B155"/>
    <mergeCell ref="A156:B156"/>
    <mergeCell ref="A157:B157"/>
    <mergeCell ref="A140:B140"/>
    <mergeCell ref="A141:B141"/>
    <mergeCell ref="A142:B142"/>
    <mergeCell ref="E151:F151"/>
    <mergeCell ref="G151:H151"/>
    <mergeCell ref="I151:J151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16:B116"/>
    <mergeCell ref="A117:B117"/>
    <mergeCell ref="E126:F126"/>
    <mergeCell ref="G126:H126"/>
    <mergeCell ref="I126:J126"/>
    <mergeCell ref="A127:B127"/>
    <mergeCell ref="A110:B110"/>
    <mergeCell ref="A111:B111"/>
    <mergeCell ref="A112:B112"/>
    <mergeCell ref="A113:B113"/>
    <mergeCell ref="A114:B114"/>
    <mergeCell ref="A115:B115"/>
    <mergeCell ref="A104:B104"/>
    <mergeCell ref="A105:B105"/>
    <mergeCell ref="A106:B106"/>
    <mergeCell ref="A107:B107"/>
    <mergeCell ref="A108:B108"/>
    <mergeCell ref="A109:B109"/>
    <mergeCell ref="A92:B92"/>
    <mergeCell ref="E101:F101"/>
    <mergeCell ref="G101:H101"/>
    <mergeCell ref="I101:J101"/>
    <mergeCell ref="A102:B102"/>
    <mergeCell ref="A103:B103"/>
    <mergeCell ref="A86:B86"/>
    <mergeCell ref="A87:B87"/>
    <mergeCell ref="A88:B88"/>
    <mergeCell ref="A89:B89"/>
    <mergeCell ref="A90:B90"/>
    <mergeCell ref="A91:B91"/>
    <mergeCell ref="A80:B80"/>
    <mergeCell ref="A81:B81"/>
    <mergeCell ref="A82:B82"/>
    <mergeCell ref="A83:B83"/>
    <mergeCell ref="A84:B84"/>
    <mergeCell ref="A85:B85"/>
    <mergeCell ref="E76:F76"/>
    <mergeCell ref="G76:H76"/>
    <mergeCell ref="I76:J76"/>
    <mergeCell ref="A77:B77"/>
    <mergeCell ref="A78:B78"/>
    <mergeCell ref="A79:B79"/>
    <mergeCell ref="A61:B61"/>
    <mergeCell ref="A62:B62"/>
    <mergeCell ref="A63:B63"/>
    <mergeCell ref="A64:B64"/>
    <mergeCell ref="A65:B65"/>
    <mergeCell ref="A66:B66"/>
    <mergeCell ref="A55:B55"/>
    <mergeCell ref="A56:B56"/>
    <mergeCell ref="A57:B57"/>
    <mergeCell ref="A58:B58"/>
    <mergeCell ref="A59:B59"/>
    <mergeCell ref="A60:B60"/>
    <mergeCell ref="G50:H50"/>
    <mergeCell ref="I50:J50"/>
    <mergeCell ref="A51:B51"/>
    <mergeCell ref="A52:B52"/>
    <mergeCell ref="A53:B53"/>
    <mergeCell ref="A54:B54"/>
    <mergeCell ref="A38:B38"/>
    <mergeCell ref="A39:B39"/>
    <mergeCell ref="A40:B40"/>
    <mergeCell ref="A41:B41"/>
    <mergeCell ref="A42:B42"/>
    <mergeCell ref="E50:F50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23:B23"/>
    <mergeCell ref="E19:F19"/>
    <mergeCell ref="G19:H19"/>
    <mergeCell ref="I19:J19"/>
    <mergeCell ref="A24:B24"/>
    <mergeCell ref="A25:B25"/>
    <mergeCell ref="A20:B20"/>
    <mergeCell ref="A21:B21"/>
    <mergeCell ref="A22:B22"/>
  </mergeCells>
  <pageMargins left="0.7" right="0.7" top="0.75" bottom="0.75" header="0.3" footer="0.3"/>
  <pageSetup scale="40" fitToHeight="0"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0.39997558519241921"/>
  </sheetPr>
  <dimension ref="A1:J121"/>
  <sheetViews>
    <sheetView topLeftCell="A101" zoomScaleNormal="100" workbookViewId="0" xr3:uid="{85D5C41F-068E-5C55-9968-509E7C2A5619}">
      <selection activeCell="H119" sqref="H119"/>
    </sheetView>
  </sheetViews>
  <sheetFormatPr defaultColWidth="9.140625" defaultRowHeight="12.75"/>
  <cols>
    <col min="1" max="1" width="4.5703125" style="2" customWidth="1"/>
    <col min="2" max="2" width="11" style="2" customWidth="1"/>
    <col min="3" max="3" width="30" style="2" customWidth="1"/>
    <col min="4" max="4" width="35.7109375" style="2" customWidth="1"/>
    <col min="5" max="5" width="2.5703125" style="2" customWidth="1"/>
    <col min="6" max="6" width="14.7109375" style="2" customWidth="1"/>
    <col min="7" max="7" width="2.5703125" style="2" customWidth="1"/>
    <col min="8" max="8" width="14.7109375" style="2" customWidth="1"/>
    <col min="9" max="16384" width="9.140625" style="2"/>
  </cols>
  <sheetData>
    <row r="1" spans="1:8">
      <c r="A1" s="1" t="s">
        <v>0</v>
      </c>
    </row>
    <row r="2" spans="1:8">
      <c r="A2" s="1" t="s">
        <v>1</v>
      </c>
    </row>
    <row r="3" spans="1:8">
      <c r="A3" s="1" t="s">
        <v>305</v>
      </c>
    </row>
    <row r="4" spans="1:8">
      <c r="A4" s="1"/>
    </row>
    <row r="5" spans="1:8">
      <c r="A5" s="1" t="s">
        <v>16</v>
      </c>
      <c r="C5" s="109" t="s">
        <v>221</v>
      </c>
      <c r="F5" s="2" t="s">
        <v>219</v>
      </c>
    </row>
    <row r="7" spans="1:8">
      <c r="A7" s="44">
        <v>1</v>
      </c>
      <c r="B7" s="44" t="s">
        <v>306</v>
      </c>
      <c r="C7" s="186"/>
      <c r="D7" s="186"/>
      <c r="E7" s="186"/>
      <c r="F7" s="186"/>
    </row>
    <row r="9" spans="1:8" ht="25.5">
      <c r="B9" s="271" t="s">
        <v>307</v>
      </c>
      <c r="C9" s="279"/>
      <c r="D9" s="272"/>
      <c r="F9" s="20" t="s">
        <v>269</v>
      </c>
      <c r="H9" s="20" t="s">
        <v>238</v>
      </c>
    </row>
    <row r="10" spans="1:8">
      <c r="B10" s="280" t="s">
        <v>308</v>
      </c>
      <c r="C10" s="281"/>
      <c r="D10" s="282"/>
      <c r="F10" s="134"/>
      <c r="H10" s="134"/>
    </row>
    <row r="11" spans="1:8" s="189" customFormat="1" ht="24" customHeight="1">
      <c r="B11" s="265" t="s">
        <v>309</v>
      </c>
      <c r="C11" s="275"/>
      <c r="D11" s="266"/>
      <c r="F11" s="190">
        <v>1933</v>
      </c>
      <c r="H11" s="190">
        <v>200</v>
      </c>
    </row>
    <row r="12" spans="1:8" s="189" customFormat="1" ht="32.25" customHeight="1">
      <c r="B12" s="265" t="s">
        <v>310</v>
      </c>
      <c r="C12" s="275"/>
      <c r="D12" s="266"/>
      <c r="F12" s="190">
        <v>2088</v>
      </c>
      <c r="H12" s="190">
        <v>100</v>
      </c>
    </row>
    <row r="13" spans="1:8" s="189" customFormat="1">
      <c r="B13" s="265" t="s">
        <v>311</v>
      </c>
      <c r="C13" s="275"/>
      <c r="D13" s="266"/>
      <c r="F13" s="190">
        <v>1895</v>
      </c>
      <c r="H13" s="190">
        <v>825</v>
      </c>
    </row>
    <row r="14" spans="1:8" s="189" customFormat="1">
      <c r="B14" s="265" t="s">
        <v>312</v>
      </c>
      <c r="C14" s="275"/>
      <c r="D14" s="266"/>
      <c r="F14" s="190">
        <v>1861</v>
      </c>
      <c r="H14" s="190">
        <v>1025</v>
      </c>
    </row>
    <row r="15" spans="1:8" s="189" customFormat="1">
      <c r="B15" s="265" t="s">
        <v>313</v>
      </c>
      <c r="C15" s="275"/>
      <c r="D15" s="266"/>
      <c r="F15" s="190">
        <v>487</v>
      </c>
      <c r="H15" s="190">
        <v>50</v>
      </c>
    </row>
    <row r="16" spans="1:8" s="189" customFormat="1">
      <c r="B16" s="265" t="s">
        <v>314</v>
      </c>
      <c r="C16" s="275"/>
      <c r="D16" s="266"/>
      <c r="F16" s="190">
        <v>371</v>
      </c>
      <c r="H16" s="190">
        <v>150</v>
      </c>
    </row>
    <row r="17" spans="2:8" s="189" customFormat="1">
      <c r="B17" s="265" t="s">
        <v>315</v>
      </c>
      <c r="C17" s="275"/>
      <c r="D17" s="266"/>
      <c r="F17" s="190">
        <v>600</v>
      </c>
      <c r="H17" s="190">
        <v>600</v>
      </c>
    </row>
    <row r="18" spans="2:8" s="189" customFormat="1">
      <c r="B18" s="265" t="s">
        <v>316</v>
      </c>
      <c r="C18" s="275"/>
      <c r="D18" s="266"/>
      <c r="F18" s="190">
        <v>400</v>
      </c>
      <c r="H18" s="190">
        <v>400</v>
      </c>
    </row>
    <row r="19" spans="2:8">
      <c r="B19" s="265"/>
      <c r="C19" s="275"/>
      <c r="D19" s="266"/>
      <c r="F19" s="134"/>
      <c r="H19" s="134"/>
    </row>
    <row r="20" spans="2:8">
      <c r="B20" s="283" t="s">
        <v>317</v>
      </c>
      <c r="C20" s="284"/>
      <c r="D20" s="285"/>
      <c r="F20" s="134"/>
      <c r="H20" s="134"/>
    </row>
    <row r="21" spans="2:8">
      <c r="B21" s="265" t="s">
        <v>318</v>
      </c>
      <c r="C21" s="275"/>
      <c r="D21" s="266"/>
      <c r="F21" s="191">
        <v>463</v>
      </c>
      <c r="H21" s="134">
        <v>0</v>
      </c>
    </row>
    <row r="22" spans="2:8">
      <c r="B22" s="265" t="s">
        <v>319</v>
      </c>
      <c r="C22" s="276"/>
      <c r="D22" s="277"/>
      <c r="F22" s="134">
        <v>232</v>
      </c>
      <c r="H22" s="134">
        <v>0</v>
      </c>
    </row>
    <row r="23" spans="2:8">
      <c r="B23" s="265" t="s">
        <v>320</v>
      </c>
      <c r="C23" s="275"/>
      <c r="D23" s="266"/>
      <c r="F23" s="134">
        <v>500</v>
      </c>
      <c r="H23" s="134">
        <v>500</v>
      </c>
    </row>
    <row r="24" spans="2:8">
      <c r="B24" s="265" t="s">
        <v>321</v>
      </c>
      <c r="C24" s="275"/>
      <c r="D24" s="266"/>
      <c r="F24" s="134">
        <v>300</v>
      </c>
      <c r="H24" s="134">
        <v>300</v>
      </c>
    </row>
    <row r="25" spans="2:8">
      <c r="B25" s="273"/>
      <c r="C25" s="278"/>
      <c r="D25" s="274"/>
      <c r="F25" s="152"/>
      <c r="H25" s="152"/>
    </row>
    <row r="27" spans="2:8">
      <c r="B27" s="1" t="s">
        <v>322</v>
      </c>
    </row>
    <row r="38" spans="1:8">
      <c r="A38" s="107" t="s">
        <v>219</v>
      </c>
      <c r="B38" s="1" t="s">
        <v>323</v>
      </c>
    </row>
    <row r="39" spans="1:8">
      <c r="A39" s="50"/>
      <c r="B39" s="1" t="s">
        <v>324</v>
      </c>
      <c r="C39" s="1"/>
      <c r="D39" s="3"/>
      <c r="E39" s="3"/>
      <c r="G39" s="3"/>
    </row>
    <row r="40" spans="1:8">
      <c r="A40" s="50"/>
      <c r="B40" s="4" t="s">
        <v>325</v>
      </c>
      <c r="C40" s="4"/>
      <c r="D40" s="3"/>
      <c r="E40" s="3"/>
      <c r="G40" s="3"/>
    </row>
    <row r="41" spans="1:8">
      <c r="A41" s="51"/>
    </row>
    <row r="42" spans="1:8">
      <c r="A42" s="51"/>
      <c r="B42" s="250" t="s">
        <v>21</v>
      </c>
      <c r="C42" s="251"/>
      <c r="D42" s="93" t="s">
        <v>22</v>
      </c>
      <c r="E42" s="93"/>
      <c r="F42" s="93" t="s">
        <v>23</v>
      </c>
      <c r="G42" s="95"/>
      <c r="H42" s="93" t="s">
        <v>326</v>
      </c>
    </row>
    <row r="43" spans="1:8">
      <c r="A43" s="51"/>
      <c r="B43" s="252"/>
      <c r="C43" s="253"/>
      <c r="D43" s="87"/>
      <c r="E43" s="87"/>
      <c r="F43" s="87" t="s">
        <v>25</v>
      </c>
      <c r="G43" s="96"/>
      <c r="H43" s="87"/>
    </row>
    <row r="44" spans="1:8">
      <c r="A44" s="51"/>
      <c r="B44" s="103" t="s">
        <v>27</v>
      </c>
      <c r="C44" s="104"/>
      <c r="D44" s="28"/>
      <c r="E44" s="28"/>
      <c r="F44" s="28"/>
      <c r="G44" s="28"/>
      <c r="H44" s="98"/>
    </row>
    <row r="45" spans="1:8" ht="5.0999999999999996" customHeight="1">
      <c r="A45" s="51"/>
      <c r="B45" s="99"/>
      <c r="C45" s="1"/>
      <c r="H45" s="100"/>
    </row>
    <row r="46" spans="1:8">
      <c r="A46" s="51"/>
      <c r="B46" s="99" t="s">
        <v>28</v>
      </c>
      <c r="C46" s="1"/>
      <c r="H46" s="100"/>
    </row>
    <row r="47" spans="1:8">
      <c r="A47" s="51"/>
      <c r="B47" s="48" t="s">
        <v>29</v>
      </c>
      <c r="D47" s="109" t="s">
        <v>29</v>
      </c>
      <c r="F47" s="109" t="s">
        <v>30</v>
      </c>
      <c r="H47" s="146"/>
    </row>
    <row r="48" spans="1:8">
      <c r="A48" s="51"/>
      <c r="B48" s="48" t="s">
        <v>32</v>
      </c>
      <c r="D48" s="109" t="s">
        <v>32</v>
      </c>
      <c r="F48" s="109" t="s">
        <v>30</v>
      </c>
      <c r="H48" s="146"/>
    </row>
    <row r="49" spans="1:8">
      <c r="A49" s="51"/>
      <c r="B49" s="48" t="s">
        <v>33</v>
      </c>
      <c r="D49" s="144" t="s">
        <v>33</v>
      </c>
      <c r="F49" s="144" t="s">
        <v>30</v>
      </c>
      <c r="H49" s="146"/>
    </row>
    <row r="50" spans="1:8">
      <c r="A50" s="51"/>
      <c r="B50" s="48" t="s">
        <v>34</v>
      </c>
      <c r="D50" s="144" t="s">
        <v>34</v>
      </c>
      <c r="F50" s="144" t="s">
        <v>30</v>
      </c>
      <c r="H50" s="146"/>
    </row>
    <row r="51" spans="1:8">
      <c r="A51" s="51"/>
      <c r="B51" s="48" t="s">
        <v>35</v>
      </c>
      <c r="D51" s="144" t="s">
        <v>35</v>
      </c>
      <c r="F51" s="144" t="s">
        <v>36</v>
      </c>
      <c r="H51" s="146"/>
    </row>
    <row r="52" spans="1:8">
      <c r="A52" s="51"/>
      <c r="B52" s="48" t="s">
        <v>37</v>
      </c>
      <c r="D52" s="144" t="s">
        <v>37</v>
      </c>
      <c r="F52" s="144" t="s">
        <v>30</v>
      </c>
      <c r="H52" s="146"/>
    </row>
    <row r="53" spans="1:8">
      <c r="A53" s="51"/>
      <c r="B53" s="48" t="s">
        <v>38</v>
      </c>
      <c r="D53" s="144" t="s">
        <v>38</v>
      </c>
      <c r="F53" s="144" t="s">
        <v>36</v>
      </c>
      <c r="H53" s="146"/>
    </row>
    <row r="54" spans="1:8">
      <c r="A54" s="51"/>
      <c r="B54" s="48" t="s">
        <v>39</v>
      </c>
      <c r="D54" s="144" t="s">
        <v>39</v>
      </c>
      <c r="F54" s="144" t="s">
        <v>30</v>
      </c>
      <c r="H54" s="146"/>
    </row>
    <row r="55" spans="1:8">
      <c r="A55" s="51"/>
      <c r="B55" s="48" t="s">
        <v>40</v>
      </c>
      <c r="D55" s="144" t="s">
        <v>40</v>
      </c>
      <c r="F55" s="144" t="s">
        <v>30</v>
      </c>
      <c r="H55" s="146"/>
    </row>
    <row r="56" spans="1:8">
      <c r="A56" s="51"/>
      <c r="B56" s="48" t="s">
        <v>41</v>
      </c>
      <c r="D56" s="144" t="s">
        <v>41</v>
      </c>
      <c r="F56" s="144" t="s">
        <v>30</v>
      </c>
      <c r="H56" s="146"/>
    </row>
    <row r="57" spans="1:8">
      <c r="A57" s="51"/>
      <c r="B57" s="48" t="s">
        <v>42</v>
      </c>
      <c r="D57" s="144" t="s">
        <v>42</v>
      </c>
      <c r="F57" s="144" t="s">
        <v>30</v>
      </c>
      <c r="H57" s="146"/>
    </row>
    <row r="58" spans="1:8">
      <c r="A58" s="51"/>
      <c r="B58" s="48" t="s">
        <v>43</v>
      </c>
      <c r="D58" s="144" t="s">
        <v>43</v>
      </c>
      <c r="F58" s="144" t="s">
        <v>30</v>
      </c>
      <c r="H58" s="146"/>
    </row>
    <row r="59" spans="1:8">
      <c r="A59" s="51"/>
      <c r="B59" s="48" t="s">
        <v>44</v>
      </c>
      <c r="D59" s="144" t="s">
        <v>44</v>
      </c>
      <c r="F59" s="144" t="s">
        <v>30</v>
      </c>
      <c r="H59" s="146"/>
    </row>
    <row r="60" spans="1:8">
      <c r="A60" s="51"/>
      <c r="B60" s="48" t="s">
        <v>45</v>
      </c>
      <c r="D60" s="144" t="s">
        <v>45</v>
      </c>
      <c r="F60" s="144" t="s">
        <v>30</v>
      </c>
      <c r="H60" s="146"/>
    </row>
    <row r="61" spans="1:8">
      <c r="A61" s="51"/>
      <c r="B61" s="48" t="s">
        <v>46</v>
      </c>
      <c r="D61" s="144" t="s">
        <v>46</v>
      </c>
      <c r="F61" s="144" t="s">
        <v>36</v>
      </c>
      <c r="H61" s="146"/>
    </row>
    <row r="62" spans="1:8">
      <c r="A62" s="51"/>
      <c r="B62" s="48" t="s">
        <v>327</v>
      </c>
      <c r="D62" s="144" t="s">
        <v>327</v>
      </c>
      <c r="F62" s="144" t="s">
        <v>30</v>
      </c>
      <c r="H62" s="146"/>
    </row>
    <row r="63" spans="1:8">
      <c r="A63" s="51"/>
      <c r="B63" s="48" t="s">
        <v>328</v>
      </c>
      <c r="D63" s="144" t="s">
        <v>328</v>
      </c>
      <c r="F63" s="144" t="s">
        <v>30</v>
      </c>
      <c r="H63" s="146"/>
    </row>
    <row r="64" spans="1:8">
      <c r="A64" s="51"/>
      <c r="B64" s="48" t="s">
        <v>329</v>
      </c>
      <c r="D64" s="144" t="s">
        <v>329</v>
      </c>
      <c r="F64" s="144" t="s">
        <v>30</v>
      </c>
      <c r="H64" s="146"/>
    </row>
    <row r="65" spans="1:8">
      <c r="A65" s="51"/>
      <c r="B65" s="48" t="s">
        <v>50</v>
      </c>
      <c r="D65" s="144" t="s">
        <v>50</v>
      </c>
      <c r="F65" s="144" t="s">
        <v>30</v>
      </c>
      <c r="H65" s="146"/>
    </row>
    <row r="66" spans="1:8">
      <c r="A66" s="51"/>
      <c r="B66" s="48" t="s">
        <v>51</v>
      </c>
      <c r="D66" s="144" t="s">
        <v>51</v>
      </c>
      <c r="F66" s="144" t="s">
        <v>30</v>
      </c>
      <c r="H66" s="146"/>
    </row>
    <row r="67" spans="1:8">
      <c r="A67" s="51"/>
      <c r="B67" s="48" t="s">
        <v>52</v>
      </c>
      <c r="D67" s="144" t="s">
        <v>52</v>
      </c>
      <c r="F67" s="144" t="s">
        <v>36</v>
      </c>
      <c r="H67" s="146"/>
    </row>
    <row r="68" spans="1:8">
      <c r="A68" s="51"/>
      <c r="B68" s="48" t="s">
        <v>53</v>
      </c>
      <c r="D68" s="144" t="s">
        <v>53</v>
      </c>
      <c r="F68" s="144" t="s">
        <v>30</v>
      </c>
      <c r="H68" s="146"/>
    </row>
    <row r="69" spans="1:8">
      <c r="A69" s="51"/>
      <c r="B69" s="48" t="s">
        <v>54</v>
      </c>
      <c r="D69" s="144" t="s">
        <v>54</v>
      </c>
      <c r="F69" s="144" t="s">
        <v>30</v>
      </c>
      <c r="H69" s="146"/>
    </row>
    <row r="70" spans="1:8">
      <c r="A70" s="51"/>
      <c r="B70" s="48" t="s">
        <v>55</v>
      </c>
      <c r="D70" s="144" t="s">
        <v>55</v>
      </c>
      <c r="F70" s="144" t="s">
        <v>30</v>
      </c>
      <c r="H70" s="146"/>
    </row>
    <row r="71" spans="1:8">
      <c r="A71" s="51"/>
      <c r="B71" s="48" t="s">
        <v>56</v>
      </c>
      <c r="D71" s="144" t="s">
        <v>56</v>
      </c>
      <c r="F71" s="144" t="s">
        <v>36</v>
      </c>
      <c r="H71" s="146"/>
    </row>
    <row r="72" spans="1:8">
      <c r="A72" s="51"/>
      <c r="B72" s="48" t="s">
        <v>57</v>
      </c>
      <c r="D72" s="144" t="s">
        <v>57</v>
      </c>
      <c r="F72" s="144" t="s">
        <v>36</v>
      </c>
      <c r="H72" s="146"/>
    </row>
    <row r="73" spans="1:8">
      <c r="A73" s="51"/>
      <c r="B73" s="48" t="s">
        <v>58</v>
      </c>
      <c r="D73" s="144" t="s">
        <v>58</v>
      </c>
      <c r="F73" s="144" t="s">
        <v>36</v>
      </c>
      <c r="H73" s="146"/>
    </row>
    <row r="74" spans="1:8">
      <c r="A74" s="51"/>
      <c r="B74" s="48" t="s">
        <v>59</v>
      </c>
      <c r="D74" s="145" t="s">
        <v>59</v>
      </c>
      <c r="F74" s="145" t="s">
        <v>30</v>
      </c>
      <c r="H74" s="146"/>
    </row>
    <row r="75" spans="1:8">
      <c r="A75" s="51"/>
      <c r="B75" s="48" t="s">
        <v>60</v>
      </c>
      <c r="D75" s="145" t="s">
        <v>60</v>
      </c>
      <c r="F75" s="145" t="s">
        <v>30</v>
      </c>
      <c r="H75" s="146"/>
    </row>
    <row r="76" spans="1:8">
      <c r="A76" s="51"/>
      <c r="B76" s="48" t="s">
        <v>62</v>
      </c>
      <c r="D76" s="145" t="s">
        <v>62</v>
      </c>
      <c r="F76" s="145" t="s">
        <v>30</v>
      </c>
      <c r="H76" s="146"/>
    </row>
    <row r="77" spans="1:8">
      <c r="A77" s="51"/>
      <c r="B77" s="48"/>
      <c r="D77" s="28"/>
      <c r="F77" s="28"/>
      <c r="H77" s="98"/>
    </row>
    <row r="78" spans="1:8">
      <c r="A78" s="51"/>
      <c r="B78" s="99" t="s">
        <v>63</v>
      </c>
      <c r="C78" s="1"/>
      <c r="H78" s="100"/>
    </row>
    <row r="79" spans="1:8">
      <c r="A79" s="51"/>
      <c r="B79" s="48" t="s">
        <v>64</v>
      </c>
      <c r="D79" s="149" t="str">
        <f>+B79</f>
        <v>All Meal Plans (exclusive of Meal Plan Dining $)</v>
      </c>
      <c r="F79" s="149" t="s">
        <v>65</v>
      </c>
      <c r="H79" s="150"/>
    </row>
    <row r="80" spans="1:8">
      <c r="A80" s="51"/>
      <c r="B80" s="48"/>
      <c r="D80" s="28"/>
      <c r="F80" s="28"/>
      <c r="H80" s="98"/>
    </row>
    <row r="81" spans="1:10">
      <c r="A81" s="51"/>
      <c r="B81" s="99" t="s">
        <v>66</v>
      </c>
      <c r="C81" s="1"/>
      <c r="H81" s="100"/>
    </row>
    <row r="82" spans="1:10">
      <c r="A82" s="51"/>
      <c r="B82" s="48" t="s">
        <v>67</v>
      </c>
      <c r="D82" s="149" t="str">
        <f>+B82</f>
        <v>Catering</v>
      </c>
      <c r="F82" s="149" t="s">
        <v>65</v>
      </c>
      <c r="H82" s="150"/>
    </row>
    <row r="83" spans="1:10">
      <c r="A83" s="51"/>
      <c r="B83" s="48" t="s">
        <v>68</v>
      </c>
      <c r="D83" s="149" t="str">
        <f t="shared" ref="D83:D85" si="0">+B83</f>
        <v>Athletic Catering</v>
      </c>
      <c r="F83" s="149" t="s">
        <v>65</v>
      </c>
      <c r="H83" s="148"/>
    </row>
    <row r="84" spans="1:10">
      <c r="A84" s="51"/>
      <c r="B84" s="48" t="s">
        <v>69</v>
      </c>
      <c r="D84" s="149" t="str">
        <f t="shared" si="0"/>
        <v>Alcohol</v>
      </c>
      <c r="F84" s="149" t="s">
        <v>65</v>
      </c>
      <c r="H84" s="148"/>
    </row>
    <row r="85" spans="1:10">
      <c r="A85" s="51"/>
      <c r="B85" s="48" t="s">
        <v>70</v>
      </c>
      <c r="D85" s="149" t="str">
        <f t="shared" si="0"/>
        <v>Summer Conferences &amp; Camps</v>
      </c>
      <c r="F85" s="149" t="s">
        <v>65</v>
      </c>
      <c r="H85" s="148"/>
    </row>
    <row r="86" spans="1:10">
      <c r="A86" s="51"/>
      <c r="B86" s="48"/>
      <c r="D86" s="28"/>
      <c r="F86" s="28"/>
      <c r="H86" s="98"/>
    </row>
    <row r="87" spans="1:10">
      <c r="A87" s="51"/>
      <c r="B87" s="102" t="s">
        <v>71</v>
      </c>
      <c r="C87" s="105"/>
      <c r="H87" s="100"/>
    </row>
    <row r="88" spans="1:10" ht="5.0999999999999996" customHeight="1">
      <c r="A88" s="51"/>
      <c r="B88" s="101"/>
      <c r="C88" s="106"/>
      <c r="H88" s="100"/>
    </row>
    <row r="89" spans="1:10">
      <c r="A89" s="51"/>
      <c r="B89" s="99" t="s">
        <v>28</v>
      </c>
      <c r="C89" s="1"/>
      <c r="H89" s="100"/>
    </row>
    <row r="90" spans="1:10">
      <c r="A90" s="51"/>
      <c r="B90" s="48" t="s">
        <v>72</v>
      </c>
      <c r="D90" s="109" t="str">
        <f>+B90</f>
        <v>Starbucks (Hubert Library)</v>
      </c>
      <c r="F90" s="109" t="s">
        <v>30</v>
      </c>
      <c r="H90" s="146"/>
    </row>
    <row r="91" spans="1:10">
      <c r="A91" s="51"/>
      <c r="B91" s="48" t="s">
        <v>73</v>
      </c>
      <c r="D91" s="109" t="str">
        <f t="shared" ref="D91:D94" si="1">+B91</f>
        <v>Moe's Southwest Grill (Wolfe Center)</v>
      </c>
      <c r="F91" s="109" t="s">
        <v>30</v>
      </c>
      <c r="H91" s="147"/>
    </row>
    <row r="92" spans="1:10">
      <c r="A92" s="51"/>
      <c r="B92" s="48" t="s">
        <v>74</v>
      </c>
      <c r="D92" s="109" t="str">
        <f t="shared" si="1"/>
        <v>Grille Works (Wolfe Center)</v>
      </c>
      <c r="F92" s="109" t="s">
        <v>30</v>
      </c>
      <c r="H92" s="147"/>
    </row>
    <row r="93" spans="1:10">
      <c r="A93" s="51"/>
      <c r="B93" s="48" t="s">
        <v>75</v>
      </c>
      <c r="D93" s="109" t="str">
        <f t="shared" si="1"/>
        <v>Subway (Wolfe Center)</v>
      </c>
      <c r="F93" s="109" t="s">
        <v>30</v>
      </c>
      <c r="H93" s="147"/>
    </row>
    <row r="94" spans="1:10">
      <c r="A94" s="51"/>
      <c r="B94" s="48" t="s">
        <v>330</v>
      </c>
      <c r="D94" s="109" t="str">
        <f t="shared" si="1"/>
        <v>CFA</v>
      </c>
      <c r="F94" s="109" t="s">
        <v>30</v>
      </c>
      <c r="H94" s="148"/>
      <c r="J94" s="19"/>
    </row>
    <row r="95" spans="1:10">
      <c r="A95" s="51"/>
      <c r="B95" s="48" t="s">
        <v>77</v>
      </c>
      <c r="D95" s="109"/>
      <c r="F95" s="109"/>
      <c r="H95" s="148"/>
    </row>
    <row r="96" spans="1:10">
      <c r="A96" s="51"/>
      <c r="B96" s="48" t="s">
        <v>77</v>
      </c>
      <c r="D96" s="109"/>
      <c r="F96" s="109"/>
      <c r="H96" s="148"/>
    </row>
    <row r="97" spans="1:8">
      <c r="A97" s="51"/>
      <c r="B97" s="48"/>
      <c r="D97" s="28"/>
      <c r="F97" s="28"/>
      <c r="H97" s="98"/>
    </row>
    <row r="98" spans="1:8" ht="13.35" customHeight="1">
      <c r="A98" s="51"/>
      <c r="B98" s="99" t="s">
        <v>66</v>
      </c>
      <c r="C98" s="1"/>
      <c r="H98" s="100"/>
    </row>
    <row r="99" spans="1:8">
      <c r="A99" s="51"/>
      <c r="B99" s="48" t="s">
        <v>78</v>
      </c>
      <c r="D99" s="109"/>
      <c r="F99" s="109"/>
      <c r="H99" s="146"/>
    </row>
    <row r="100" spans="1:8">
      <c r="A100" s="51"/>
      <c r="B100" s="48" t="s">
        <v>69</v>
      </c>
      <c r="D100" s="144"/>
      <c r="F100" s="144"/>
      <c r="H100" s="147"/>
    </row>
    <row r="101" spans="1:8">
      <c r="A101" s="51"/>
      <c r="B101" s="48" t="s">
        <v>77</v>
      </c>
      <c r="D101" s="144"/>
      <c r="F101" s="144"/>
      <c r="H101" s="147"/>
    </row>
    <row r="102" spans="1:8">
      <c r="A102" s="51"/>
      <c r="B102" s="48" t="s">
        <v>77</v>
      </c>
      <c r="D102" s="144"/>
      <c r="F102" s="144"/>
      <c r="H102" s="147"/>
    </row>
    <row r="103" spans="1:8">
      <c r="A103" s="51"/>
      <c r="B103" s="49"/>
      <c r="C103" s="6"/>
      <c r="D103" s="29"/>
      <c r="E103" s="6"/>
      <c r="F103" s="29"/>
      <c r="G103" s="6"/>
      <c r="H103" s="97"/>
    </row>
    <row r="104" spans="1:8">
      <c r="A104" s="51"/>
    </row>
    <row r="105" spans="1:8">
      <c r="A105" s="50"/>
      <c r="B105" s="1" t="s">
        <v>331</v>
      </c>
      <c r="C105" s="1"/>
      <c r="D105" s="3"/>
      <c r="E105" s="3"/>
      <c r="G105" s="3"/>
    </row>
    <row r="106" spans="1:8">
      <c r="A106" s="3"/>
      <c r="D106" s="3"/>
      <c r="E106" s="3"/>
      <c r="G106" s="3"/>
    </row>
    <row r="107" spans="1:8">
      <c r="A107" s="3"/>
      <c r="B107" s="2" t="s">
        <v>84</v>
      </c>
      <c r="C107" s="151">
        <v>0</v>
      </c>
      <c r="D107" s="3"/>
      <c r="E107" s="45"/>
      <c r="G107" s="3"/>
    </row>
    <row r="108" spans="1:8">
      <c r="A108" s="3"/>
      <c r="B108" s="2" t="s">
        <v>86</v>
      </c>
      <c r="C108" s="151">
        <v>0</v>
      </c>
      <c r="D108" s="3"/>
      <c r="E108" s="45"/>
      <c r="G108" s="3"/>
    </row>
    <row r="109" spans="1:8">
      <c r="A109" s="3"/>
      <c r="B109" s="2" t="s">
        <v>87</v>
      </c>
      <c r="C109" s="151">
        <v>0</v>
      </c>
      <c r="D109" s="3"/>
      <c r="E109" s="45"/>
      <c r="G109" s="3"/>
    </row>
    <row r="110" spans="1:8">
      <c r="A110" s="3"/>
      <c r="B110" s="2" t="s">
        <v>88</v>
      </c>
      <c r="C110" s="151">
        <v>0</v>
      </c>
      <c r="D110" s="3"/>
      <c r="E110" s="45"/>
      <c r="G110" s="3"/>
    </row>
    <row r="111" spans="1:8">
      <c r="A111" s="3"/>
      <c r="B111" s="2" t="s">
        <v>89</v>
      </c>
      <c r="C111" s="151">
        <v>0</v>
      </c>
      <c r="D111" s="3"/>
      <c r="E111" s="45"/>
      <c r="G111" s="3"/>
    </row>
    <row r="112" spans="1:8">
      <c r="A112" s="3"/>
      <c r="B112" s="2" t="s">
        <v>90</v>
      </c>
      <c r="C112" s="151">
        <v>0</v>
      </c>
      <c r="D112" s="3"/>
      <c r="E112" s="45"/>
      <c r="G112" s="3"/>
    </row>
    <row r="113" spans="1:7">
      <c r="A113" s="3"/>
      <c r="B113" s="2" t="s">
        <v>91</v>
      </c>
      <c r="C113" s="151">
        <v>0</v>
      </c>
      <c r="D113" s="3"/>
      <c r="E113" s="45"/>
      <c r="G113" s="3"/>
    </row>
    <row r="114" spans="1:7">
      <c r="A114" s="3"/>
      <c r="B114" s="2" t="s">
        <v>92</v>
      </c>
      <c r="C114" s="151">
        <v>0</v>
      </c>
      <c r="D114" s="3"/>
      <c r="E114" s="45"/>
      <c r="G114" s="3"/>
    </row>
    <row r="115" spans="1:7">
      <c r="A115" s="3"/>
      <c r="B115" s="2" t="s">
        <v>93</v>
      </c>
      <c r="C115" s="151">
        <v>0</v>
      </c>
      <c r="D115" s="3"/>
      <c r="E115" s="45"/>
      <c r="G115" s="3"/>
    </row>
    <row r="116" spans="1:7">
      <c r="A116" s="3"/>
      <c r="B116" s="2" t="s">
        <v>94</v>
      </c>
      <c r="C116" s="151">
        <v>0</v>
      </c>
      <c r="D116" s="3"/>
      <c r="E116" s="45"/>
      <c r="G116" s="3"/>
    </row>
    <row r="117" spans="1:7">
      <c r="A117" s="3"/>
      <c r="B117" s="2" t="s">
        <v>95</v>
      </c>
      <c r="C117" s="151"/>
      <c r="D117" s="3"/>
      <c r="E117" s="45"/>
      <c r="G117" s="3"/>
    </row>
    <row r="118" spans="1:7">
      <c r="A118" s="3"/>
      <c r="B118" s="2" t="s">
        <v>95</v>
      </c>
      <c r="C118" s="151"/>
      <c r="D118" s="3"/>
      <c r="E118" s="45"/>
      <c r="G118" s="3"/>
    </row>
    <row r="121" spans="1:7">
      <c r="A121" s="107" t="s">
        <v>219</v>
      </c>
      <c r="B121" s="1" t="s">
        <v>219</v>
      </c>
    </row>
  </sheetData>
  <mergeCells count="19">
    <mergeCell ref="B19:D19"/>
    <mergeCell ref="B20:D20"/>
    <mergeCell ref="B14:D14"/>
    <mergeCell ref="B15:D15"/>
    <mergeCell ref="B16:D16"/>
    <mergeCell ref="B17:D17"/>
    <mergeCell ref="B18:D18"/>
    <mergeCell ref="B9:D9"/>
    <mergeCell ref="B10:D10"/>
    <mergeCell ref="B11:D11"/>
    <mergeCell ref="B12:D12"/>
    <mergeCell ref="B13:D13"/>
    <mergeCell ref="B21:D21"/>
    <mergeCell ref="B22:D22"/>
    <mergeCell ref="B25:D25"/>
    <mergeCell ref="B42:C42"/>
    <mergeCell ref="B43:C43"/>
    <mergeCell ref="B23:D23"/>
    <mergeCell ref="B24:D24"/>
  </mergeCells>
  <pageMargins left="0.7" right="0.7" top="0.75" bottom="0.75" header="0.3" footer="0.3"/>
  <pageSetup scale="61" orientation="portrait" r:id="rId1"/>
  <rowBreaks count="1" manualBreakCount="1">
    <brk id="116" max="16383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5" tint="0.39997558519241921"/>
  </sheetPr>
  <dimension ref="A1:J152"/>
  <sheetViews>
    <sheetView topLeftCell="A134" workbookViewId="0" xr3:uid="{44B22561-5205-5C8A-B808-2C70100D228F}">
      <selection activeCell="F147" sqref="F147"/>
    </sheetView>
  </sheetViews>
  <sheetFormatPr defaultColWidth="9.140625" defaultRowHeight="12.75"/>
  <cols>
    <col min="1" max="1" width="4.5703125" style="2" customWidth="1"/>
    <col min="2" max="2" width="14.85546875" style="2" customWidth="1"/>
    <col min="3" max="3" width="30.5703125" style="2" customWidth="1"/>
    <col min="4" max="4" width="35.7109375" style="2" customWidth="1"/>
    <col min="5" max="5" width="2.5703125" style="2" customWidth="1"/>
    <col min="6" max="6" width="14.7109375" style="2" customWidth="1"/>
    <col min="7" max="7" width="2.5703125" style="2" customWidth="1"/>
    <col min="8" max="8" width="14.7109375" style="2" customWidth="1"/>
    <col min="9" max="16384" width="9.140625" style="2"/>
  </cols>
  <sheetData>
    <row r="1" spans="1:8">
      <c r="A1" s="1" t="s">
        <v>0</v>
      </c>
    </row>
    <row r="2" spans="1:8">
      <c r="A2" s="1" t="s">
        <v>1</v>
      </c>
    </row>
    <row r="3" spans="1:8">
      <c r="A3" s="1" t="s">
        <v>305</v>
      </c>
    </row>
    <row r="4" spans="1:8">
      <c r="A4" s="1"/>
    </row>
    <row r="5" spans="1:8">
      <c r="A5" s="1" t="s">
        <v>16</v>
      </c>
      <c r="C5" s="109" t="s">
        <v>221</v>
      </c>
    </row>
    <row r="7" spans="1:8">
      <c r="A7" s="107" t="s">
        <v>82</v>
      </c>
      <c r="B7" s="1" t="s">
        <v>332</v>
      </c>
    </row>
    <row r="8" spans="1:8">
      <c r="A8" s="108"/>
      <c r="B8" s="1" t="s">
        <v>333</v>
      </c>
    </row>
    <row r="9" spans="1:8">
      <c r="B9" s="4" t="s">
        <v>334</v>
      </c>
    </row>
    <row r="10" spans="1:8">
      <c r="B10" s="4" t="s">
        <v>335</v>
      </c>
    </row>
    <row r="12" spans="1:8">
      <c r="B12" s="1" t="s">
        <v>268</v>
      </c>
      <c r="D12" s="46" t="s">
        <v>219</v>
      </c>
      <c r="F12" s="77" t="s">
        <v>219</v>
      </c>
    </row>
    <row r="13" spans="1:8" ht="27.75" customHeight="1">
      <c r="B13" s="271" t="s">
        <v>307</v>
      </c>
      <c r="C13" s="279"/>
      <c r="D13" s="272"/>
      <c r="F13" s="20" t="s">
        <v>269</v>
      </c>
      <c r="H13" s="20" t="s">
        <v>238</v>
      </c>
    </row>
    <row r="14" spans="1:8">
      <c r="B14" s="280" t="s">
        <v>336</v>
      </c>
      <c r="C14" s="281"/>
      <c r="D14" s="282"/>
      <c r="F14" s="134"/>
      <c r="H14" s="134"/>
    </row>
    <row r="15" spans="1:8">
      <c r="B15" s="265" t="s">
        <v>337</v>
      </c>
      <c r="C15" s="275"/>
      <c r="D15" s="266"/>
      <c r="F15" s="134">
        <v>200</v>
      </c>
      <c r="H15" s="134">
        <v>200</v>
      </c>
    </row>
    <row r="16" spans="1:8">
      <c r="B16" s="265"/>
      <c r="C16" s="275"/>
      <c r="D16" s="266"/>
      <c r="F16" s="134"/>
      <c r="H16" s="134"/>
    </row>
    <row r="17" spans="2:8">
      <c r="B17" s="283" t="s">
        <v>338</v>
      </c>
      <c r="C17" s="284"/>
      <c r="D17" s="285"/>
      <c r="F17" s="134"/>
      <c r="H17" s="134"/>
    </row>
    <row r="18" spans="2:8" ht="30.75" customHeight="1">
      <c r="B18" s="265" t="s">
        <v>339</v>
      </c>
      <c r="C18" s="275"/>
      <c r="D18" s="266"/>
      <c r="F18" s="134">
        <v>1750</v>
      </c>
      <c r="H18" s="134">
        <v>0</v>
      </c>
    </row>
    <row r="19" spans="2:8" ht="24" customHeight="1">
      <c r="B19" s="265" t="s">
        <v>340</v>
      </c>
      <c r="C19" s="275"/>
      <c r="D19" s="266"/>
      <c r="F19" s="134">
        <v>1550</v>
      </c>
      <c r="H19" s="134">
        <v>0</v>
      </c>
    </row>
    <row r="20" spans="2:8">
      <c r="B20" s="265" t="s">
        <v>341</v>
      </c>
      <c r="C20" s="275"/>
      <c r="D20" s="266"/>
      <c r="F20" s="134">
        <v>1200</v>
      </c>
      <c r="H20" s="134">
        <v>0</v>
      </c>
    </row>
    <row r="21" spans="2:8">
      <c r="B21" s="265" t="s">
        <v>342</v>
      </c>
      <c r="C21" s="275"/>
      <c r="D21" s="266"/>
      <c r="F21" s="134">
        <v>850</v>
      </c>
      <c r="H21" s="134">
        <v>0</v>
      </c>
    </row>
    <row r="22" spans="2:8" ht="29.25" customHeight="1">
      <c r="B22" s="265" t="s">
        <v>343</v>
      </c>
      <c r="C22" s="275"/>
      <c r="D22" s="266"/>
      <c r="F22" s="134">
        <v>437</v>
      </c>
      <c r="H22" s="134"/>
    </row>
    <row r="23" spans="2:8" ht="27" customHeight="1">
      <c r="B23" s="265" t="s">
        <v>344</v>
      </c>
      <c r="C23" s="275"/>
      <c r="D23" s="266"/>
      <c r="F23" s="134">
        <v>224</v>
      </c>
      <c r="H23" s="134">
        <v>0</v>
      </c>
    </row>
    <row r="24" spans="2:8">
      <c r="B24" s="286"/>
      <c r="C24" s="287"/>
      <c r="D24" s="288"/>
      <c r="F24" s="134"/>
      <c r="H24" s="134"/>
    </row>
    <row r="25" spans="2:8" ht="12.75" customHeight="1">
      <c r="B25" s="283" t="s">
        <v>317</v>
      </c>
      <c r="C25" s="284"/>
      <c r="D25" s="285"/>
      <c r="F25" s="134"/>
      <c r="H25" s="134"/>
    </row>
    <row r="26" spans="2:8">
      <c r="B26" s="265" t="s">
        <v>318</v>
      </c>
      <c r="C26" s="275"/>
      <c r="D26" s="266"/>
      <c r="F26" s="191">
        <v>463</v>
      </c>
      <c r="H26" s="134">
        <v>0</v>
      </c>
    </row>
    <row r="27" spans="2:8">
      <c r="B27" s="265" t="s">
        <v>319</v>
      </c>
      <c r="C27" s="276"/>
      <c r="D27" s="277"/>
      <c r="F27" s="134">
        <v>232</v>
      </c>
      <c r="H27" s="134">
        <v>0</v>
      </c>
    </row>
    <row r="28" spans="2:8" ht="12.75" customHeight="1">
      <c r="B28" s="265" t="s">
        <v>320</v>
      </c>
      <c r="C28" s="275"/>
      <c r="D28" s="266"/>
      <c r="F28" s="134">
        <v>500</v>
      </c>
      <c r="H28" s="134">
        <v>500</v>
      </c>
    </row>
    <row r="29" spans="2:8" ht="12.75" customHeight="1">
      <c r="B29" s="265" t="s">
        <v>321</v>
      </c>
      <c r="C29" s="275"/>
      <c r="D29" s="266"/>
      <c r="F29" s="134">
        <v>300</v>
      </c>
      <c r="H29" s="134">
        <v>300</v>
      </c>
    </row>
    <row r="30" spans="2:8">
      <c r="B30" s="273"/>
      <c r="C30" s="278"/>
      <c r="D30" s="274"/>
      <c r="F30" s="152"/>
      <c r="H30" s="152"/>
    </row>
    <row r="33" spans="2:8">
      <c r="B33" s="1" t="s">
        <v>283</v>
      </c>
      <c r="D33" s="46" t="s">
        <v>219</v>
      </c>
      <c r="F33" s="77" t="s">
        <v>219</v>
      </c>
    </row>
    <row r="34" spans="2:8" ht="25.5" customHeight="1">
      <c r="B34" s="271" t="s">
        <v>307</v>
      </c>
      <c r="C34" s="279"/>
      <c r="D34" s="272"/>
      <c r="F34" s="20" t="s">
        <v>284</v>
      </c>
      <c r="H34" s="20" t="s">
        <v>238</v>
      </c>
    </row>
    <row r="35" spans="2:8">
      <c r="B35" s="280" t="s">
        <v>336</v>
      </c>
      <c r="C35" s="281"/>
      <c r="D35" s="282"/>
      <c r="F35" s="134"/>
      <c r="H35" s="134"/>
    </row>
    <row r="36" spans="2:8" ht="13.9" customHeight="1">
      <c r="B36" s="265" t="s">
        <v>337</v>
      </c>
      <c r="C36" s="275"/>
      <c r="D36" s="266"/>
      <c r="F36" s="134">
        <v>200</v>
      </c>
      <c r="H36" s="134">
        <v>200</v>
      </c>
    </row>
    <row r="37" spans="2:8">
      <c r="B37" s="265"/>
      <c r="C37" s="275"/>
      <c r="D37" s="266"/>
      <c r="F37" s="134"/>
      <c r="H37" s="134"/>
    </row>
    <row r="38" spans="2:8">
      <c r="B38" s="283" t="s">
        <v>338</v>
      </c>
      <c r="C38" s="284"/>
      <c r="D38" s="285"/>
      <c r="F38" s="134"/>
      <c r="H38" s="134"/>
    </row>
    <row r="39" spans="2:8" ht="13.9" customHeight="1">
      <c r="B39" s="265" t="s">
        <v>339</v>
      </c>
      <c r="C39" s="275"/>
      <c r="D39" s="266"/>
      <c r="F39" s="134">
        <v>1785</v>
      </c>
      <c r="H39" s="134">
        <v>0</v>
      </c>
    </row>
    <row r="40" spans="2:8" ht="13.9" customHeight="1">
      <c r="B40" s="265" t="s">
        <v>340</v>
      </c>
      <c r="C40" s="275"/>
      <c r="D40" s="266"/>
      <c r="F40" s="134">
        <v>1581</v>
      </c>
      <c r="H40" s="134">
        <v>0</v>
      </c>
    </row>
    <row r="41" spans="2:8" ht="13.9" customHeight="1">
      <c r="B41" s="265" t="s">
        <v>341</v>
      </c>
      <c r="C41" s="275"/>
      <c r="D41" s="266"/>
      <c r="F41" s="134">
        <v>1224</v>
      </c>
      <c r="H41" s="134">
        <v>0</v>
      </c>
    </row>
    <row r="42" spans="2:8" ht="13.9" customHeight="1">
      <c r="B42" s="265" t="s">
        <v>342</v>
      </c>
      <c r="C42" s="275"/>
      <c r="D42" s="266"/>
      <c r="F42" s="134">
        <v>867</v>
      </c>
      <c r="H42" s="134">
        <v>0</v>
      </c>
    </row>
    <row r="43" spans="2:8" ht="13.9" customHeight="1">
      <c r="B43" s="265" t="s">
        <v>343</v>
      </c>
      <c r="C43" s="275"/>
      <c r="D43" s="266"/>
      <c r="F43" s="134">
        <v>446</v>
      </c>
      <c r="H43" s="134"/>
    </row>
    <row r="44" spans="2:8" ht="13.9" customHeight="1">
      <c r="B44" s="265" t="s">
        <v>344</v>
      </c>
      <c r="C44" s="275"/>
      <c r="D44" s="266"/>
      <c r="F44" s="134">
        <v>229</v>
      </c>
      <c r="H44" s="134">
        <v>0</v>
      </c>
    </row>
    <row r="45" spans="2:8">
      <c r="B45" s="286"/>
      <c r="C45" s="287"/>
      <c r="D45" s="288"/>
      <c r="F45" s="134"/>
      <c r="H45" s="134"/>
    </row>
    <row r="46" spans="2:8" ht="13.9" customHeight="1">
      <c r="B46" s="283" t="s">
        <v>317</v>
      </c>
      <c r="C46" s="284"/>
      <c r="D46" s="285"/>
      <c r="F46" s="134"/>
      <c r="H46" s="134"/>
    </row>
    <row r="47" spans="2:8" ht="13.9" customHeight="1">
      <c r="B47" s="265" t="s">
        <v>318</v>
      </c>
      <c r="C47" s="275"/>
      <c r="D47" s="266"/>
      <c r="F47" s="134">
        <v>472</v>
      </c>
      <c r="H47" s="134">
        <v>0</v>
      </c>
    </row>
    <row r="48" spans="2:8" ht="13.9" customHeight="1">
      <c r="B48" s="265" t="s">
        <v>319</v>
      </c>
      <c r="C48" s="276"/>
      <c r="D48" s="277"/>
      <c r="F48" s="134">
        <v>237</v>
      </c>
      <c r="H48" s="134">
        <v>0</v>
      </c>
    </row>
    <row r="49" spans="2:8" ht="13.9" customHeight="1">
      <c r="B49" s="265" t="s">
        <v>320</v>
      </c>
      <c r="C49" s="275"/>
      <c r="D49" s="266"/>
      <c r="F49" s="134">
        <v>500</v>
      </c>
      <c r="H49" s="134">
        <v>500</v>
      </c>
    </row>
    <row r="50" spans="2:8" ht="13.9" customHeight="1">
      <c r="B50" s="265" t="s">
        <v>321</v>
      </c>
      <c r="C50" s="275"/>
      <c r="D50" s="266"/>
      <c r="F50" s="134">
        <v>300</v>
      </c>
      <c r="H50" s="134">
        <v>300</v>
      </c>
    </row>
    <row r="51" spans="2:8">
      <c r="B51" s="273"/>
      <c r="C51" s="278"/>
      <c r="D51" s="274"/>
      <c r="F51" s="152"/>
      <c r="H51" s="152"/>
    </row>
    <row r="53" spans="2:8">
      <c r="B53" s="1" t="s">
        <v>288</v>
      </c>
      <c r="D53" s="46" t="s">
        <v>219</v>
      </c>
      <c r="F53" s="77" t="s">
        <v>219</v>
      </c>
    </row>
    <row r="54" spans="2:8" ht="25.5" customHeight="1">
      <c r="B54" s="271" t="s">
        <v>307</v>
      </c>
      <c r="C54" s="279"/>
      <c r="D54" s="272"/>
      <c r="F54" s="20" t="s">
        <v>289</v>
      </c>
      <c r="H54" s="20" t="s">
        <v>238</v>
      </c>
    </row>
    <row r="55" spans="2:8">
      <c r="B55" s="280" t="s">
        <v>336</v>
      </c>
      <c r="C55" s="281"/>
      <c r="D55" s="282"/>
      <c r="F55" s="134"/>
      <c r="H55" s="134"/>
    </row>
    <row r="56" spans="2:8" ht="13.9" customHeight="1">
      <c r="B56" s="265" t="s">
        <v>337</v>
      </c>
      <c r="C56" s="275"/>
      <c r="D56" s="266"/>
      <c r="F56" s="134">
        <v>200</v>
      </c>
      <c r="H56" s="134">
        <v>200</v>
      </c>
    </row>
    <row r="57" spans="2:8">
      <c r="B57" s="265"/>
      <c r="C57" s="275"/>
      <c r="D57" s="266"/>
      <c r="F57" s="134"/>
      <c r="H57" s="134"/>
    </row>
    <row r="58" spans="2:8">
      <c r="B58" s="283" t="s">
        <v>338</v>
      </c>
      <c r="C58" s="284"/>
      <c r="D58" s="285"/>
      <c r="F58" s="134"/>
      <c r="H58" s="134"/>
    </row>
    <row r="59" spans="2:8" ht="13.9" customHeight="1">
      <c r="B59" s="265" t="s">
        <v>339</v>
      </c>
      <c r="C59" s="275"/>
      <c r="D59" s="266"/>
      <c r="F59" s="134">
        <v>1821</v>
      </c>
      <c r="H59" s="134">
        <v>0</v>
      </c>
    </row>
    <row r="60" spans="2:8" ht="13.9" customHeight="1">
      <c r="B60" s="265" t="s">
        <v>340</v>
      </c>
      <c r="C60" s="275"/>
      <c r="D60" s="266"/>
      <c r="F60" s="134">
        <v>1613</v>
      </c>
      <c r="H60" s="134">
        <v>0</v>
      </c>
    </row>
    <row r="61" spans="2:8" ht="13.9" customHeight="1">
      <c r="B61" s="265" t="s">
        <v>341</v>
      </c>
      <c r="C61" s="275"/>
      <c r="D61" s="266"/>
      <c r="F61" s="134">
        <v>1249</v>
      </c>
      <c r="H61" s="134">
        <v>0</v>
      </c>
    </row>
    <row r="62" spans="2:8" ht="13.9" customHeight="1">
      <c r="B62" s="265" t="s">
        <v>342</v>
      </c>
      <c r="C62" s="275"/>
      <c r="D62" s="266"/>
      <c r="F62" s="134">
        <v>884</v>
      </c>
      <c r="H62" s="134">
        <v>0</v>
      </c>
    </row>
    <row r="63" spans="2:8" ht="13.9" customHeight="1">
      <c r="B63" s="265" t="s">
        <v>343</v>
      </c>
      <c r="C63" s="275"/>
      <c r="D63" s="266"/>
      <c r="F63" s="134">
        <v>455</v>
      </c>
      <c r="H63" s="134"/>
    </row>
    <row r="64" spans="2:8" ht="13.9" customHeight="1">
      <c r="B64" s="265" t="s">
        <v>344</v>
      </c>
      <c r="C64" s="275"/>
      <c r="D64" s="266"/>
      <c r="F64" s="134">
        <v>234</v>
      </c>
      <c r="H64" s="134">
        <v>0</v>
      </c>
    </row>
    <row r="65" spans="1:8">
      <c r="B65" s="286"/>
      <c r="C65" s="287"/>
      <c r="D65" s="288"/>
      <c r="F65" s="134"/>
      <c r="H65" s="134"/>
    </row>
    <row r="66" spans="1:8" ht="13.9" customHeight="1">
      <c r="B66" s="283" t="s">
        <v>317</v>
      </c>
      <c r="C66" s="284"/>
      <c r="D66" s="285"/>
      <c r="F66" s="134"/>
      <c r="H66" s="134"/>
    </row>
    <row r="67" spans="1:8" ht="13.9" customHeight="1">
      <c r="B67" s="265" t="s">
        <v>318</v>
      </c>
      <c r="C67" s="275"/>
      <c r="D67" s="266"/>
      <c r="F67" s="134">
        <v>481</v>
      </c>
      <c r="H67" s="134">
        <v>0</v>
      </c>
    </row>
    <row r="68" spans="1:8" ht="13.9" customHeight="1">
      <c r="B68" s="265" t="s">
        <v>319</v>
      </c>
      <c r="C68" s="276"/>
      <c r="D68" s="277"/>
      <c r="F68" s="134">
        <v>242</v>
      </c>
      <c r="H68" s="134">
        <v>0</v>
      </c>
    </row>
    <row r="69" spans="1:8" ht="13.9" customHeight="1">
      <c r="B69" s="265" t="s">
        <v>320</v>
      </c>
      <c r="C69" s="275"/>
      <c r="D69" s="266"/>
      <c r="F69" s="134">
        <v>500</v>
      </c>
      <c r="H69" s="134">
        <v>500</v>
      </c>
    </row>
    <row r="70" spans="1:8" ht="13.9" customHeight="1">
      <c r="B70" s="265" t="s">
        <v>321</v>
      </c>
      <c r="C70" s="275"/>
      <c r="D70" s="266"/>
      <c r="F70" s="134">
        <v>300</v>
      </c>
      <c r="H70" s="134">
        <v>300</v>
      </c>
    </row>
    <row r="71" spans="1:8">
      <c r="B71" s="273"/>
      <c r="C71" s="278"/>
      <c r="D71" s="274"/>
      <c r="F71" s="152">
        <v>0</v>
      </c>
      <c r="H71" s="152"/>
    </row>
    <row r="73" spans="1:8">
      <c r="A73" s="50"/>
      <c r="B73" s="1" t="s">
        <v>324</v>
      </c>
      <c r="C73" s="1"/>
      <c r="D73" s="3"/>
      <c r="E73" s="3"/>
      <c r="G73" s="3"/>
    </row>
    <row r="74" spans="1:8">
      <c r="A74" s="50"/>
      <c r="B74" s="4" t="s">
        <v>325</v>
      </c>
      <c r="C74" s="4"/>
      <c r="D74" s="3"/>
      <c r="E74" s="3"/>
      <c r="G74" s="3"/>
    </row>
    <row r="75" spans="1:8">
      <c r="A75" s="51"/>
    </row>
    <row r="76" spans="1:8">
      <c r="A76" s="51"/>
      <c r="B76" s="250" t="s">
        <v>21</v>
      </c>
      <c r="C76" s="251"/>
      <c r="D76" s="93" t="s">
        <v>22</v>
      </c>
      <c r="E76" s="93"/>
      <c r="F76" s="93" t="s">
        <v>23</v>
      </c>
      <c r="G76" s="95"/>
      <c r="H76" s="93" t="s">
        <v>326</v>
      </c>
    </row>
    <row r="77" spans="1:8">
      <c r="A77" s="51"/>
      <c r="B77" s="252"/>
      <c r="C77" s="253"/>
      <c r="D77" s="87"/>
      <c r="E77" s="87"/>
      <c r="F77" s="87" t="s">
        <v>25</v>
      </c>
      <c r="G77" s="96"/>
      <c r="H77" s="87"/>
    </row>
    <row r="78" spans="1:8">
      <c r="A78" s="51"/>
      <c r="B78" s="103" t="s">
        <v>27</v>
      </c>
      <c r="C78" s="104"/>
      <c r="D78" s="28"/>
      <c r="E78" s="28"/>
      <c r="F78" s="28"/>
      <c r="G78" s="28"/>
      <c r="H78" s="98"/>
    </row>
    <row r="79" spans="1:8" ht="5.0999999999999996" customHeight="1">
      <c r="A79" s="51"/>
      <c r="B79" s="99"/>
      <c r="C79" s="1"/>
      <c r="H79" s="100"/>
    </row>
    <row r="80" spans="1:8">
      <c r="A80" s="51"/>
      <c r="B80" s="99" t="s">
        <v>28</v>
      </c>
      <c r="C80" s="1"/>
      <c r="H80" s="100"/>
    </row>
    <row r="81" spans="1:8">
      <c r="A81" s="51"/>
      <c r="B81" s="48" t="s">
        <v>29</v>
      </c>
      <c r="D81" s="109" t="s">
        <v>29</v>
      </c>
      <c r="F81" s="109" t="s">
        <v>30</v>
      </c>
      <c r="H81" s="146"/>
    </row>
    <row r="82" spans="1:8">
      <c r="A82" s="51"/>
      <c r="B82" s="48" t="s">
        <v>32</v>
      </c>
      <c r="D82" s="109" t="s">
        <v>32</v>
      </c>
      <c r="F82" s="109" t="s">
        <v>30</v>
      </c>
      <c r="H82" s="146"/>
    </row>
    <row r="83" spans="1:8">
      <c r="A83" s="51"/>
      <c r="B83" s="48" t="s">
        <v>33</v>
      </c>
      <c r="D83" s="144" t="s">
        <v>33</v>
      </c>
      <c r="F83" s="144" t="s">
        <v>30</v>
      </c>
      <c r="H83" s="147"/>
    </row>
    <row r="84" spans="1:8">
      <c r="A84" s="51"/>
      <c r="B84" s="48" t="s">
        <v>34</v>
      </c>
      <c r="D84" s="144" t="s">
        <v>34</v>
      </c>
      <c r="F84" s="144" t="s">
        <v>30</v>
      </c>
      <c r="H84" s="147"/>
    </row>
    <row r="85" spans="1:8">
      <c r="A85" s="51"/>
      <c r="B85" s="48" t="s">
        <v>35</v>
      </c>
      <c r="D85" s="144" t="s">
        <v>35</v>
      </c>
      <c r="F85" s="144" t="s">
        <v>36</v>
      </c>
      <c r="H85" s="147"/>
    </row>
    <row r="86" spans="1:8">
      <c r="A86" s="51"/>
      <c r="B86" s="48" t="s">
        <v>37</v>
      </c>
      <c r="D86" s="144" t="s">
        <v>37</v>
      </c>
      <c r="F86" s="144" t="s">
        <v>30</v>
      </c>
      <c r="H86" s="147"/>
    </row>
    <row r="87" spans="1:8">
      <c r="A87" s="51"/>
      <c r="B87" s="48" t="s">
        <v>38</v>
      </c>
      <c r="D87" s="144" t="s">
        <v>38</v>
      </c>
      <c r="F87" s="144" t="s">
        <v>36</v>
      </c>
      <c r="H87" s="147"/>
    </row>
    <row r="88" spans="1:8">
      <c r="A88" s="51"/>
      <c r="B88" s="48" t="s">
        <v>39</v>
      </c>
      <c r="D88" s="144" t="s">
        <v>39</v>
      </c>
      <c r="F88" s="144" t="s">
        <v>30</v>
      </c>
      <c r="H88" s="147"/>
    </row>
    <row r="89" spans="1:8">
      <c r="A89" s="51"/>
      <c r="B89" s="48" t="s">
        <v>40</v>
      </c>
      <c r="D89" s="144" t="s">
        <v>40</v>
      </c>
      <c r="F89" s="144" t="s">
        <v>30</v>
      </c>
      <c r="H89" s="147"/>
    </row>
    <row r="90" spans="1:8">
      <c r="A90" s="51"/>
      <c r="B90" s="48" t="s">
        <v>41</v>
      </c>
      <c r="D90" s="144" t="s">
        <v>41</v>
      </c>
      <c r="F90" s="144" t="s">
        <v>30</v>
      </c>
      <c r="H90" s="147"/>
    </row>
    <row r="91" spans="1:8">
      <c r="A91" s="51"/>
      <c r="B91" s="48" t="s">
        <v>42</v>
      </c>
      <c r="D91" s="144" t="s">
        <v>42</v>
      </c>
      <c r="F91" s="144" t="s">
        <v>30</v>
      </c>
      <c r="H91" s="147"/>
    </row>
    <row r="92" spans="1:8">
      <c r="A92" s="51"/>
      <c r="B92" s="48" t="s">
        <v>43</v>
      </c>
      <c r="D92" s="144" t="s">
        <v>43</v>
      </c>
      <c r="F92" s="144" t="s">
        <v>30</v>
      </c>
      <c r="H92" s="147"/>
    </row>
    <row r="93" spans="1:8">
      <c r="A93" s="51"/>
      <c r="B93" s="48" t="s">
        <v>44</v>
      </c>
      <c r="D93" s="144" t="s">
        <v>44</v>
      </c>
      <c r="F93" s="144" t="s">
        <v>30</v>
      </c>
      <c r="H93" s="147"/>
    </row>
    <row r="94" spans="1:8">
      <c r="A94" s="51"/>
      <c r="B94" s="48" t="s">
        <v>45</v>
      </c>
      <c r="D94" s="144" t="s">
        <v>45</v>
      </c>
      <c r="F94" s="144" t="s">
        <v>30</v>
      </c>
      <c r="H94" s="147"/>
    </row>
    <row r="95" spans="1:8">
      <c r="A95" s="51"/>
      <c r="B95" s="48" t="s">
        <v>46</v>
      </c>
      <c r="D95" s="144" t="s">
        <v>46</v>
      </c>
      <c r="F95" s="144" t="s">
        <v>36</v>
      </c>
      <c r="H95" s="147"/>
    </row>
    <row r="96" spans="1:8">
      <c r="A96" s="51"/>
      <c r="B96" s="48" t="s">
        <v>327</v>
      </c>
      <c r="D96" s="144" t="s">
        <v>327</v>
      </c>
      <c r="F96" s="144" t="s">
        <v>30</v>
      </c>
      <c r="H96" s="147"/>
    </row>
    <row r="97" spans="1:8">
      <c r="A97" s="51"/>
      <c r="B97" s="48" t="s">
        <v>328</v>
      </c>
      <c r="D97" s="144" t="s">
        <v>328</v>
      </c>
      <c r="F97" s="144" t="s">
        <v>30</v>
      </c>
      <c r="H97" s="147"/>
    </row>
    <row r="98" spans="1:8">
      <c r="A98" s="51"/>
      <c r="B98" s="48" t="s">
        <v>329</v>
      </c>
      <c r="D98" s="144" t="s">
        <v>329</v>
      </c>
      <c r="F98" s="144" t="s">
        <v>30</v>
      </c>
      <c r="H98" s="147"/>
    </row>
    <row r="99" spans="1:8">
      <c r="A99" s="51"/>
      <c r="B99" s="48" t="s">
        <v>50</v>
      </c>
      <c r="D99" s="144" t="s">
        <v>50</v>
      </c>
      <c r="F99" s="144" t="s">
        <v>30</v>
      </c>
      <c r="H99" s="147"/>
    </row>
    <row r="100" spans="1:8">
      <c r="A100" s="51"/>
      <c r="B100" s="48" t="s">
        <v>51</v>
      </c>
      <c r="D100" s="144" t="s">
        <v>51</v>
      </c>
      <c r="F100" s="144" t="s">
        <v>30</v>
      </c>
      <c r="H100" s="147"/>
    </row>
    <row r="101" spans="1:8">
      <c r="A101" s="51"/>
      <c r="B101" s="48" t="s">
        <v>52</v>
      </c>
      <c r="D101" s="144" t="s">
        <v>52</v>
      </c>
      <c r="F101" s="144" t="s">
        <v>36</v>
      </c>
      <c r="H101" s="147"/>
    </row>
    <row r="102" spans="1:8">
      <c r="A102" s="51"/>
      <c r="B102" s="48" t="s">
        <v>53</v>
      </c>
      <c r="D102" s="144" t="s">
        <v>53</v>
      </c>
      <c r="F102" s="144" t="s">
        <v>30</v>
      </c>
      <c r="H102" s="147"/>
    </row>
    <row r="103" spans="1:8">
      <c r="A103" s="51"/>
      <c r="B103" s="48" t="s">
        <v>54</v>
      </c>
      <c r="D103" s="144" t="s">
        <v>54</v>
      </c>
      <c r="F103" s="144" t="s">
        <v>30</v>
      </c>
      <c r="H103" s="147"/>
    </row>
    <row r="104" spans="1:8">
      <c r="A104" s="51"/>
      <c r="B104" s="48" t="s">
        <v>55</v>
      </c>
      <c r="D104" s="144" t="s">
        <v>55</v>
      </c>
      <c r="F104" s="144" t="s">
        <v>30</v>
      </c>
      <c r="H104" s="147"/>
    </row>
    <row r="105" spans="1:8">
      <c r="A105" s="51"/>
      <c r="B105" s="48" t="s">
        <v>56</v>
      </c>
      <c r="D105" s="144" t="s">
        <v>56</v>
      </c>
      <c r="F105" s="144" t="s">
        <v>36</v>
      </c>
      <c r="H105" s="147"/>
    </row>
    <row r="106" spans="1:8">
      <c r="A106" s="51"/>
      <c r="B106" s="48" t="s">
        <v>57</v>
      </c>
      <c r="D106" s="144" t="s">
        <v>57</v>
      </c>
      <c r="F106" s="144" t="s">
        <v>36</v>
      </c>
      <c r="H106" s="147"/>
    </row>
    <row r="107" spans="1:8">
      <c r="A107" s="51"/>
      <c r="B107" s="48" t="s">
        <v>58</v>
      </c>
      <c r="D107" s="144" t="s">
        <v>58</v>
      </c>
      <c r="F107" s="144" t="s">
        <v>36</v>
      </c>
      <c r="H107" s="147"/>
    </row>
    <row r="108" spans="1:8">
      <c r="A108" s="51"/>
      <c r="B108" s="48" t="s">
        <v>59</v>
      </c>
      <c r="D108" s="145" t="s">
        <v>59</v>
      </c>
      <c r="F108" s="145" t="s">
        <v>30</v>
      </c>
      <c r="H108" s="148"/>
    </row>
    <row r="109" spans="1:8">
      <c r="A109" s="51"/>
      <c r="B109" s="48" t="s">
        <v>60</v>
      </c>
      <c r="D109" s="145" t="s">
        <v>60</v>
      </c>
      <c r="F109" s="145" t="s">
        <v>30</v>
      </c>
      <c r="H109" s="148"/>
    </row>
    <row r="110" spans="1:8">
      <c r="A110" s="51"/>
      <c r="B110" s="48" t="s">
        <v>62</v>
      </c>
      <c r="D110" s="145" t="s">
        <v>62</v>
      </c>
      <c r="F110" s="145" t="s">
        <v>30</v>
      </c>
      <c r="H110" s="148"/>
    </row>
    <row r="111" spans="1:8">
      <c r="A111" s="51"/>
      <c r="B111" s="48"/>
      <c r="D111" s="28"/>
      <c r="F111" s="28"/>
      <c r="H111" s="98"/>
    </row>
    <row r="112" spans="1:8">
      <c r="A112" s="51"/>
      <c r="B112" s="99" t="s">
        <v>63</v>
      </c>
      <c r="C112" s="1"/>
      <c r="H112" s="100"/>
    </row>
    <row r="113" spans="1:10">
      <c r="A113" s="51"/>
      <c r="B113" s="48" t="s">
        <v>64</v>
      </c>
      <c r="D113" s="149" t="s">
        <v>64</v>
      </c>
      <c r="F113" s="149" t="s">
        <v>65</v>
      </c>
      <c r="H113" s="150"/>
    </row>
    <row r="114" spans="1:10">
      <c r="A114" s="51"/>
      <c r="B114" s="48"/>
      <c r="D114" s="28"/>
      <c r="F114" s="28"/>
      <c r="H114" s="98"/>
    </row>
    <row r="115" spans="1:10">
      <c r="A115" s="51"/>
      <c r="B115" s="99" t="s">
        <v>66</v>
      </c>
      <c r="C115" s="1"/>
      <c r="H115" s="100"/>
    </row>
    <row r="116" spans="1:10">
      <c r="A116" s="51"/>
      <c r="B116" s="48" t="s">
        <v>67</v>
      </c>
      <c r="D116" s="149" t="s">
        <v>67</v>
      </c>
      <c r="F116" s="149" t="s">
        <v>65</v>
      </c>
      <c r="H116" s="150"/>
    </row>
    <row r="117" spans="1:10">
      <c r="A117" s="51"/>
      <c r="B117" s="48" t="s">
        <v>68</v>
      </c>
      <c r="D117" s="145" t="s">
        <v>68</v>
      </c>
      <c r="F117" s="145" t="s">
        <v>65</v>
      </c>
      <c r="H117" s="148"/>
    </row>
    <row r="118" spans="1:10">
      <c r="A118" s="51"/>
      <c r="B118" s="48" t="s">
        <v>69</v>
      </c>
      <c r="D118" s="145" t="s">
        <v>69</v>
      </c>
      <c r="F118" s="145" t="s">
        <v>65</v>
      </c>
      <c r="H118" s="148"/>
    </row>
    <row r="119" spans="1:10">
      <c r="A119" s="51"/>
      <c r="B119" s="48" t="s">
        <v>70</v>
      </c>
      <c r="D119" s="145" t="s">
        <v>70</v>
      </c>
      <c r="F119" s="145" t="s">
        <v>65</v>
      </c>
      <c r="H119" s="148"/>
    </row>
    <row r="120" spans="1:10">
      <c r="A120" s="51"/>
      <c r="B120" s="48"/>
      <c r="D120" s="28"/>
      <c r="F120" s="28"/>
      <c r="H120" s="98"/>
    </row>
    <row r="121" spans="1:10">
      <c r="A121" s="51"/>
      <c r="B121" s="102" t="s">
        <v>71</v>
      </c>
      <c r="C121" s="105"/>
      <c r="H121" s="100"/>
    </row>
    <row r="122" spans="1:10" ht="5.0999999999999996" customHeight="1">
      <c r="A122" s="51"/>
      <c r="B122" s="101"/>
      <c r="C122" s="106"/>
      <c r="H122" s="100"/>
    </row>
    <row r="123" spans="1:10">
      <c r="A123" s="51"/>
      <c r="B123" s="99" t="s">
        <v>28</v>
      </c>
      <c r="C123" s="1"/>
      <c r="H123" s="100"/>
    </row>
    <row r="124" spans="1:10">
      <c r="A124" s="51"/>
      <c r="B124" s="48" t="s">
        <v>72</v>
      </c>
      <c r="D124" s="109" t="s">
        <v>72</v>
      </c>
      <c r="F124" s="109" t="s">
        <v>65</v>
      </c>
      <c r="H124" s="146"/>
    </row>
    <row r="125" spans="1:10">
      <c r="A125" s="51"/>
      <c r="B125" s="48" t="s">
        <v>73</v>
      </c>
      <c r="D125" s="144" t="s">
        <v>73</v>
      </c>
      <c r="F125" s="144" t="s">
        <v>65</v>
      </c>
      <c r="H125" s="147"/>
    </row>
    <row r="126" spans="1:10">
      <c r="A126" s="51"/>
      <c r="B126" s="48" t="s">
        <v>74</v>
      </c>
      <c r="D126" s="144" t="s">
        <v>74</v>
      </c>
      <c r="F126" s="144" t="s">
        <v>65</v>
      </c>
      <c r="H126" s="147"/>
    </row>
    <row r="127" spans="1:10">
      <c r="A127" s="51"/>
      <c r="B127" s="48" t="s">
        <v>75</v>
      </c>
      <c r="D127" s="144" t="s">
        <v>75</v>
      </c>
      <c r="F127" s="144" t="s">
        <v>65</v>
      </c>
      <c r="H127" s="147"/>
    </row>
    <row r="128" spans="1:10" ht="12.6" customHeight="1">
      <c r="A128" s="51"/>
      <c r="B128" s="48" t="s">
        <v>345</v>
      </c>
      <c r="D128" s="145" t="s">
        <v>345</v>
      </c>
      <c r="F128" s="145" t="s">
        <v>65</v>
      </c>
      <c r="H128" s="148"/>
      <c r="J128" s="19"/>
    </row>
    <row r="129" spans="1:8">
      <c r="A129" s="51"/>
      <c r="B129" s="48" t="s">
        <v>77</v>
      </c>
      <c r="D129" s="145"/>
      <c r="F129" s="145"/>
      <c r="H129" s="148"/>
    </row>
    <row r="130" spans="1:8">
      <c r="A130" s="51"/>
      <c r="B130" s="48" t="s">
        <v>77</v>
      </c>
      <c r="D130" s="145"/>
      <c r="F130" s="145"/>
      <c r="H130" s="148"/>
    </row>
    <row r="131" spans="1:8">
      <c r="A131" s="51"/>
      <c r="B131" s="161"/>
      <c r="D131" s="145"/>
      <c r="F131" s="145"/>
      <c r="H131" s="148"/>
    </row>
    <row r="132" spans="1:8" ht="13.35" customHeight="1">
      <c r="A132" s="51"/>
      <c r="B132" s="99" t="s">
        <v>66</v>
      </c>
      <c r="C132" s="1"/>
      <c r="H132" s="100"/>
    </row>
    <row r="133" spans="1:8">
      <c r="A133" s="51"/>
      <c r="B133" s="48" t="s">
        <v>78</v>
      </c>
      <c r="D133" s="109"/>
      <c r="F133" s="109"/>
      <c r="H133" s="146"/>
    </row>
    <row r="134" spans="1:8">
      <c r="A134" s="51"/>
      <c r="B134" s="48" t="s">
        <v>69</v>
      </c>
      <c r="D134" s="144"/>
      <c r="F134" s="144"/>
      <c r="H134" s="147"/>
    </row>
    <row r="135" spans="1:8">
      <c r="A135" s="51"/>
      <c r="B135" s="48" t="s">
        <v>77</v>
      </c>
      <c r="D135" s="144"/>
      <c r="F135" s="144"/>
      <c r="H135" s="147"/>
    </row>
    <row r="136" spans="1:8">
      <c r="A136" s="51"/>
      <c r="B136" s="48" t="s">
        <v>77</v>
      </c>
      <c r="D136" s="144"/>
      <c r="F136" s="144"/>
      <c r="H136" s="147"/>
    </row>
    <row r="137" spans="1:8">
      <c r="A137" s="51"/>
      <c r="B137" s="49"/>
      <c r="C137" s="6"/>
      <c r="D137" s="29"/>
      <c r="E137" s="6"/>
      <c r="F137" s="29"/>
      <c r="G137" s="6"/>
      <c r="H137" s="97"/>
    </row>
    <row r="138" spans="1:8">
      <c r="A138" s="51"/>
    </row>
    <row r="139" spans="1:8">
      <c r="A139" s="50"/>
      <c r="B139" s="1" t="s">
        <v>331</v>
      </c>
      <c r="C139" s="1"/>
      <c r="D139" s="3"/>
      <c r="E139" s="3"/>
      <c r="G139" s="3"/>
    </row>
    <row r="140" spans="1:8">
      <c r="A140" s="3"/>
      <c r="D140" s="3"/>
      <c r="E140" s="3"/>
      <c r="G140" s="3"/>
    </row>
    <row r="141" spans="1:8">
      <c r="A141" s="3"/>
      <c r="B141" s="2" t="s">
        <v>84</v>
      </c>
      <c r="C141" s="151"/>
      <c r="D141" s="3"/>
      <c r="E141" s="45"/>
      <c r="G141" s="3"/>
    </row>
    <row r="142" spans="1:8">
      <c r="A142" s="3"/>
      <c r="B142" s="2" t="s">
        <v>86</v>
      </c>
      <c r="C142" s="151"/>
      <c r="D142" s="3"/>
      <c r="E142" s="45"/>
      <c r="G142" s="3"/>
    </row>
    <row r="143" spans="1:8">
      <c r="A143" s="3"/>
      <c r="B143" s="2" t="s">
        <v>87</v>
      </c>
      <c r="C143" s="151"/>
      <c r="D143" s="3"/>
      <c r="E143" s="45"/>
      <c r="G143" s="3"/>
    </row>
    <row r="144" spans="1:8">
      <c r="A144" s="3"/>
      <c r="B144" s="2" t="s">
        <v>88</v>
      </c>
      <c r="C144" s="151"/>
      <c r="D144" s="3"/>
      <c r="E144" s="45"/>
      <c r="G144" s="3"/>
    </row>
    <row r="145" spans="1:7">
      <c r="A145" s="3"/>
      <c r="B145" s="2" t="s">
        <v>89</v>
      </c>
      <c r="C145" s="151"/>
      <c r="D145" s="3"/>
      <c r="E145" s="45"/>
      <c r="G145" s="3"/>
    </row>
    <row r="146" spans="1:7">
      <c r="A146" s="3"/>
      <c r="B146" s="2" t="s">
        <v>90</v>
      </c>
      <c r="C146" s="151"/>
      <c r="D146" s="3"/>
      <c r="E146" s="45"/>
      <c r="G146" s="3"/>
    </row>
    <row r="147" spans="1:7">
      <c r="A147" s="3"/>
      <c r="B147" s="2" t="s">
        <v>91</v>
      </c>
      <c r="C147" s="151"/>
      <c r="D147" s="3"/>
      <c r="E147" s="45"/>
      <c r="G147" s="3"/>
    </row>
    <row r="148" spans="1:7">
      <c r="A148" s="3"/>
      <c r="B148" s="2" t="s">
        <v>92</v>
      </c>
      <c r="C148" s="151"/>
      <c r="D148" s="3"/>
      <c r="E148" s="45"/>
      <c r="G148" s="3"/>
    </row>
    <row r="149" spans="1:7">
      <c r="A149" s="3"/>
      <c r="B149" s="2" t="s">
        <v>93</v>
      </c>
      <c r="C149" s="151"/>
      <c r="D149" s="3"/>
      <c r="E149" s="45"/>
      <c r="G149" s="3"/>
    </row>
    <row r="150" spans="1:7">
      <c r="A150" s="3"/>
      <c r="B150" s="2" t="s">
        <v>94</v>
      </c>
      <c r="C150" s="151"/>
      <c r="D150" s="3"/>
      <c r="E150" s="45"/>
      <c r="G150" s="3"/>
    </row>
    <row r="151" spans="1:7">
      <c r="A151" s="3"/>
      <c r="B151" s="2" t="s">
        <v>95</v>
      </c>
      <c r="C151" s="151"/>
      <c r="D151" s="3"/>
      <c r="E151" s="45"/>
      <c r="G151" s="3"/>
    </row>
    <row r="152" spans="1:7">
      <c r="A152" s="3"/>
      <c r="B152" s="2" t="s">
        <v>95</v>
      </c>
      <c r="C152" s="151"/>
      <c r="D152" s="3"/>
      <c r="E152" s="45"/>
      <c r="G152" s="3"/>
    </row>
  </sheetData>
  <mergeCells count="56">
    <mergeCell ref="B16:D16"/>
    <mergeCell ref="B77:C77"/>
    <mergeCell ref="B13:D13"/>
    <mergeCell ref="B15:D15"/>
    <mergeCell ref="B14:D14"/>
    <mergeCell ref="B76:C76"/>
    <mergeCell ref="B59:D59"/>
    <mergeCell ref="B60:D60"/>
    <mergeCell ref="B61:D61"/>
    <mergeCell ref="B40:D40"/>
    <mergeCell ref="B41:D41"/>
    <mergeCell ref="B46:D46"/>
    <mergeCell ref="B47:D47"/>
    <mergeCell ref="B54:D54"/>
    <mergeCell ref="B55:D55"/>
    <mergeCell ref="B49:D49"/>
    <mergeCell ref="B42:D42"/>
    <mergeCell ref="B48:D48"/>
    <mergeCell ref="B34:D34"/>
    <mergeCell ref="B35:D35"/>
    <mergeCell ref="B36:D36"/>
    <mergeCell ref="B37:D37"/>
    <mergeCell ref="B38:D38"/>
    <mergeCell ref="B39:D39"/>
    <mergeCell ref="B43:D43"/>
    <mergeCell ref="B44:D44"/>
    <mergeCell ref="B45:D45"/>
    <mergeCell ref="B17:D17"/>
    <mergeCell ref="B18:D18"/>
    <mergeCell ref="B19:D19"/>
    <mergeCell ref="B30:D30"/>
    <mergeCell ref="B20:D20"/>
    <mergeCell ref="B21:D21"/>
    <mergeCell ref="B25:D25"/>
    <mergeCell ref="B22:D22"/>
    <mergeCell ref="B27:D27"/>
    <mergeCell ref="B29:D29"/>
    <mergeCell ref="B26:D26"/>
    <mergeCell ref="B28:D28"/>
    <mergeCell ref="B24:D24"/>
    <mergeCell ref="B23:D23"/>
    <mergeCell ref="B71:D71"/>
    <mergeCell ref="B50:D50"/>
    <mergeCell ref="B56:D56"/>
    <mergeCell ref="B57:D57"/>
    <mergeCell ref="B58:D58"/>
    <mergeCell ref="B69:D69"/>
    <mergeCell ref="B70:D70"/>
    <mergeCell ref="B51:D51"/>
    <mergeCell ref="B68:D68"/>
    <mergeCell ref="B62:D62"/>
    <mergeCell ref="B67:D67"/>
    <mergeCell ref="B63:D63"/>
    <mergeCell ref="B64:D64"/>
    <mergeCell ref="B65:D65"/>
    <mergeCell ref="B66:D66"/>
  </mergeCells>
  <pageMargins left="0.7" right="0.7" top="0.75" bottom="0.75" header="0.3" footer="0.3"/>
  <pageSetup orientation="portrait" horizontalDpi="4294967295" verticalDpi="4294967295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B72F5C2-8F79-49A4-84FC-D0169BE6CF38}"/>
</file>

<file path=customXml/itemProps2.xml><?xml version="1.0" encoding="utf-8"?>
<ds:datastoreItem xmlns:ds="http://schemas.openxmlformats.org/officeDocument/2006/customXml" ds:itemID="{29572BB1-49CB-4FA5-BA6E-258BB792FC55}"/>
</file>

<file path=customXml/itemProps3.xml><?xml version="1.0" encoding="utf-8"?>
<ds:datastoreItem xmlns:ds="http://schemas.openxmlformats.org/officeDocument/2006/customXml" ds:itemID="{5968EB32-75D7-48DE-B2D2-699A786258D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Envision Strategies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Peg Rodger</dc:creator>
  <cp:keywords/>
  <dc:description/>
  <cp:lastModifiedBy>Aimee Nunez</cp:lastModifiedBy>
  <cp:revision/>
  <dcterms:created xsi:type="dcterms:W3CDTF">2009-05-13T17:08:18Z</dcterms:created>
  <dcterms:modified xsi:type="dcterms:W3CDTF">2018-09-21T14:01:20Z</dcterms:modified>
  <cp:category/>
  <cp:contentStatus/>
</cp:coreProperties>
</file>